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车库"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仓储" sheetId="36" state="hidden" r:id="rId37"/>
    <sheet name="典型户型修正" sheetId="31" state="hidden" r:id="rId38"/>
    <sheet name="存贷款利率" sheetId="65" state="hidden" r:id="rId39"/>
    <sheet name="不动产收益法-仓储" sheetId="69" r:id="rId40"/>
    <sheet name="不动产比较法-车位" sheetId="35" r:id="rId41"/>
    <sheet name="土地及现房案例" sheetId="68"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6" hidden="1">'不动产比较法-仓储'!$A$1:$L$37</definedName>
    <definedName name="_xlnm._FilterDatabase" localSheetId="40"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1" i="35" l="1"/>
  <c r="E10" i="12"/>
  <c r="E8" i="12"/>
  <c r="D15" i="66" l="1"/>
  <c r="G15" i="66" l="1"/>
  <c r="C37" i="9" l="1"/>
  <c r="B15" i="66" l="1"/>
  <c r="C15" i="66"/>
  <c r="L7" i="1" l="1"/>
  <c r="L9" i="1"/>
  <c r="L14" i="1" s="1"/>
  <c r="AT13" i="3" l="1"/>
  <c r="AL13" i="3"/>
  <c r="C38" i="9" l="1"/>
  <c r="Q73" i="69" l="1"/>
  <c r="Q60" i="69"/>
  <c r="D60" i="69"/>
  <c r="Q59" i="69"/>
  <c r="K59" i="69"/>
  <c r="P75" i="69" s="1"/>
  <c r="F58" i="69"/>
  <c r="Q52" i="69"/>
  <c r="J50" i="69"/>
  <c r="M47" i="69"/>
  <c r="L46" i="69" s="1"/>
  <c r="F33" i="69"/>
  <c r="F60" i="69" s="1"/>
  <c r="F31" i="69"/>
  <c r="F23" i="69"/>
  <c r="D24" i="69" s="1"/>
  <c r="D22" i="69"/>
  <c r="F21" i="69"/>
  <c r="F20" i="69"/>
  <c r="M19" i="69"/>
  <c r="F18" i="69"/>
  <c r="M17" i="69"/>
  <c r="F17" i="69"/>
  <c r="F15" i="69"/>
  <c r="D23" i="69" l="1"/>
  <c r="P62" i="69"/>
  <c r="I40" i="39"/>
  <c r="G40" i="39"/>
  <c r="E40" i="39"/>
  <c r="I13" i="39"/>
  <c r="G13" i="39"/>
  <c r="E13" i="39"/>
  <c r="I9" i="39"/>
  <c r="G9" i="39"/>
  <c r="E9" i="39"/>
  <c r="I7" i="39"/>
  <c r="G7" i="39"/>
  <c r="E7" i="39"/>
  <c r="C40" i="39" l="1"/>
  <c r="C7" i="39"/>
  <c r="G22" i="6"/>
  <c r="B38" i="9" s="1"/>
  <c r="E38" i="9" s="1"/>
  <c r="C22" i="6"/>
  <c r="C21" i="6"/>
  <c r="AF13" i="3"/>
  <c r="M13" i="3"/>
  <c r="G21" i="6" s="1"/>
  <c r="H36" i="6" s="1"/>
  <c r="I13" i="3"/>
  <c r="D3" i="4"/>
  <c r="F19" i="6" l="1"/>
  <c r="K13" i="3"/>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2" i="67"/>
  <c r="F11" i="67"/>
  <c r="F9" i="67"/>
  <c r="F14" i="67"/>
  <c r="B9" i="67"/>
  <c r="F10" i="67"/>
  <c r="E9" i="67"/>
  <c r="B11" i="67"/>
  <c r="B8" i="67"/>
  <c r="E14" i="67"/>
  <c r="E13" i="67"/>
  <c r="E12" i="67"/>
  <c r="B10" i="67"/>
  <c r="B12" i="67"/>
  <c r="F8" i="67"/>
  <c r="E8" i="67"/>
  <c r="E10" i="67"/>
  <c r="B14" i="67"/>
  <c r="F13" i="67"/>
  <c r="E11"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4" i="65"/>
  <c r="N3" i="65"/>
  <c r="I3" i="65"/>
  <c r="N5" i="65"/>
  <c r="N6" i="65"/>
  <c r="C4" i="65" l="1"/>
  <c r="B39" i="1" s="1"/>
  <c r="I7" i="65"/>
  <c r="J7" i="65"/>
  <c r="J5" i="65"/>
  <c r="J3" i="65"/>
  <c r="J6" i="65"/>
  <c r="I6" i="65"/>
  <c r="I4" i="65"/>
  <c r="I5" i="65"/>
  <c r="J4"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C17" i="59" s="1"/>
  <c r="Y15" i="59"/>
  <c r="Z15" i="59" s="1"/>
  <c r="F16" i="59"/>
  <c r="AB15" i="59"/>
  <c r="B20" i="59"/>
  <c r="B21" i="59" s="1"/>
  <c r="B22" i="59" s="1"/>
  <c r="S22" i="59" s="1"/>
  <c r="X19" i="59"/>
  <c r="E20" i="59"/>
  <c r="E21" i="59" s="1"/>
  <c r="E22" i="59" s="1"/>
  <c r="U22" i="59" s="1"/>
  <c r="AA19" i="59"/>
  <c r="B10" i="59"/>
  <c r="X6" i="59"/>
  <c r="X5" i="59"/>
  <c r="E10" i="59"/>
  <c r="AA6" i="59"/>
  <c r="AA5" i="59"/>
  <c r="B12" i="59"/>
  <c r="X11" i="59"/>
  <c r="C12" i="59"/>
  <c r="C13" i="59" s="1"/>
  <c r="Y11" i="59"/>
  <c r="Z11" i="59" s="1"/>
  <c r="F12" i="59"/>
  <c r="F13" i="59" s="1"/>
  <c r="F14" i="59" s="1"/>
  <c r="V14" i="59" s="1"/>
  <c r="AB11" i="59"/>
  <c r="B16" i="59"/>
  <c r="B17" i="59" s="1"/>
  <c r="B18" i="59" s="1"/>
  <c r="S18" i="59" s="1"/>
  <c r="X15" i="59"/>
  <c r="E16" i="59"/>
  <c r="E17" i="59" s="1"/>
  <c r="E18" i="59" s="1"/>
  <c r="U18" i="59" s="1"/>
  <c r="AA15" i="59"/>
  <c r="C20" i="59"/>
  <c r="C21" i="59" s="1"/>
  <c r="Y19" i="59"/>
  <c r="Z19" i="59" s="1"/>
  <c r="F20" i="59"/>
  <c r="F21" i="59" s="1"/>
  <c r="F22" i="59" s="1"/>
  <c r="V22" i="59" s="1"/>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7" i="59"/>
  <c r="F18" i="59" s="1"/>
  <c r="V18" i="59" s="1"/>
  <c r="F25" i="59"/>
  <c r="F26" i="59" s="1"/>
  <c r="V26" i="59" s="1"/>
  <c r="F29" i="59"/>
  <c r="F30" i="59" s="1"/>
  <c r="V30" i="59" s="1"/>
  <c r="F37" i="59"/>
  <c r="F38" i="59" s="1"/>
  <c r="V38" i="59" s="1"/>
  <c r="F41" i="59"/>
  <c r="F42" i="59" s="1"/>
  <c r="V42" i="59" s="1"/>
  <c r="F45" i="59"/>
  <c r="F46" i="59" s="1"/>
  <c r="V46" i="59" s="1"/>
  <c r="D12" i="59"/>
  <c r="D20" i="59"/>
  <c r="C25" i="59"/>
  <c r="D24" i="59"/>
  <c r="C29" i="59"/>
  <c r="D29" i="59" s="1"/>
  <c r="D28" i="59"/>
  <c r="C33" i="59"/>
  <c r="D32" i="59"/>
  <c r="C37" i="59"/>
  <c r="D36" i="59"/>
  <c r="C41" i="59"/>
  <c r="D40" i="59"/>
  <c r="C45" i="59"/>
  <c r="D44"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G17" i="3" s="1"/>
  <c r="H18" i="3"/>
  <c r="AC18" i="3"/>
  <c r="G18" i="3" s="1"/>
  <c r="BB18" i="3"/>
  <c r="BC18" i="3"/>
  <c r="BA18" i="3" s="1"/>
  <c r="BD18" i="3"/>
  <c r="BE18" i="3"/>
  <c r="BE5" i="3" s="1"/>
  <c r="BF18" i="3"/>
  <c r="BG18" i="3"/>
  <c r="BH18" i="3"/>
  <c r="BI18" i="3"/>
  <c r="BJ18" i="3"/>
  <c r="BK18" i="3"/>
  <c r="BM18" i="3"/>
  <c r="BN18" i="3"/>
  <c r="BO18" i="3"/>
  <c r="BP18" i="3"/>
  <c r="BR18" i="3"/>
  <c r="BS18" i="3"/>
  <c r="BT18" i="3"/>
  <c r="H19" i="3"/>
  <c r="AC19" i="3"/>
  <c r="BB19" i="3"/>
  <c r="BB5" i="3" s="1"/>
  <c r="BC19" i="3"/>
  <c r="BD19" i="3"/>
  <c r="BE19" i="3"/>
  <c r="BF19" i="3"/>
  <c r="BG19" i="3"/>
  <c r="BH19" i="3"/>
  <c r="BH5" i="3" s="1"/>
  <c r="BI19" i="3"/>
  <c r="BJ19" i="3"/>
  <c r="BJ5" i="3" s="1"/>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A482" i="3" s="1"/>
  <c r="BC482" i="3"/>
  <c r="BD482" i="3"/>
  <c r="BE482" i="3"/>
  <c r="BF482" i="3"/>
  <c r="BG482" i="3"/>
  <c r="BH482" i="3"/>
  <c r="BI482" i="3"/>
  <c r="BJ482" i="3"/>
  <c r="BK482" i="3"/>
  <c r="BM482" i="3"/>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L486" i="3" s="1"/>
  <c r="AZ486" i="3" s="1"/>
  <c r="BN486" i="3"/>
  <c r="BO486" i="3"/>
  <c r="BP486" i="3"/>
  <c r="BR486" i="3"/>
  <c r="BS486" i="3"/>
  <c r="BT486" i="3"/>
  <c r="H487" i="3"/>
  <c r="AC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A489" i="3" s="1"/>
  <c r="AZ489" i="3" s="1"/>
  <c r="BC489" i="3"/>
  <c r="BD489" i="3"/>
  <c r="BE489" i="3"/>
  <c r="BF489" i="3"/>
  <c r="BG489" i="3"/>
  <c r="BH489" i="3"/>
  <c r="BI489" i="3"/>
  <c r="BJ489" i="3"/>
  <c r="BK489" i="3"/>
  <c r="BM489" i="3"/>
  <c r="BN489" i="3"/>
  <c r="BO489" i="3"/>
  <c r="BP489" i="3"/>
  <c r="BQ489" i="3"/>
  <c r="BR489" i="3"/>
  <c r="BS489" i="3"/>
  <c r="BT489" i="3"/>
  <c r="H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L521" i="3" s="1"/>
  <c r="AZ521" i="3" s="1"/>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Q529" i="3"/>
  <c r="BR529" i="3"/>
  <c r="BS529" i="3"/>
  <c r="BT529" i="3"/>
  <c r="H530" i="3"/>
  <c r="AC530" i="3"/>
  <c r="BB530" i="3"/>
  <c r="BA530" i="3" s="1"/>
  <c r="AZ530" i="3" s="1"/>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L547" i="3" s="1"/>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AZ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W16" i="36" s="1"/>
  <c r="D62" i="36"/>
  <c r="E62" i="36" s="1"/>
  <c r="B59" i="36"/>
  <c r="J13" i="36" s="1"/>
  <c r="W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B73" i="35"/>
  <c r="H23" i="35" s="1"/>
  <c r="B57" i="35"/>
  <c r="B61" i="35"/>
  <c r="B59" i="35"/>
  <c r="H12" i="35" s="1"/>
  <c r="B131" i="34"/>
  <c r="F47" i="34" s="1"/>
  <c r="AA47" i="34" s="1"/>
  <c r="B129" i="34"/>
  <c r="B127" i="34"/>
  <c r="B99" i="34"/>
  <c r="B97" i="34"/>
  <c r="H31" i="34" s="1"/>
  <c r="B95" i="34"/>
  <c r="B93" i="34"/>
  <c r="B75" i="34"/>
  <c r="B73" i="34"/>
  <c r="J13" i="34" s="1"/>
  <c r="W13" i="34" s="1"/>
  <c r="B71" i="34"/>
  <c r="B130" i="33"/>
  <c r="B128" i="33"/>
  <c r="H45" i="33" s="1"/>
  <c r="U45" i="33" s="1"/>
  <c r="B126" i="33"/>
  <c r="J44" i="33" s="1"/>
  <c r="B98" i="33"/>
  <c r="F31" i="33" s="1"/>
  <c r="B96" i="33"/>
  <c r="B94" i="33"/>
  <c r="B74" i="33"/>
  <c r="F14" i="33" s="1"/>
  <c r="AA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U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H43" i="21"/>
  <c r="AB43" i="21" s="1"/>
  <c r="F32" i="21"/>
  <c r="AA32" i="21" s="1"/>
  <c r="F38" i="21"/>
  <c r="S38" i="21" s="1"/>
  <c r="F36" i="21"/>
  <c r="F39" i="21"/>
  <c r="AA39" i="21" s="1"/>
  <c r="J40" i="21"/>
  <c r="H35" i="21"/>
  <c r="AB35" i="21" s="1"/>
  <c r="J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S34" i="35"/>
  <c r="U34" i="35"/>
  <c r="F36" i="34"/>
  <c r="S36" i="34" s="1"/>
  <c r="H39" i="33"/>
  <c r="AB39" i="33" s="1"/>
  <c r="U9" i="33"/>
  <c r="U33" i="33"/>
  <c r="W38" i="33"/>
  <c r="S33" i="33"/>
  <c r="S8" i="21"/>
  <c r="H39" i="37"/>
  <c r="AB39" i="37" s="1"/>
  <c r="S10" i="40"/>
  <c r="W10" i="40"/>
  <c r="S11" i="40"/>
  <c r="U11" i="40"/>
  <c r="S36" i="40"/>
  <c r="U36" i="40"/>
  <c r="S40" i="39"/>
  <c r="S36" i="39"/>
  <c r="F11" i="21"/>
  <c r="S11" i="21" s="1"/>
  <c r="AA38" i="21"/>
  <c r="AC35" i="21"/>
  <c r="C23" i="39"/>
  <c r="U36" i="39"/>
  <c r="S42" i="39"/>
  <c r="H32" i="33"/>
  <c r="AB32" i="33" s="1"/>
  <c r="H11" i="21"/>
  <c r="U11" i="21" s="1"/>
  <c r="J11" i="21"/>
  <c r="W11" i="21" s="1"/>
  <c r="F100" i="40"/>
  <c r="F86" i="40"/>
  <c r="J27" i="36"/>
  <c r="W27" i="36" s="1"/>
  <c r="J34" i="36"/>
  <c r="J30" i="35"/>
  <c r="W30" i="35" s="1"/>
  <c r="F22" i="35"/>
  <c r="AA22" i="35" s="1"/>
  <c r="H10" i="35"/>
  <c r="U10" i="35" s="1"/>
  <c r="U29" i="36"/>
  <c r="J29" i="36"/>
  <c r="AC29" i="36" s="1"/>
  <c r="F12" i="36"/>
  <c r="S12" i="36" s="1"/>
  <c r="F24" i="36"/>
  <c r="F34" i="36"/>
  <c r="S34" i="36" s="1"/>
  <c r="S10" i="36"/>
  <c r="H16" i="35"/>
  <c r="H33" i="35"/>
  <c r="AB33" i="35" s="1"/>
  <c r="W8" i="35"/>
  <c r="AC8" i="35"/>
  <c r="F35" i="37"/>
  <c r="AA35" i="37" s="1"/>
  <c r="J34" i="37"/>
  <c r="H43" i="34"/>
  <c r="U42" i="34"/>
  <c r="H36" i="34"/>
  <c r="U36" i="34" s="1"/>
  <c r="F37" i="34"/>
  <c r="AA37" i="34" s="1"/>
  <c r="F33" i="34"/>
  <c r="S33" i="34" s="1"/>
  <c r="F19" i="34"/>
  <c r="AA19" i="34" s="1"/>
  <c r="J10" i="34"/>
  <c r="AC10" i="34" s="1"/>
  <c r="W8" i="34"/>
  <c r="S38" i="33"/>
  <c r="F36" i="33"/>
  <c r="S36" i="33" s="1"/>
  <c r="F19" i="33"/>
  <c r="S19" i="33" s="1"/>
  <c r="J19" i="33"/>
  <c r="AC19" i="33" s="1"/>
  <c r="G86" i="40"/>
  <c r="AB30" i="36"/>
  <c r="H29" i="35"/>
  <c r="AB29" i="35" s="1"/>
  <c r="U34" i="37"/>
  <c r="S34" i="37"/>
  <c r="AA34" i="37"/>
  <c r="AC43" i="34"/>
  <c r="W36" i="34"/>
  <c r="J19" i="34"/>
  <c r="AC19" i="34" s="1"/>
  <c r="H37" i="33"/>
  <c r="AB37" i="33" s="1"/>
  <c r="S37" i="33"/>
  <c r="AC42" i="34"/>
  <c r="W42" i="34"/>
  <c r="AA42" i="34"/>
  <c r="AC38" i="34"/>
  <c r="W38" i="34"/>
  <c r="AA38" i="34"/>
  <c r="S38" i="34"/>
  <c r="J37" i="33"/>
  <c r="J42" i="21"/>
  <c r="AC42" i="21"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J46" i="21"/>
  <c r="W46" i="21" s="1"/>
  <c r="F46" i="21"/>
  <c r="AA46" i="21"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H45" i="21"/>
  <c r="U45" i="21" s="1"/>
  <c r="J27" i="33"/>
  <c r="AC27" i="33" s="1"/>
  <c r="F27" i="33"/>
  <c r="F13" i="33"/>
  <c r="S13" i="33" s="1"/>
  <c r="J29" i="33"/>
  <c r="J31" i="33"/>
  <c r="AC31" i="33" s="1"/>
  <c r="H31" i="33"/>
  <c r="U31" i="33" s="1"/>
  <c r="J45" i="33"/>
  <c r="W45" i="33" s="1"/>
  <c r="F45" i="33"/>
  <c r="S45" i="33" s="1"/>
  <c r="F11" i="35"/>
  <c r="S11" i="35" s="1"/>
  <c r="H28" i="36"/>
  <c r="U28" i="36" s="1"/>
  <c r="J32" i="36"/>
  <c r="W32" i="36" s="1"/>
  <c r="H13" i="36"/>
  <c r="AB13" i="36" s="1"/>
  <c r="F13" i="36"/>
  <c r="S13" i="36" s="1"/>
  <c r="J29" i="37"/>
  <c r="W29" i="37" s="1"/>
  <c r="F29" i="37"/>
  <c r="AA29" i="37" s="1"/>
  <c r="F107" i="37"/>
  <c r="G107" i="37" s="1"/>
  <c r="H107" i="37" s="1"/>
  <c r="I107" i="37" s="1"/>
  <c r="J107" i="37" s="1"/>
  <c r="K107" i="37" s="1"/>
  <c r="L107" i="37" s="1"/>
  <c r="M107" i="37" s="1"/>
  <c r="J37" i="37"/>
  <c r="AC37" i="37" s="1"/>
  <c r="H37" i="37"/>
  <c r="U37" i="37" s="1"/>
  <c r="H40" i="37"/>
  <c r="U40" i="37" s="1"/>
  <c r="J40" i="37"/>
  <c r="W40" i="37" s="1"/>
  <c r="F40" i="37"/>
  <c r="AA40" i="37" s="1"/>
  <c r="H14" i="33"/>
  <c r="U14" i="33" s="1"/>
  <c r="F30" i="33"/>
  <c r="F44" i="33"/>
  <c r="S44" i="33" s="1"/>
  <c r="H13" i="34"/>
  <c r="U13" i="34" s="1"/>
  <c r="F29" i="34"/>
  <c r="S29" i="34" s="1"/>
  <c r="F31" i="34"/>
  <c r="S31" i="34" s="1"/>
  <c r="H47" i="34"/>
  <c r="U47" i="34" s="1"/>
  <c r="J13" i="35"/>
  <c r="AC13" i="35" s="1"/>
  <c r="J25" i="35"/>
  <c r="F25" i="35"/>
  <c r="AA25" i="35" s="1"/>
  <c r="H25" i="35"/>
  <c r="J35" i="35"/>
  <c r="AC35" i="35" s="1"/>
  <c r="F35" i="35"/>
  <c r="S35" i="35" s="1"/>
  <c r="H35" i="35"/>
  <c r="U35" i="35" s="1"/>
  <c r="J25" i="36"/>
  <c r="W25" i="36" s="1"/>
  <c r="F25" i="36"/>
  <c r="AA25" i="36" s="1"/>
  <c r="H25" i="36"/>
  <c r="AB25" i="36" s="1"/>
  <c r="F13" i="37"/>
  <c r="S13" i="37" s="1"/>
  <c r="F28" i="37"/>
  <c r="AA28" i="37" s="1"/>
  <c r="J28" i="37"/>
  <c r="AC28" i="37" s="1"/>
  <c r="H28" i="37"/>
  <c r="U28" i="37" s="1"/>
  <c r="J38" i="37"/>
  <c r="AC38" i="37" s="1"/>
  <c r="J14" i="37"/>
  <c r="W14" i="37" s="1"/>
  <c r="W35" i="35"/>
  <c r="AB40" i="37"/>
  <c r="J36" i="37"/>
  <c r="AC36" i="37" s="1"/>
  <c r="AB28" i="36"/>
  <c r="W30" i="21"/>
  <c r="W42" i="21"/>
  <c r="U36" i="37"/>
  <c r="AB45" i="33"/>
  <c r="AB31" i="33"/>
  <c r="AB27" i="33"/>
  <c r="G521" i="3"/>
  <c r="G513" i="3"/>
  <c r="G499" i="3"/>
  <c r="G565" i="3"/>
  <c r="G545" i="3"/>
  <c r="BL569" i="3"/>
  <c r="BL557" i="3"/>
  <c r="BL527" i="3"/>
  <c r="BL511" i="3"/>
  <c r="BL491" i="3"/>
  <c r="BL559" i="3"/>
  <c r="BL541" i="3"/>
  <c r="G514" i="3"/>
  <c r="BL503" i="3"/>
  <c r="BL485" i="3"/>
  <c r="BA569" i="3"/>
  <c r="AZ569" i="3" s="1"/>
  <c r="BA561" i="3"/>
  <c r="BA555" i="3"/>
  <c r="BA541" i="3"/>
  <c r="AZ541" i="3" s="1"/>
  <c r="BA505" i="3"/>
  <c r="BA19" i="3"/>
  <c r="BA560" i="3"/>
  <c r="BA550" i="3"/>
  <c r="BA536" i="3"/>
  <c r="BA520" i="3"/>
  <c r="BA512" i="3"/>
  <c r="BA502" i="3"/>
  <c r="BA484" i="3"/>
  <c r="G560" i="3"/>
  <c r="G550" i="3"/>
  <c r="AC542" i="3"/>
  <c r="G542" i="3" s="1"/>
  <c r="BQ542" i="3"/>
  <c r="BQ568" i="3"/>
  <c r="BQ566" i="3"/>
  <c r="BQ564" i="3"/>
  <c r="BL564" i="3" s="1"/>
  <c r="BQ562" i="3"/>
  <c r="BQ560" i="3"/>
  <c r="BL560" i="3" s="1"/>
  <c r="AZ560" i="3" s="1"/>
  <c r="BQ558" i="3"/>
  <c r="BQ556" i="3"/>
  <c r="BL556" i="3" s="1"/>
  <c r="BQ554" i="3"/>
  <c r="BQ552" i="3"/>
  <c r="BQ550" i="3"/>
  <c r="BQ548" i="3"/>
  <c r="BQ546" i="3"/>
  <c r="BQ544" i="3"/>
  <c r="BL544" i="3" s="1"/>
  <c r="G530" i="3"/>
  <c r="BQ540" i="3"/>
  <c r="BQ538" i="3"/>
  <c r="BQ536" i="3"/>
  <c r="BQ534" i="3"/>
  <c r="BQ532" i="3"/>
  <c r="BQ530" i="3"/>
  <c r="BQ528" i="3"/>
  <c r="BQ526" i="3"/>
  <c r="BQ524" i="3"/>
  <c r="BQ522" i="3"/>
  <c r="BQ520" i="3"/>
  <c r="BQ518" i="3"/>
  <c r="BQ516" i="3"/>
  <c r="BQ514" i="3"/>
  <c r="BL514" i="3" s="1"/>
  <c r="BQ512" i="3"/>
  <c r="BQ510" i="3"/>
  <c r="BL510" i="3" s="1"/>
  <c r="BQ508" i="3"/>
  <c r="AC506" i="3"/>
  <c r="G506" i="3" s="1"/>
  <c r="BQ506" i="3"/>
  <c r="G502" i="3"/>
  <c r="BQ504" i="3"/>
  <c r="BL504" i="3" s="1"/>
  <c r="AZ504" i="3" s="1"/>
  <c r="BQ502" i="3"/>
  <c r="BQ500" i="3"/>
  <c r="BL500" i="3" s="1"/>
  <c r="BQ498" i="3"/>
  <c r="BQ496" i="3"/>
  <c r="AC494" i="3"/>
  <c r="BQ494" i="3"/>
  <c r="G484" i="3"/>
  <c r="BQ492" i="3"/>
  <c r="BQ490" i="3"/>
  <c r="BQ488" i="3"/>
  <c r="BQ486" i="3"/>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AC33" i="36"/>
  <c r="W23" i="35"/>
  <c r="S25" i="37"/>
  <c r="AC36" i="34"/>
  <c r="AB8" i="34"/>
  <c r="AC45" i="33"/>
  <c r="U19" i="21"/>
  <c r="AC33" i="21"/>
  <c r="S39" i="33"/>
  <c r="F43" i="33"/>
  <c r="AA43" i="33" s="1"/>
  <c r="AA23" i="37"/>
  <c r="F37" i="21"/>
  <c r="S37" i="21" s="1"/>
  <c r="J37" i="21"/>
  <c r="W37" i="21" s="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F21" i="40"/>
  <c r="S21" i="40" s="1"/>
  <c r="W36" i="40"/>
  <c r="U40" i="39"/>
  <c r="J21" i="40"/>
  <c r="AC21" i="40" s="1"/>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BA377" i="3"/>
  <c r="BL377" i="3"/>
  <c r="G378" i="3"/>
  <c r="BA379" i="3"/>
  <c r="BA114" i="3"/>
  <c r="BL115" i="3"/>
  <c r="G116" i="3"/>
  <c r="BA118" i="3"/>
  <c r="BL119" i="3"/>
  <c r="AZ119" i="3" s="1"/>
  <c r="G120" i="3"/>
  <c r="BA122" i="3"/>
  <c r="BL123" i="3"/>
  <c r="AZ123" i="3"/>
  <c r="G124" i="3"/>
  <c r="BA126" i="3"/>
  <c r="BL127" i="3"/>
  <c r="G128" i="3"/>
  <c r="BA130" i="3"/>
  <c r="AZ130" i="3" s="1"/>
  <c r="BL131" i="3"/>
  <c r="G132" i="3"/>
  <c r="BA134" i="3"/>
  <c r="BL135" i="3"/>
  <c r="G136" i="3"/>
  <c r="BA138" i="3"/>
  <c r="BL139" i="3"/>
  <c r="G140" i="3"/>
  <c r="BA142" i="3"/>
  <c r="BL143" i="3"/>
  <c r="G144" i="3"/>
  <c r="BA146" i="3"/>
  <c r="AZ146" i="3" s="1"/>
  <c r="BL147" i="3"/>
  <c r="G148" i="3"/>
  <c r="BA150" i="3"/>
  <c r="AZ150" i="3" s="1"/>
  <c r="BL151" i="3"/>
  <c r="BA153" i="3"/>
  <c r="AZ153" i="3" s="1"/>
  <c r="BL154" i="3"/>
  <c r="AZ154" i="3" s="1"/>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AZ188" i="3" s="1"/>
  <c r="BL189" i="3"/>
  <c r="G190" i="3"/>
  <c r="BA192" i="3"/>
  <c r="AZ192" i="3" s="1"/>
  <c r="BL193" i="3"/>
  <c r="G194" i="3"/>
  <c r="BA196" i="3"/>
  <c r="AZ196" i="3" s="1"/>
  <c r="BL197" i="3"/>
  <c r="AZ197" i="3" s="1"/>
  <c r="G198" i="3"/>
  <c r="BA200" i="3"/>
  <c r="BL201" i="3"/>
  <c r="AZ78" i="3"/>
  <c r="AZ82" i="3"/>
  <c r="AZ84" i="3"/>
  <c r="AZ86"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95" i="3"/>
  <c r="BL297" i="3"/>
  <c r="AZ297" i="3" s="1"/>
  <c r="G298" i="3"/>
  <c r="BA300" i="3"/>
  <c r="AZ300" i="3" s="1"/>
  <c r="BL301" i="3"/>
  <c r="AZ301" i="3" s="1"/>
  <c r="G302" i="3"/>
  <c r="BA304" i="3"/>
  <c r="BL305" i="3"/>
  <c r="G306" i="3"/>
  <c r="BA308" i="3"/>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BL329" i="3"/>
  <c r="G330" i="3"/>
  <c r="BA332" i="3"/>
  <c r="AZ332" i="3" s="1"/>
  <c r="BL333" i="3"/>
  <c r="G334" i="3"/>
  <c r="BA336" i="3"/>
  <c r="BL337" i="3"/>
  <c r="G338" i="3"/>
  <c r="BA340" i="3"/>
  <c r="AZ340" i="3"/>
  <c r="BL341" i="3"/>
  <c r="G342" i="3"/>
  <c r="BA344" i="3"/>
  <c r="BL345" i="3"/>
  <c r="G346" i="3"/>
  <c r="BA348" i="3"/>
  <c r="AZ348" i="3" s="1"/>
  <c r="BL349" i="3"/>
  <c r="AZ349" i="3" s="1"/>
  <c r="G350" i="3"/>
  <c r="BA352" i="3"/>
  <c r="AZ352" i="3" s="1"/>
  <c r="BL353" i="3"/>
  <c r="G354" i="3"/>
  <c r="BA356" i="3"/>
  <c r="AZ356" i="3" s="1"/>
  <c r="BL357" i="3"/>
  <c r="G358" i="3"/>
  <c r="BA362" i="3"/>
  <c r="BL363" i="3"/>
  <c r="G364" i="3"/>
  <c r="BA366" i="3"/>
  <c r="BL367" i="3"/>
  <c r="AZ367" i="3" s="1"/>
  <c r="AZ213" i="3"/>
  <c r="AZ217" i="3"/>
  <c r="AZ321" i="3"/>
  <c r="AZ325" i="3"/>
  <c r="AZ353" i="3"/>
  <c r="G368" i="3"/>
  <c r="BA370" i="3"/>
  <c r="BL371" i="3"/>
  <c r="AZ371" i="3"/>
  <c r="G372" i="3"/>
  <c r="BA374" i="3"/>
  <c r="AZ374" i="3" s="1"/>
  <c r="BL375" i="3"/>
  <c r="G376" i="3"/>
  <c r="BA378" i="3"/>
  <c r="BL379" i="3"/>
  <c r="G380" i="3"/>
  <c r="BA382" i="3"/>
  <c r="BL383" i="3"/>
  <c r="G384" i="3"/>
  <c r="AZ253" i="3"/>
  <c r="AZ257" i="3"/>
  <c r="AZ375" i="3"/>
  <c r="AZ475" i="3"/>
  <c r="AZ479" i="3"/>
  <c r="H7" i="48"/>
  <c r="H113" i="46"/>
  <c r="H17" i="46"/>
  <c r="F33" i="46"/>
  <c r="F35" i="46"/>
  <c r="F37" i="46"/>
  <c r="H16" i="48"/>
  <c r="H9" i="48"/>
  <c r="H8" i="48"/>
  <c r="C12" i="46"/>
  <c r="AA43" i="21"/>
  <c r="U43" i="21"/>
  <c r="AA13" i="40"/>
  <c r="R16" i="4"/>
  <c r="P16" i="4"/>
  <c r="D3" i="35"/>
  <c r="G4" i="4"/>
  <c r="S37" i="34"/>
  <c r="J16" i="35"/>
  <c r="W16" i="35" s="1"/>
  <c r="U42" i="21"/>
  <c r="AC26" i="36"/>
  <c r="AZ354" i="3"/>
  <c r="H11" i="37"/>
  <c r="AB11" i="37" s="1"/>
  <c r="W37" i="37"/>
  <c r="AA36" i="37"/>
  <c r="S42" i="33"/>
  <c r="U32" i="33"/>
  <c r="AB17" i="37"/>
  <c r="AA45" i="33"/>
  <c r="AC10" i="36"/>
  <c r="AC14" i="37"/>
  <c r="AB35" i="35"/>
  <c r="S25" i="35"/>
  <c r="AC29" i="37"/>
  <c r="J33" i="34"/>
  <c r="AC33" i="34" s="1"/>
  <c r="AB36" i="34"/>
  <c r="J40" i="34"/>
  <c r="W40" i="34" s="1"/>
  <c r="F16" i="35"/>
  <c r="AA16" i="35" s="1"/>
  <c r="J35" i="34"/>
  <c r="W35" i="34" s="1"/>
  <c r="S30" i="36"/>
  <c r="H16" i="36"/>
  <c r="AB16" i="36" s="1"/>
  <c r="H35" i="37"/>
  <c r="AB35" i="37" s="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W27" i="33"/>
  <c r="S14" i="21"/>
  <c r="AA44" i="34"/>
  <c r="U29" i="35"/>
  <c r="U43" i="34"/>
  <c r="AB43" i="34"/>
  <c r="S35" i="37"/>
  <c r="S32" i="21"/>
  <c r="AB34" i="21"/>
  <c r="BA571" i="3"/>
  <c r="F42" i="21"/>
  <c r="AA42" i="21" s="1"/>
  <c r="AB40" i="33"/>
  <c r="U40" i="33"/>
  <c r="AA35" i="34"/>
  <c r="S35" i="34"/>
  <c r="H27" i="34"/>
  <c r="AB27" i="34" s="1"/>
  <c r="J14" i="35"/>
  <c r="AC14" i="35" s="1"/>
  <c r="F14" i="35"/>
  <c r="S14" i="35" s="1"/>
  <c r="H14" i="35"/>
  <c r="U14" i="35" s="1"/>
  <c r="E80" i="35"/>
  <c r="J32" i="35"/>
  <c r="AC32" i="35" s="1"/>
  <c r="F11" i="36"/>
  <c r="S11" i="36" s="1"/>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U29" i="39" s="1"/>
  <c r="F39" i="39"/>
  <c r="J39" i="39"/>
  <c r="W39" i="39" s="1"/>
  <c r="J29" i="35"/>
  <c r="AC29" i="35" s="1"/>
  <c r="F29" i="35"/>
  <c r="S29" i="35" s="1"/>
  <c r="W30" i="36"/>
  <c r="AC30" i="36"/>
  <c r="F37" i="39"/>
  <c r="S37" i="39" s="1"/>
  <c r="H37" i="39"/>
  <c r="U37" i="39" s="1"/>
  <c r="J37" i="39"/>
  <c r="W37" i="39" s="1"/>
  <c r="BL568" i="3"/>
  <c r="BA553" i="3"/>
  <c r="BL548" i="3"/>
  <c r="BL539" i="3"/>
  <c r="BA537" i="3"/>
  <c r="BA535" i="3"/>
  <c r="BA533" i="3"/>
  <c r="BL530" i="3"/>
  <c r="BL529" i="3"/>
  <c r="BL528" i="3"/>
  <c r="BA526" i="3"/>
  <c r="BL523" i="3"/>
  <c r="BA522" i="3"/>
  <c r="BA519" i="3"/>
  <c r="BL518" i="3"/>
  <c r="BA518" i="3"/>
  <c r="AZ518" i="3" s="1"/>
  <c r="BL517" i="3"/>
  <c r="BA517" i="3"/>
  <c r="BL515" i="3"/>
  <c r="BA515" i="3"/>
  <c r="AZ515" i="3" s="1"/>
  <c r="BA514" i="3"/>
  <c r="AZ514" i="3" s="1"/>
  <c r="BL513" i="3"/>
  <c r="BA513" i="3"/>
  <c r="BL512" i="3"/>
  <c r="AZ512" i="3" s="1"/>
  <c r="BA511" i="3"/>
  <c r="AZ511" i="3" s="1"/>
  <c r="BA510" i="3"/>
  <c r="AZ510" i="3" s="1"/>
  <c r="BL509" i="3"/>
  <c r="BL507" i="3"/>
  <c r="BA507" i="3"/>
  <c r="BL506" i="3"/>
  <c r="BA506" i="3"/>
  <c r="AZ506" i="3"/>
  <c r="BL505" i="3"/>
  <c r="AZ505" i="3"/>
  <c r="BA504" i="3"/>
  <c r="BA503" i="3"/>
  <c r="AZ503" i="3"/>
  <c r="BA500" i="3"/>
  <c r="BL499" i="3"/>
  <c r="BA499" i="3"/>
  <c r="BL498" i="3"/>
  <c r="BL497" i="3"/>
  <c r="BA497" i="3"/>
  <c r="AZ497" i="3" s="1"/>
  <c r="BA496" i="3"/>
  <c r="BL494" i="3"/>
  <c r="G494" i="3"/>
  <c r="BL490" i="3"/>
  <c r="BL489" i="3"/>
  <c r="BA486" i="3"/>
  <c r="BL481" i="3"/>
  <c r="BA481" i="3"/>
  <c r="AZ481" i="3" s="1"/>
  <c r="BL19" i="3"/>
  <c r="AZ19" i="3" s="1"/>
  <c r="F36" i="44"/>
  <c r="H38" i="34"/>
  <c r="U38" i="34" s="1"/>
  <c r="H30" i="40"/>
  <c r="AB30" i="40" s="1"/>
  <c r="G100" i="40"/>
  <c r="J30" i="40" s="1"/>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W34" i="34"/>
  <c r="S39" i="34"/>
  <c r="E78" i="34"/>
  <c r="F78" i="34" s="1"/>
  <c r="G78" i="34" s="1"/>
  <c r="F15" i="34"/>
  <c r="AC28" i="35"/>
  <c r="J20" i="35"/>
  <c r="AC20" i="35" s="1"/>
  <c r="E72" i="35"/>
  <c r="F72" i="35" s="1"/>
  <c r="G72" i="35" s="1"/>
  <c r="H22" i="35"/>
  <c r="AB22"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U42" i="40" s="1"/>
  <c r="H40" i="40"/>
  <c r="U40" i="40" s="1"/>
  <c r="H34" i="40"/>
  <c r="U34" i="40" s="1"/>
  <c r="B41" i="1"/>
  <c r="J42" i="40"/>
  <c r="AC42" i="40" s="1"/>
  <c r="J40" i="40"/>
  <c r="AC40" i="40" s="1"/>
  <c r="J34" i="40"/>
  <c r="AC34" i="40" s="1"/>
  <c r="H14" i="40"/>
  <c r="U14" i="40" s="1"/>
  <c r="F32" i="40"/>
  <c r="AA32" i="40" s="1"/>
  <c r="M1" i="46"/>
  <c r="M6" i="46"/>
  <c r="M10" i="46"/>
  <c r="N2" i="46"/>
  <c r="N5" i="46"/>
  <c r="F58" i="46" s="1"/>
  <c r="F47" i="46"/>
  <c r="H49" i="46" s="1"/>
  <c r="N7" i="46"/>
  <c r="AZ477" i="3"/>
  <c r="AZ215" i="3"/>
  <c r="AZ220" i="3"/>
  <c r="AZ252" i="3"/>
  <c r="AZ255" i="3"/>
  <c r="AZ152" i="3"/>
  <c r="M7" i="46"/>
  <c r="M11" i="46"/>
  <c r="N3" i="46"/>
  <c r="N6" i="46"/>
  <c r="N10" i="46"/>
  <c r="AZ79" i="3"/>
  <c r="AZ107" i="3"/>
  <c r="H47" i="46"/>
  <c r="J13" i="40"/>
  <c r="W13" i="40" s="1"/>
  <c r="W40" i="40"/>
  <c r="F27" i="43"/>
  <c r="F71" i="9"/>
  <c r="S33" i="40"/>
  <c r="U37" i="34"/>
  <c r="U41" i="40"/>
  <c r="J23" i="40"/>
  <c r="AC23" i="40" s="1"/>
  <c r="F23" i="40"/>
  <c r="S23" i="40" s="1"/>
  <c r="H20" i="35"/>
  <c r="U20" i="35" s="1"/>
  <c r="F20" i="35"/>
  <c r="S20" i="35" s="1"/>
  <c r="H15" i="34"/>
  <c r="AB15" i="34" s="1"/>
  <c r="J15" i="34"/>
  <c r="W15" i="34" s="1"/>
  <c r="H41" i="33"/>
  <c r="U41" i="33" s="1"/>
  <c r="F30" i="40"/>
  <c r="AA30" i="40" s="1"/>
  <c r="H100" i="40"/>
  <c r="I100" i="40" s="1"/>
  <c r="J100" i="40" s="1"/>
  <c r="K100" i="40" s="1"/>
  <c r="L100" i="40" s="1"/>
  <c r="M100" i="40" s="1"/>
  <c r="AB37" i="39"/>
  <c r="U39" i="39"/>
  <c r="J29" i="39"/>
  <c r="AC29" i="39" s="1"/>
  <c r="AB33" i="36"/>
  <c r="AA14" i="35"/>
  <c r="G99" i="37"/>
  <c r="F33" i="37" s="1"/>
  <c r="U46" i="34"/>
  <c r="AC30" i="34"/>
  <c r="AA14" i="34"/>
  <c r="W12" i="34"/>
  <c r="U29" i="33"/>
  <c r="AC13" i="33"/>
  <c r="U17" i="34"/>
  <c r="AA11" i="34"/>
  <c r="W32" i="33"/>
  <c r="H15" i="33"/>
  <c r="U15" i="33" s="1"/>
  <c r="AA11" i="33"/>
  <c r="AA40" i="21"/>
  <c r="U17" i="21"/>
  <c r="W34" i="40"/>
  <c r="AC16" i="40"/>
  <c r="H25" i="40"/>
  <c r="AB25" i="40" s="1"/>
  <c r="F94" i="40"/>
  <c r="G94" i="40" s="1"/>
  <c r="U47" i="39"/>
  <c r="J37" i="34"/>
  <c r="AC37" i="34" s="1"/>
  <c r="J36" i="33"/>
  <c r="W36" i="33" s="1"/>
  <c r="AB23" i="40"/>
  <c r="U27" i="39"/>
  <c r="H23" i="39"/>
  <c r="AB23" i="39" s="1"/>
  <c r="J23" i="39"/>
  <c r="AC23" i="39" s="1"/>
  <c r="F97" i="39"/>
  <c r="G97" i="39" s="1"/>
  <c r="S16" i="39"/>
  <c r="S15" i="34"/>
  <c r="AA15" i="34"/>
  <c r="AA34" i="33"/>
  <c r="J34" i="33"/>
  <c r="AC34" i="33" s="1"/>
  <c r="U30" i="40"/>
  <c r="AA37" i="39"/>
  <c r="W29" i="35"/>
  <c r="AC39" i="39"/>
  <c r="AA39" i="39"/>
  <c r="S39" i="39"/>
  <c r="AB46" i="39"/>
  <c r="S33" i="39"/>
  <c r="F80" i="35"/>
  <c r="G80" i="35" s="1"/>
  <c r="H80" i="35" s="1"/>
  <c r="I80" i="35" s="1"/>
  <c r="J80" i="35" s="1"/>
  <c r="K80" i="35" s="1"/>
  <c r="L80" i="35" s="1"/>
  <c r="M80" i="35" s="1"/>
  <c r="W14" i="35"/>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3" i="40"/>
  <c r="J11" i="34"/>
  <c r="W11" i="34" s="1"/>
  <c r="F25" i="40"/>
  <c r="AA25" i="40" s="1"/>
  <c r="J11" i="33"/>
  <c r="W11" i="33" s="1"/>
  <c r="H33" i="37"/>
  <c r="AB33" i="37" s="1"/>
  <c r="W23" i="40"/>
  <c r="D73" i="9"/>
  <c r="N73" i="9" s="1"/>
  <c r="AP11" i="1"/>
  <c r="J51" i="15"/>
  <c r="B11" i="1"/>
  <c r="E11" i="1" s="1"/>
  <c r="K11" i="1"/>
  <c r="M11" i="1" s="1"/>
  <c r="B9" i="1"/>
  <c r="E9" i="1" s="1"/>
  <c r="K9" i="1"/>
  <c r="B7" i="1"/>
  <c r="E7" i="1" s="1"/>
  <c r="K7" i="1"/>
  <c r="M7" i="1" s="1"/>
  <c r="O7" i="1" s="1"/>
  <c r="P7" i="1" s="1"/>
  <c r="C20" i="43"/>
  <c r="E2" i="65"/>
  <c r="AC16" i="35" l="1"/>
  <c r="AC27" i="35"/>
  <c r="S31" i="35"/>
  <c r="AB27" i="35"/>
  <c r="W31" i="35"/>
  <c r="S9" i="35"/>
  <c r="AB20" i="35"/>
  <c r="AB10" i="35"/>
  <c r="U23" i="35"/>
  <c r="AB23" i="35"/>
  <c r="AA41" i="40"/>
  <c r="S41" i="40"/>
  <c r="AZ545" i="3"/>
  <c r="AZ525" i="3"/>
  <c r="AZ522" i="3"/>
  <c r="W45" i="21"/>
  <c r="AC45" i="21"/>
  <c r="W28" i="33"/>
  <c r="AC28" i="33"/>
  <c r="AB46" i="21"/>
  <c r="U46" i="21"/>
  <c r="AA28" i="21"/>
  <c r="S28" i="21"/>
  <c r="W14" i="21"/>
  <c r="AC14" i="21"/>
  <c r="W34" i="37"/>
  <c r="AC34" i="37"/>
  <c r="AA24" i="36"/>
  <c r="S24" i="36"/>
  <c r="AB38" i="33"/>
  <c r="U38" i="33"/>
  <c r="J26" i="33"/>
  <c r="AC26" i="33" s="1"/>
  <c r="F26" i="33"/>
  <c r="AA26" i="33" s="1"/>
  <c r="H26" i="33"/>
  <c r="U26" i="33" s="1"/>
  <c r="AB9" i="34"/>
  <c r="U9" i="34"/>
  <c r="F28" i="34"/>
  <c r="J28" i="34"/>
  <c r="H30" i="33"/>
  <c r="AB30" i="33" s="1"/>
  <c r="J30" i="33"/>
  <c r="AC44" i="33"/>
  <c r="W44" i="33"/>
  <c r="J46" i="33"/>
  <c r="H46" i="33"/>
  <c r="AB46" i="33" s="1"/>
  <c r="J29" i="34"/>
  <c r="AC29" i="34" s="1"/>
  <c r="H29" i="34"/>
  <c r="U29" i="34" s="1"/>
  <c r="AB31" i="34"/>
  <c r="U31" i="34"/>
  <c r="H45" i="34"/>
  <c r="F45" i="34"/>
  <c r="F13" i="35"/>
  <c r="S13" i="35" s="1"/>
  <c r="H13" i="35"/>
  <c r="U13" i="35" s="1"/>
  <c r="AC39" i="37"/>
  <c r="W39" i="37"/>
  <c r="BA567" i="3"/>
  <c r="AZ567" i="3" s="1"/>
  <c r="BL565" i="3"/>
  <c r="BA565" i="3"/>
  <c r="BL563" i="3"/>
  <c r="AZ563" i="3" s="1"/>
  <c r="BL561" i="3"/>
  <c r="BA557" i="3"/>
  <c r="AZ557" i="3" s="1"/>
  <c r="BL553" i="3"/>
  <c r="AZ553" i="3" s="1"/>
  <c r="BL551" i="3"/>
  <c r="BA551" i="3"/>
  <c r="BA549" i="3"/>
  <c r="AZ549" i="3" s="1"/>
  <c r="BA547" i="3"/>
  <c r="AZ547" i="3" s="1"/>
  <c r="BA546" i="3"/>
  <c r="BA542" i="3"/>
  <c r="BA539" i="3"/>
  <c r="BL537" i="3"/>
  <c r="AZ537" i="3" s="1"/>
  <c r="BL535" i="3"/>
  <c r="AZ535" i="3" s="1"/>
  <c r="BL533" i="3"/>
  <c r="AZ533" i="3" s="1"/>
  <c r="BA531" i="3"/>
  <c r="AZ531" i="3" s="1"/>
  <c r="BA524" i="3"/>
  <c r="BA487" i="3"/>
  <c r="AZ487" i="3" s="1"/>
  <c r="BA20" i="3"/>
  <c r="AC5" i="3"/>
  <c r="AC15" i="34"/>
  <c r="S17" i="34"/>
  <c r="AA41" i="33"/>
  <c r="AB42" i="40"/>
  <c r="AA11" i="36"/>
  <c r="AA29" i="35"/>
  <c r="AB38" i="34"/>
  <c r="W15" i="40"/>
  <c r="AC41" i="40"/>
  <c r="AC47" i="39"/>
  <c r="H16" i="40"/>
  <c r="AB16" i="40" s="1"/>
  <c r="J14" i="40"/>
  <c r="S43" i="34"/>
  <c r="AB8" i="35"/>
  <c r="W19" i="33"/>
  <c r="S28" i="33"/>
  <c r="AC40" i="37"/>
  <c r="W42" i="33"/>
  <c r="AC32" i="36"/>
  <c r="U39" i="37"/>
  <c r="U43" i="33"/>
  <c r="AB43" i="33"/>
  <c r="BL492" i="3"/>
  <c r="BL526" i="3"/>
  <c r="AZ526" i="3" s="1"/>
  <c r="BL534" i="3"/>
  <c r="AZ534" i="3" s="1"/>
  <c r="BL538" i="3"/>
  <c r="AB44" i="21"/>
  <c r="AB14" i="21"/>
  <c r="AB13" i="21"/>
  <c r="F14" i="37"/>
  <c r="AA14" i="37" s="1"/>
  <c r="AB25" i="35"/>
  <c r="U25" i="35"/>
  <c r="AC25" i="35"/>
  <c r="W25" i="35"/>
  <c r="J47" i="34"/>
  <c r="AC47" i="34" s="1"/>
  <c r="J45" i="34"/>
  <c r="W45" i="34" s="1"/>
  <c r="J31" i="34"/>
  <c r="F13" i="34"/>
  <c r="AA13" i="34" s="1"/>
  <c r="F46" i="33"/>
  <c r="AA46" i="33" s="1"/>
  <c r="H44" i="33"/>
  <c r="J14" i="33"/>
  <c r="AC14" i="33" s="1"/>
  <c r="W29" i="33"/>
  <c r="AC29" i="33"/>
  <c r="S27" i="33"/>
  <c r="AA27" i="33"/>
  <c r="U31" i="21"/>
  <c r="AB31" i="21"/>
  <c r="H28" i="33"/>
  <c r="W37" i="33"/>
  <c r="AC37" i="33"/>
  <c r="AB40" i="34"/>
  <c r="W40" i="33"/>
  <c r="U16" i="35"/>
  <c r="AB16" i="35"/>
  <c r="W34" i="36"/>
  <c r="AC34" i="36"/>
  <c r="S34" i="34"/>
  <c r="AA26" i="21"/>
  <c r="S26" i="21"/>
  <c r="AC8" i="21"/>
  <c r="W8" i="21"/>
  <c r="W40" i="21"/>
  <c r="AC40" i="21"/>
  <c r="S36" i="21"/>
  <c r="AA36" i="21"/>
  <c r="AB38" i="21"/>
  <c r="U38" i="21"/>
  <c r="BL572" i="3"/>
  <c r="BA572" i="3"/>
  <c r="BL571" i="3"/>
  <c r="BL570" i="3"/>
  <c r="BT5" i="3"/>
  <c r="AA10" i="21"/>
  <c r="S10" i="21"/>
  <c r="H27" i="21"/>
  <c r="AB27" i="21" s="1"/>
  <c r="F27" i="21"/>
  <c r="AA27" i="21" s="1"/>
  <c r="J31" i="21"/>
  <c r="AC31" i="21" s="1"/>
  <c r="F31" i="21"/>
  <c r="S31" i="21" s="1"/>
  <c r="AC9" i="33"/>
  <c r="W9" i="33"/>
  <c r="F12" i="33"/>
  <c r="J24" i="35"/>
  <c r="F24" i="35"/>
  <c r="AA24" i="35" s="1"/>
  <c r="U8" i="36"/>
  <c r="AB8" i="36"/>
  <c r="AC23" i="36"/>
  <c r="W23" i="36"/>
  <c r="AB26" i="36"/>
  <c r="U26" i="36"/>
  <c r="J11" i="36"/>
  <c r="H11" i="36"/>
  <c r="F32" i="36"/>
  <c r="S32" i="36" s="1"/>
  <c r="H32" i="36"/>
  <c r="AB32" i="36" s="1"/>
  <c r="W8" i="37"/>
  <c r="AC8" i="37"/>
  <c r="J9" i="37"/>
  <c r="W9" i="37" s="1"/>
  <c r="F9" i="37"/>
  <c r="S9" i="37" s="1"/>
  <c r="H13" i="37"/>
  <c r="AB13" i="37" s="1"/>
  <c r="J13" i="37"/>
  <c r="AC13" i="37" s="1"/>
  <c r="H27" i="37"/>
  <c r="F27" i="37"/>
  <c r="J27" i="37"/>
  <c r="H38" i="37"/>
  <c r="AB38" i="37" s="1"/>
  <c r="F38" i="37"/>
  <c r="S38" i="37" s="1"/>
  <c r="H25" i="37"/>
  <c r="U25" i="37" s="1"/>
  <c r="J25" i="37"/>
  <c r="F109" i="39"/>
  <c r="J34" i="39"/>
  <c r="AC34" i="39" s="1"/>
  <c r="E126" i="39"/>
  <c r="F126" i="39" s="1"/>
  <c r="H43" i="39"/>
  <c r="U43" i="39" s="1"/>
  <c r="U41" i="21"/>
  <c r="AB41" i="21"/>
  <c r="AB31" i="35"/>
  <c r="U31" i="35"/>
  <c r="BA568" i="3"/>
  <c r="G519" i="3"/>
  <c r="BA516" i="3"/>
  <c r="BA509" i="3"/>
  <c r="AZ509" i="3" s="1"/>
  <c r="BA508" i="3"/>
  <c r="BL501" i="3"/>
  <c r="BA501" i="3"/>
  <c r="BA498" i="3"/>
  <c r="AZ496" i="3"/>
  <c r="AZ498" i="3"/>
  <c r="AZ528" i="3"/>
  <c r="AZ178" i="3"/>
  <c r="AA10" i="35"/>
  <c r="S10" i="35"/>
  <c r="AZ555" i="3"/>
  <c r="AZ561" i="3"/>
  <c r="S30" i="33"/>
  <c r="AA30" i="33"/>
  <c r="AC39" i="34"/>
  <c r="W39" i="34"/>
  <c r="BL566" i="3"/>
  <c r="AZ566" i="3" s="1"/>
  <c r="BA564" i="3"/>
  <c r="BA562" i="3"/>
  <c r="BA558" i="3"/>
  <c r="BL554" i="3"/>
  <c r="AZ554" i="3" s="1"/>
  <c r="BA554" i="3"/>
  <c r="BL552" i="3"/>
  <c r="BA552" i="3"/>
  <c r="BL550" i="3"/>
  <c r="BA548" i="3"/>
  <c r="AZ548" i="3" s="1"/>
  <c r="BA543" i="3"/>
  <c r="BA540" i="3"/>
  <c r="BA532" i="3"/>
  <c r="BL519" i="3"/>
  <c r="AZ519" i="3" s="1"/>
  <c r="BL495" i="3"/>
  <c r="AZ495" i="3" s="1"/>
  <c r="BL493" i="3"/>
  <c r="AZ493" i="3" s="1"/>
  <c r="BL488" i="3"/>
  <c r="BA488" i="3"/>
  <c r="BL483" i="3"/>
  <c r="AZ483" i="3" s="1"/>
  <c r="AZ378" i="3"/>
  <c r="AZ373" i="3"/>
  <c r="AZ365" i="3"/>
  <c r="AZ362" i="3"/>
  <c r="AZ347" i="3"/>
  <c r="AZ344" i="3"/>
  <c r="AZ339" i="3"/>
  <c r="AZ336" i="3"/>
  <c r="AZ331" i="3"/>
  <c r="AZ328" i="3"/>
  <c r="AZ323" i="3"/>
  <c r="AZ320" i="3"/>
  <c r="AZ361" i="3"/>
  <c r="AZ327" i="3"/>
  <c r="AZ303" i="3"/>
  <c r="BL20" i="3"/>
  <c r="AZ20" i="3" s="1"/>
  <c r="BL484" i="3"/>
  <c r="BL502" i="3"/>
  <c r="BL508" i="3"/>
  <c r="AZ508" i="3" s="1"/>
  <c r="BL516" i="3"/>
  <c r="AZ516" i="3" s="1"/>
  <c r="BL520" i="3"/>
  <c r="AZ520" i="3" s="1"/>
  <c r="BL524" i="3"/>
  <c r="AZ524" i="3" s="1"/>
  <c r="BL532" i="3"/>
  <c r="AZ532" i="3" s="1"/>
  <c r="BL540" i="3"/>
  <c r="AZ540" i="3" s="1"/>
  <c r="BL546" i="3"/>
  <c r="AZ546" i="3" s="1"/>
  <c r="BL558" i="3"/>
  <c r="AZ558" i="3" s="1"/>
  <c r="BL562" i="3"/>
  <c r="AZ562" i="3" s="1"/>
  <c r="BL542" i="3"/>
  <c r="G569" i="3"/>
  <c r="G564" i="3"/>
  <c r="G533" i="3"/>
  <c r="G527" i="3"/>
  <c r="G520" i="3"/>
  <c r="G505" i="3"/>
  <c r="G503" i="3"/>
  <c r="G500" i="3"/>
  <c r="C110" i="9"/>
  <c r="G17" i="46"/>
  <c r="F8" i="1"/>
  <c r="BL389" i="3"/>
  <c r="G390" i="3"/>
  <c r="BL391" i="3"/>
  <c r="G392" i="3"/>
  <c r="BL393" i="3"/>
  <c r="BA395" i="3"/>
  <c r="G396" i="3"/>
  <c r="BA397" i="3"/>
  <c r="AZ397" i="3" s="1"/>
  <c r="BL397" i="3"/>
  <c r="BA399" i="3"/>
  <c r="AZ399" i="3" s="1"/>
  <c r="BL399" i="3"/>
  <c r="BA400" i="3"/>
  <c r="AZ400" i="3" s="1"/>
  <c r="BA401" i="3"/>
  <c r="AZ401" i="3" s="1"/>
  <c r="BA403" i="3"/>
  <c r="AZ403" i="3" s="1"/>
  <c r="BL403" i="3"/>
  <c r="BA404" i="3"/>
  <c r="AZ404" i="3" s="1"/>
  <c r="BL406" i="3"/>
  <c r="G407" i="3"/>
  <c r="BA408" i="3"/>
  <c r="BL408" i="3"/>
  <c r="BA409" i="3"/>
  <c r="AZ409" i="3" s="1"/>
  <c r="BA410" i="3"/>
  <c r="AZ410" i="3" s="1"/>
  <c r="BL412" i="3"/>
  <c r="G413" i="3"/>
  <c r="BA414" i="3"/>
  <c r="G415" i="3"/>
  <c r="BL416" i="3"/>
  <c r="G419" i="3"/>
  <c r="BA420"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BA452" i="3"/>
  <c r="G453" i="3"/>
  <c r="BL454" i="3"/>
  <c r="G455" i="3"/>
  <c r="BL456" i="3"/>
  <c r="G457" i="3"/>
  <c r="BA458" i="3"/>
  <c r="G459" i="3"/>
  <c r="BL460" i="3"/>
  <c r="BA462" i="3"/>
  <c r="G463" i="3"/>
  <c r="BL464" i="3"/>
  <c r="G467" i="3"/>
  <c r="G471" i="3"/>
  <c r="BL308" i="3"/>
  <c r="AZ308" i="3" s="1"/>
  <c r="G311" i="3"/>
  <c r="BL312" i="3"/>
  <c r="AZ312" i="3" s="1"/>
  <c r="G313" i="3"/>
  <c r="BL314" i="3"/>
  <c r="AZ314" i="3" s="1"/>
  <c r="BA317" i="3"/>
  <c r="AZ317" i="3" s="1"/>
  <c r="BL319" i="3"/>
  <c r="G320" i="3"/>
  <c r="BA337" i="3"/>
  <c r="AZ337" i="3" s="1"/>
  <c r="BA341" i="3"/>
  <c r="AZ341" i="3" s="1"/>
  <c r="G367" i="3"/>
  <c r="BL368" i="3"/>
  <c r="G381" i="3"/>
  <c r="G383" i="3"/>
  <c r="BL384" i="3"/>
  <c r="BL386" i="3"/>
  <c r="G205" i="3"/>
  <c r="G209" i="3"/>
  <c r="G228" i="3"/>
  <c r="G230" i="3"/>
  <c r="BL231" i="3"/>
  <c r="G234" i="3"/>
  <c r="BA235" i="3"/>
  <c r="G236" i="3"/>
  <c r="BA237" i="3"/>
  <c r="G238" i="3"/>
  <c r="BL239" i="3"/>
  <c r="G240" i="3"/>
  <c r="BL241" i="3"/>
  <c r="G242" i="3"/>
  <c r="G263" i="3"/>
  <c r="G267" i="3"/>
  <c r="BL268" i="3"/>
  <c r="G271" i="3"/>
  <c r="BA272" i="3"/>
  <c r="G273" i="3"/>
  <c r="BA274" i="3"/>
  <c r="G275" i="3"/>
  <c r="BL276" i="3"/>
  <c r="G277" i="3"/>
  <c r="BA278" i="3"/>
  <c r="G279" i="3"/>
  <c r="BA280" i="3"/>
  <c r="BL280" i="3"/>
  <c r="BA282" i="3"/>
  <c r="BL282" i="3"/>
  <c r="BA283" i="3"/>
  <c r="AZ283" i="3" s="1"/>
  <c r="BA284" i="3"/>
  <c r="AZ284" i="3" s="1"/>
  <c r="BA286" i="3"/>
  <c r="BL286" i="3"/>
  <c r="BA287" i="3"/>
  <c r="AZ287" i="3" s="1"/>
  <c r="BA288" i="3"/>
  <c r="AZ288" i="3" s="1"/>
  <c r="BA289" i="3"/>
  <c r="AZ289" i="3" s="1"/>
  <c r="BA290" i="3"/>
  <c r="AZ290" i="3" s="1"/>
  <c r="BL290" i="3"/>
  <c r="G291" i="3"/>
  <c r="BA292" i="3"/>
  <c r="G293" i="3"/>
  <c r="BA294" i="3"/>
  <c r="BL294" i="3"/>
  <c r="BL296" i="3"/>
  <c r="G113" i="3"/>
  <c r="BL114" i="3"/>
  <c r="AZ114" i="3" s="1"/>
  <c r="BA116" i="3"/>
  <c r="BL116" i="3"/>
  <c r="BA117" i="3"/>
  <c r="AZ117" i="3" s="1"/>
  <c r="BL118" i="3"/>
  <c r="AZ118" i="3" s="1"/>
  <c r="BA120" i="3"/>
  <c r="AZ120" i="3" s="1"/>
  <c r="BA121" i="3"/>
  <c r="AZ121" i="3" s="1"/>
  <c r="BL122" i="3"/>
  <c r="AZ122" i="3" s="1"/>
  <c r="BL125" i="3"/>
  <c r="G126" i="3"/>
  <c r="BA127" i="3"/>
  <c r="AZ127" i="3" s="1"/>
  <c r="BA129" i="3"/>
  <c r="BL129" i="3"/>
  <c r="BA131" i="3"/>
  <c r="AZ131" i="3" s="1"/>
  <c r="BL133" i="3"/>
  <c r="BA135" i="3"/>
  <c r="AZ135" i="3" s="1"/>
  <c r="BL137" i="3"/>
  <c r="BA139" i="3"/>
  <c r="AZ139" i="3" s="1"/>
  <c r="G146" i="3"/>
  <c r="G156" i="3"/>
  <c r="G158" i="3"/>
  <c r="BL159" i="3"/>
  <c r="G160" i="3"/>
  <c r="BL161" i="3"/>
  <c r="AZ161" i="3" s="1"/>
  <c r="BA163" i="3"/>
  <c r="BL163" i="3"/>
  <c r="BL165" i="3"/>
  <c r="AZ165" i="3" s="1"/>
  <c r="G166" i="3"/>
  <c r="BA167" i="3"/>
  <c r="AZ167" i="3" s="1"/>
  <c r="BL169" i="3"/>
  <c r="AZ169" i="3" s="1"/>
  <c r="G170" i="3"/>
  <c r="BL172" i="3"/>
  <c r="G173" i="3"/>
  <c r="BA174" i="3"/>
  <c r="AZ174" i="3" s="1"/>
  <c r="BA176" i="3"/>
  <c r="BL176" i="3"/>
  <c r="BL178" i="3"/>
  <c r="G179" i="3"/>
  <c r="BA180" i="3"/>
  <c r="AZ180" i="3" s="1"/>
  <c r="BA181" i="3"/>
  <c r="AZ181" i="3" s="1"/>
  <c r="BA183" i="3"/>
  <c r="G184" i="3"/>
  <c r="G188" i="3"/>
  <c r="G199" i="3"/>
  <c r="G21" i="3"/>
  <c r="BA22" i="3"/>
  <c r="G23" i="3"/>
  <c r="BA24" i="3"/>
  <c r="G25" i="3"/>
  <c r="BA26" i="3"/>
  <c r="BL26" i="3"/>
  <c r="BL28" i="3"/>
  <c r="G29" i="3"/>
  <c r="BL30" i="3"/>
  <c r="BL32" i="3"/>
  <c r="G37" i="3"/>
  <c r="BA38" i="3"/>
  <c r="G39" i="3"/>
  <c r="BA40" i="3"/>
  <c r="G41" i="3"/>
  <c r="BA42" i="3"/>
  <c r="BL42" i="3"/>
  <c r="BL44" i="3"/>
  <c r="G45" i="3"/>
  <c r="BL46" i="3"/>
  <c r="BL48" i="3"/>
  <c r="G53" i="3"/>
  <c r="BA54" i="3"/>
  <c r="G55" i="3"/>
  <c r="BA56" i="3"/>
  <c r="G57" i="3"/>
  <c r="BA58" i="3"/>
  <c r="AZ58" i="3" s="1"/>
  <c r="BL58" i="3"/>
  <c r="BL60" i="3"/>
  <c r="G61" i="3"/>
  <c r="BL62" i="3"/>
  <c r="BA64" i="3"/>
  <c r="G65" i="3"/>
  <c r="BL66" i="3"/>
  <c r="G67" i="3"/>
  <c r="BL68" i="3"/>
  <c r="G71" i="3"/>
  <c r="G90" i="3"/>
  <c r="G92" i="3"/>
  <c r="BA93" i="3"/>
  <c r="G94" i="3"/>
  <c r="G101" i="3"/>
  <c r="BL102" i="3"/>
  <c r="G103" i="3"/>
  <c r="G110" i="3"/>
  <c r="AZ494" i="3"/>
  <c r="AZ499" i="3"/>
  <c r="AZ513" i="3"/>
  <c r="AZ370" i="3"/>
  <c r="AZ304" i="3"/>
  <c r="U15" i="37"/>
  <c r="AB15" i="37"/>
  <c r="S36" i="35"/>
  <c r="AA36" i="35"/>
  <c r="W24" i="36"/>
  <c r="AC24" i="36"/>
  <c r="G389" i="3"/>
  <c r="BL390" i="3"/>
  <c r="G391" i="3"/>
  <c r="BA392" i="3"/>
  <c r="BL392" i="3"/>
  <c r="BA393" i="3"/>
  <c r="AZ393" i="3" s="1"/>
  <c r="BA394" i="3"/>
  <c r="AZ394" i="3" s="1"/>
  <c r="BL396" i="3"/>
  <c r="G397" i="3"/>
  <c r="G399" i="3"/>
  <c r="G403" i="3"/>
  <c r="G406" i="3"/>
  <c r="BL407" i="3"/>
  <c r="G408" i="3"/>
  <c r="G412" i="3"/>
  <c r="BA413" i="3"/>
  <c r="BL413" i="3"/>
  <c r="BA415" i="3"/>
  <c r="BL415" i="3"/>
  <c r="BA416" i="3"/>
  <c r="AZ416" i="3" s="1"/>
  <c r="BA418" i="3"/>
  <c r="BL418" i="3"/>
  <c r="BA419" i="3"/>
  <c r="AZ419" i="3" s="1"/>
  <c r="BL421" i="3"/>
  <c r="G422" i="3"/>
  <c r="BL423" i="3"/>
  <c r="G424" i="3"/>
  <c r="G428" i="3"/>
  <c r="G433" i="3"/>
  <c r="G435" i="3"/>
  <c r="BL436" i="3"/>
  <c r="G437" i="3"/>
  <c r="G439" i="3"/>
  <c r="G444" i="3"/>
  <c r="G448" i="3"/>
  <c r="BL449" i="3"/>
  <c r="G450" i="3"/>
  <c r="BA451" i="3"/>
  <c r="BL451" i="3"/>
  <c r="BL453" i="3"/>
  <c r="G454" i="3"/>
  <c r="BL455" i="3"/>
  <c r="G456" i="3"/>
  <c r="BA457" i="3"/>
  <c r="BL457" i="3"/>
  <c r="BA459" i="3"/>
  <c r="BL459" i="3"/>
  <c r="BA460" i="3"/>
  <c r="AZ460" i="3" s="1"/>
  <c r="BA461" i="3"/>
  <c r="AZ461" i="3" s="1"/>
  <c r="BA463" i="3"/>
  <c r="BL463" i="3"/>
  <c r="BA464" i="3"/>
  <c r="BA466" i="3"/>
  <c r="BL466" i="3"/>
  <c r="BL468" i="3"/>
  <c r="G469" i="3"/>
  <c r="BA470" i="3"/>
  <c r="BL470" i="3"/>
  <c r="BL472" i="3"/>
  <c r="G473" i="3"/>
  <c r="G475"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G379" i="3"/>
  <c r="BL380" i="3"/>
  <c r="AZ380" i="3" s="1"/>
  <c r="BA383" i="3"/>
  <c r="AZ383" i="3" s="1"/>
  <c r="BA385" i="3"/>
  <c r="BL385" i="3"/>
  <c r="BA386" i="3"/>
  <c r="BA388" i="3"/>
  <c r="BL388" i="3"/>
  <c r="BL206" i="3"/>
  <c r="G207" i="3"/>
  <c r="BA208" i="3"/>
  <c r="BL208" i="3"/>
  <c r="BL210" i="3"/>
  <c r="G211" i="3"/>
  <c r="G213" i="3"/>
  <c r="G217" i="3"/>
  <c r="G220" i="3"/>
  <c r="G222" i="3"/>
  <c r="BL223" i="3"/>
  <c r="G224" i="3"/>
  <c r="G226" i="3"/>
  <c r="BA227" i="3"/>
  <c r="BL227" i="3"/>
  <c r="BA229" i="3"/>
  <c r="BL229" i="3"/>
  <c r="BA230" i="3"/>
  <c r="AZ230" i="3" s="1"/>
  <c r="BA231" i="3"/>
  <c r="AZ231" i="3" s="1"/>
  <c r="BA233" i="3"/>
  <c r="BL233" i="3"/>
  <c r="BA234" i="3"/>
  <c r="AZ234" i="3" s="1"/>
  <c r="BA236" i="3"/>
  <c r="BL236" i="3"/>
  <c r="BL238" i="3"/>
  <c r="G239" i="3"/>
  <c r="BL240" i="3"/>
  <c r="G241" i="3"/>
  <c r="BA242" i="3"/>
  <c r="AZ242" i="3" s="1"/>
  <c r="AZ381" i="3"/>
  <c r="AZ359" i="3"/>
  <c r="AZ307" i="3"/>
  <c r="AZ345" i="3"/>
  <c r="AZ329" i="3"/>
  <c r="AZ322" i="3"/>
  <c r="AZ305" i="3"/>
  <c r="AA13" i="33"/>
  <c r="AZ500" i="3"/>
  <c r="AZ543" i="3"/>
  <c r="S19" i="21"/>
  <c r="U28" i="21"/>
  <c r="AC13" i="36"/>
  <c r="U30" i="33"/>
  <c r="AB13" i="35"/>
  <c r="AA38" i="37"/>
  <c r="S22" i="35"/>
  <c r="AA39" i="37"/>
  <c r="C29" i="39"/>
  <c r="W33" i="33"/>
  <c r="H9" i="21"/>
  <c r="AB9" i="21" s="1"/>
  <c r="J9" i="21"/>
  <c r="G571" i="3"/>
  <c r="J9" i="35"/>
  <c r="W9" i="35" s="1"/>
  <c r="F12" i="35"/>
  <c r="H24" i="36"/>
  <c r="G559" i="3"/>
  <c r="G555" i="3"/>
  <c r="G548" i="3"/>
  <c r="G536" i="3"/>
  <c r="G535" i="3"/>
  <c r="G528" i="3"/>
  <c r="G512" i="3"/>
  <c r="G511" i="3"/>
  <c r="G495" i="3"/>
  <c r="G490" i="3"/>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2" i="3"/>
  <c r="G286" i="3"/>
  <c r="BL291" i="3"/>
  <c r="BL293" i="3"/>
  <c r="G294"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52" i="3"/>
  <c r="BA155" i="3"/>
  <c r="BL155" i="3"/>
  <c r="BL156" i="3"/>
  <c r="G157" i="3"/>
  <c r="BA158" i="3"/>
  <c r="AZ158" i="3" s="1"/>
  <c r="BA160" i="3"/>
  <c r="BL160" i="3"/>
  <c r="BA162" i="3"/>
  <c r="AZ162" i="3" s="1"/>
  <c r="G165" i="3"/>
  <c r="G169" i="3"/>
  <c r="G172" i="3"/>
  <c r="G174" i="3"/>
  <c r="BL175" i="3"/>
  <c r="G176" i="3"/>
  <c r="G178" i="3"/>
  <c r="BA182" i="3"/>
  <c r="BL182" i="3"/>
  <c r="BL184" i="3"/>
  <c r="AZ184" i="3" s="1"/>
  <c r="G185" i="3"/>
  <c r="BA187" i="3"/>
  <c r="BL187" i="3"/>
  <c r="BA189" i="3"/>
  <c r="AZ189" i="3" s="1"/>
  <c r="G192" i="3"/>
  <c r="G195" i="3"/>
  <c r="BA198" i="3"/>
  <c r="BL198" i="3"/>
  <c r="BL200" i="3"/>
  <c r="AZ200" i="3" s="1"/>
  <c r="G201" i="3"/>
  <c r="BL202" i="3"/>
  <c r="G203" i="3"/>
  <c r="BA204" i="3"/>
  <c r="BL204" i="3"/>
  <c r="BA21" i="3"/>
  <c r="AZ21" i="3" s="1"/>
  <c r="BA23" i="3"/>
  <c r="BL23" i="3"/>
  <c r="BL25" i="3"/>
  <c r="G26" i="3"/>
  <c r="G28" i="3"/>
  <c r="BA29" i="3"/>
  <c r="BL29" i="3"/>
  <c r="BA30" i="3"/>
  <c r="AZ30" i="3" s="1"/>
  <c r="BA31" i="3"/>
  <c r="AZ31" i="3" s="1"/>
  <c r="BA32" i="3"/>
  <c r="AZ32" i="3" s="1"/>
  <c r="BL34" i="3"/>
  <c r="G35" i="3"/>
  <c r="BA36" i="3"/>
  <c r="BL36" i="3"/>
  <c r="BA37" i="3"/>
  <c r="AZ37" i="3" s="1"/>
  <c r="BA39" i="3"/>
  <c r="AZ39" i="3" s="1"/>
  <c r="BL39" i="3"/>
  <c r="BL41" i="3"/>
  <c r="G42" i="3"/>
  <c r="G44" i="3"/>
  <c r="BA45" i="3"/>
  <c r="BL45" i="3"/>
  <c r="BA46" i="3"/>
  <c r="AZ46" i="3" s="1"/>
  <c r="BA47" i="3"/>
  <c r="AZ47" i="3" s="1"/>
  <c r="BA48" i="3"/>
  <c r="BL50" i="3"/>
  <c r="G51" i="3"/>
  <c r="BA52" i="3"/>
  <c r="BL52" i="3"/>
  <c r="BA53" i="3"/>
  <c r="AZ53" i="3" s="1"/>
  <c r="BA55" i="3"/>
  <c r="BL55" i="3"/>
  <c r="BL57" i="3"/>
  <c r="G58" i="3"/>
  <c r="G60" i="3"/>
  <c r="BA61" i="3"/>
  <c r="BL61" i="3"/>
  <c r="BA62" i="3"/>
  <c r="AZ62" i="3" s="1"/>
  <c r="BA63" i="3"/>
  <c r="AZ63" i="3" s="1"/>
  <c r="BL65" i="3"/>
  <c r="G66" i="3"/>
  <c r="BA67" i="3"/>
  <c r="BL67" i="3"/>
  <c r="BA68" i="3"/>
  <c r="AZ68" i="3" s="1"/>
  <c r="BA70" i="3"/>
  <c r="BL70" i="3"/>
  <c r="BL72" i="3"/>
  <c r="G73" i="3"/>
  <c r="G75" i="3"/>
  <c r="G77" i="3"/>
  <c r="G81" i="3"/>
  <c r="G84" i="3"/>
  <c r="G88" i="3"/>
  <c r="BA89" i="3"/>
  <c r="AZ89" i="3" s="1"/>
  <c r="BL89" i="3"/>
  <c r="BA91" i="3"/>
  <c r="AZ91" i="3" s="1"/>
  <c r="BL91" i="3"/>
  <c r="BA92" i="3"/>
  <c r="AZ92" i="3" s="1"/>
  <c r="BA94" i="3"/>
  <c r="BL94" i="3"/>
  <c r="BL95" i="3"/>
  <c r="G96" i="3"/>
  <c r="BL98" i="3"/>
  <c r="G99" i="3"/>
  <c r="BA100" i="3"/>
  <c r="BL100" i="3"/>
  <c r="BL101" i="3"/>
  <c r="G102" i="3"/>
  <c r="BA103" i="3"/>
  <c r="BL103" i="3"/>
  <c r="BL104" i="3"/>
  <c r="G105" i="3"/>
  <c r="G107" i="3"/>
  <c r="BA109" i="3"/>
  <c r="BL109" i="3"/>
  <c r="BL111" i="3"/>
  <c r="G112" i="3"/>
  <c r="K12" i="1"/>
  <c r="M12" i="1" s="1"/>
  <c r="G1" i="69"/>
  <c r="I15" i="57"/>
  <c r="S28" i="34"/>
  <c r="AA28" i="34"/>
  <c r="AA31" i="33"/>
  <c r="S31" i="33"/>
  <c r="W27" i="34"/>
  <c r="AC27" i="34"/>
  <c r="F32" i="69"/>
  <c r="F59" i="69" s="1"/>
  <c r="F28" i="69"/>
  <c r="M18" i="69"/>
  <c r="AZ538" i="3"/>
  <c r="AZ379" i="3"/>
  <c r="AZ564" i="3"/>
  <c r="AZ502" i="3"/>
  <c r="AZ550" i="3"/>
  <c r="AZ556" i="3"/>
  <c r="BF5" i="3"/>
  <c r="J26" i="37"/>
  <c r="H26" i="37"/>
  <c r="AB26" i="37" s="1"/>
  <c r="G524" i="3"/>
  <c r="AC36" i="33"/>
  <c r="W32" i="40"/>
  <c r="AB34" i="40"/>
  <c r="U16" i="40"/>
  <c r="AB16" i="39"/>
  <c r="S47" i="39"/>
  <c r="F72" i="9"/>
  <c r="F66" i="9"/>
  <c r="P72" i="9" s="1"/>
  <c r="F34" i="44"/>
  <c r="AZ490" i="3"/>
  <c r="AZ507" i="3"/>
  <c r="AZ517" i="3"/>
  <c r="AZ539" i="3"/>
  <c r="AZ568" i="3"/>
  <c r="AZ571" i="3"/>
  <c r="AZ338" i="3"/>
  <c r="AZ299" i="3"/>
  <c r="AZ377" i="3"/>
  <c r="AC23" i="37"/>
  <c r="AC41" i="34"/>
  <c r="AZ482" i="3"/>
  <c r="AZ492" i="3"/>
  <c r="AZ544" i="3"/>
  <c r="AZ542" i="3"/>
  <c r="S45" i="21"/>
  <c r="AB30" i="21"/>
  <c r="S46" i="21"/>
  <c r="U9" i="21"/>
  <c r="AB36" i="21"/>
  <c r="BA570" i="3"/>
  <c r="AZ570" i="3" s="1"/>
  <c r="BI5" i="3"/>
  <c r="BG5" i="3"/>
  <c r="J12" i="35"/>
  <c r="K8" i="1"/>
  <c r="AO8" i="1" s="1"/>
  <c r="B37" i="9"/>
  <c r="E37" i="9" s="1"/>
  <c r="G35" i="9" s="1"/>
  <c r="C43" i="9" s="1"/>
  <c r="K47" i="9" s="1"/>
  <c r="A14" i="55" s="1"/>
  <c r="B65" i="63" s="1"/>
  <c r="F7" i="1"/>
  <c r="F9" i="1"/>
  <c r="K145" i="21"/>
  <c r="G567" i="3"/>
  <c r="G563" i="3"/>
  <c r="G552" i="3"/>
  <c r="G540" i="3"/>
  <c r="G531" i="3"/>
  <c r="G525" i="3"/>
  <c r="G516" i="3"/>
  <c r="G504" i="3"/>
  <c r="G496" i="3"/>
  <c r="G487" i="3"/>
  <c r="G19" i="3"/>
  <c r="F34" i="15"/>
  <c r="F61" i="15" s="1"/>
  <c r="F34" i="69"/>
  <c r="F61" i="69" s="1"/>
  <c r="M20" i="69"/>
  <c r="C92" i="9"/>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A240" i="3"/>
  <c r="AZ240" i="3" s="1"/>
  <c r="BA241" i="3"/>
  <c r="AZ241"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G289" i="3"/>
  <c r="G290" i="3"/>
  <c r="BA291" i="3"/>
  <c r="AZ291"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BA60" i="3"/>
  <c r="AZ60" i="3" s="1"/>
  <c r="C42" i="1"/>
  <c r="C25" i="12" s="1"/>
  <c r="J51" i="69"/>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E26" i="57"/>
  <c r="I10" i="57"/>
  <c r="I21" i="57" s="1"/>
  <c r="D1" i="57" s="1"/>
  <c r="E10" i="57" s="1"/>
  <c r="M9" i="1"/>
  <c r="F91" i="39"/>
  <c r="J17" i="39" s="1"/>
  <c r="W17" i="39" s="1"/>
  <c r="AB44" i="39"/>
  <c r="AB25" i="39"/>
  <c r="W15" i="39"/>
  <c r="W14" i="39"/>
  <c r="U21" i="39"/>
  <c r="U19" i="39"/>
  <c r="AA19" i="39"/>
  <c r="W33" i="39"/>
  <c r="AB29" i="39"/>
  <c r="W27" i="39"/>
  <c r="S23" i="39"/>
  <c r="BL13" i="3"/>
  <c r="A2" i="55"/>
  <c r="B55" i="63" s="1"/>
  <c r="A11" i="55"/>
  <c r="B62" i="63" s="1"/>
  <c r="AZ484" i="3"/>
  <c r="AA12" i="21"/>
  <c r="S12" i="21"/>
  <c r="AC9" i="34"/>
  <c r="W9" i="34"/>
  <c r="S9" i="21"/>
  <c r="AA9" i="21"/>
  <c r="H5" i="3"/>
  <c r="J9" i="36"/>
  <c r="AC9" i="36" s="1"/>
  <c r="AZ392" i="3"/>
  <c r="AZ413" i="3"/>
  <c r="AZ424" i="3"/>
  <c r="AZ437" i="3"/>
  <c r="AZ451" i="3"/>
  <c r="AZ457" i="3"/>
  <c r="AZ470" i="3"/>
  <c r="AZ473" i="3"/>
  <c r="AZ318" i="3"/>
  <c r="AZ334" i="3"/>
  <c r="AZ350" i="3"/>
  <c r="AZ208" i="3"/>
  <c r="AZ211" i="3"/>
  <c r="AZ224" i="3"/>
  <c r="AZ227" i="3"/>
  <c r="AZ250" i="3"/>
  <c r="AZ262" i="3"/>
  <c r="AZ266" i="3"/>
  <c r="AB32" i="40"/>
  <c r="W35" i="40"/>
  <c r="AB14" i="40"/>
  <c r="U31" i="37"/>
  <c r="S46" i="33"/>
  <c r="H36" i="35"/>
  <c r="J36" i="35"/>
  <c r="AZ395" i="3"/>
  <c r="AZ405" i="3"/>
  <c r="AZ420" i="3"/>
  <c r="AZ235" i="3"/>
  <c r="A30" i="64"/>
  <c r="A30" i="51"/>
  <c r="AZ277" i="3"/>
  <c r="AZ280" i="3"/>
  <c r="AZ294" i="3"/>
  <c r="AZ113" i="3"/>
  <c r="AZ116" i="3"/>
  <c r="AZ129" i="3"/>
  <c r="AZ132" i="3"/>
  <c r="AZ145" i="3"/>
  <c r="AZ148" i="3"/>
  <c r="F26" i="37"/>
  <c r="AA26" i="37" s="1"/>
  <c r="G15" i="3"/>
  <c r="G14" i="3"/>
  <c r="C18" i="9"/>
  <c r="AZ155" i="3"/>
  <c r="AZ160" i="3"/>
  <c r="AZ163" i="3"/>
  <c r="AZ176" i="3"/>
  <c r="AZ182" i="3"/>
  <c r="AZ190" i="3"/>
  <c r="AZ198" i="3"/>
  <c r="AZ204" i="3"/>
  <c r="AZ26" i="3"/>
  <c r="AZ29" i="3"/>
  <c r="AZ36" i="3"/>
  <c r="AZ42" i="3"/>
  <c r="AZ45" i="3"/>
  <c r="AZ52" i="3"/>
  <c r="AZ61" i="3"/>
  <c r="AZ67" i="3"/>
  <c r="AZ54" i="3"/>
  <c r="AZ22" i="3"/>
  <c r="G22" i="3"/>
  <c r="AZ76" i="3"/>
  <c r="AZ80" i="3"/>
  <c r="AZ96" i="3"/>
  <c r="AZ100" i="3"/>
  <c r="AZ103" i="3"/>
  <c r="AZ105" i="3"/>
  <c r="AZ109" i="3"/>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2" i="69"/>
  <c r="F13" i="69"/>
  <c r="M24" i="44"/>
  <c r="M9" i="15"/>
  <c r="M9" i="69"/>
  <c r="F39" i="44"/>
  <c r="L47" i="69"/>
  <c r="M11" i="44"/>
  <c r="F40" i="44"/>
  <c r="F7" i="15"/>
  <c r="F42" i="69"/>
  <c r="M28" i="44"/>
  <c r="F40" i="69"/>
  <c r="F45" i="44"/>
  <c r="L49" i="44"/>
  <c r="F9" i="69"/>
  <c r="M8" i="69"/>
  <c r="F8" i="44"/>
  <c r="F36" i="69"/>
  <c r="M8" i="44"/>
  <c r="F38" i="44"/>
  <c r="M27" i="69"/>
  <c r="M25" i="44"/>
  <c r="J17" i="44"/>
  <c r="M10" i="44"/>
  <c r="F11" i="44"/>
  <c r="F10" i="44"/>
  <c r="F26" i="69"/>
  <c r="F9" i="44"/>
  <c r="F28" i="44"/>
  <c r="L48" i="44"/>
  <c r="M30" i="44"/>
  <c r="F18" i="44"/>
  <c r="F16" i="69"/>
  <c r="M31" i="44"/>
  <c r="M8" i="15"/>
  <c r="F6" i="69"/>
  <c r="J36" i="69"/>
  <c r="F38" i="69"/>
  <c r="J15" i="69"/>
  <c r="M26" i="44"/>
  <c r="L48" i="69"/>
  <c r="M28" i="69"/>
  <c r="M23" i="69"/>
  <c r="F15" i="44"/>
  <c r="M6" i="69"/>
  <c r="M26" i="69"/>
  <c r="F37" i="69"/>
  <c r="M24" i="69"/>
  <c r="F8" i="69"/>
  <c r="F43" i="44"/>
  <c r="M26" i="15"/>
  <c r="H74" i="46" l="1"/>
  <c r="H73" i="46"/>
  <c r="B73" i="39"/>
  <c r="H76" i="46"/>
  <c r="C7" i="46"/>
  <c r="C30" i="44"/>
  <c r="AZ48" i="3"/>
  <c r="AZ233" i="3"/>
  <c r="AZ386" i="3"/>
  <c r="AZ368" i="3"/>
  <c r="AZ464" i="3"/>
  <c r="AZ463" i="3"/>
  <c r="AZ459" i="3"/>
  <c r="AZ415" i="3"/>
  <c r="AZ286" i="3"/>
  <c r="AZ282" i="3"/>
  <c r="AZ444" i="3"/>
  <c r="AZ428" i="3"/>
  <c r="AZ408" i="3"/>
  <c r="AZ488" i="3"/>
  <c r="AZ552" i="3"/>
  <c r="AZ501" i="3"/>
  <c r="G126" i="39"/>
  <c r="H126" i="39" s="1"/>
  <c r="I126" i="39" s="1"/>
  <c r="J126" i="39" s="1"/>
  <c r="K126" i="39" s="1"/>
  <c r="L126" i="39" s="1"/>
  <c r="M126" i="39" s="1"/>
  <c r="J43" i="39"/>
  <c r="F43" i="39"/>
  <c r="G109" i="39"/>
  <c r="H109" i="39" s="1"/>
  <c r="I109" i="39" s="1"/>
  <c r="J109" i="39" s="1"/>
  <c r="K109" i="39" s="1"/>
  <c r="L109" i="39" s="1"/>
  <c r="M109" i="39" s="1"/>
  <c r="F34" i="39"/>
  <c r="H34" i="39"/>
  <c r="AA27" i="37"/>
  <c r="S27" i="37"/>
  <c r="AB11" i="36"/>
  <c r="U11" i="36"/>
  <c r="S12" i="33"/>
  <c r="AA12" i="33"/>
  <c r="AZ572" i="3"/>
  <c r="AC31" i="34"/>
  <c r="W31" i="34"/>
  <c r="AZ551" i="3"/>
  <c r="AZ565" i="3"/>
  <c r="U45" i="34"/>
  <c r="AB45" i="34"/>
  <c r="AC46" i="33"/>
  <c r="W46" i="33"/>
  <c r="W25" i="37"/>
  <c r="AC25" i="37"/>
  <c r="W27" i="37"/>
  <c r="AC27" i="37"/>
  <c r="U27" i="37"/>
  <c r="AB27" i="37"/>
  <c r="W11" i="36"/>
  <c r="AC11" i="36"/>
  <c r="AC24" i="35"/>
  <c r="W24" i="35"/>
  <c r="U28" i="33"/>
  <c r="AB28" i="33"/>
  <c r="U44" i="33"/>
  <c r="AB44" i="33"/>
  <c r="W14" i="40"/>
  <c r="AC14" i="40"/>
  <c r="AA45" i="34"/>
  <c r="S45" i="34"/>
  <c r="W30" i="33"/>
  <c r="AC30" i="33"/>
  <c r="W28" i="34"/>
  <c r="AC28" i="34"/>
  <c r="AC17" i="39"/>
  <c r="M8" i="1"/>
  <c r="O8" i="1" s="1"/>
  <c r="P8" i="1" s="1"/>
  <c r="AZ94" i="3"/>
  <c r="AZ70" i="3"/>
  <c r="AZ55" i="3"/>
  <c r="AZ23" i="3"/>
  <c r="AZ187" i="3"/>
  <c r="AZ273" i="3"/>
  <c r="AA12" i="35"/>
  <c r="S12" i="35"/>
  <c r="AZ229" i="3"/>
  <c r="AZ385" i="3"/>
  <c r="AB24" i="36"/>
  <c r="U24" i="36"/>
  <c r="AC9" i="21"/>
  <c r="W9" i="21"/>
  <c r="AZ236" i="3"/>
  <c r="AZ388" i="3"/>
  <c r="AZ466" i="3"/>
  <c r="AZ418" i="3"/>
  <c r="C27" i="69"/>
  <c r="F63" i="69"/>
  <c r="F64" i="69"/>
  <c r="F65" i="69"/>
  <c r="F50" i="69"/>
  <c r="F67" i="69"/>
  <c r="L57" i="69"/>
  <c r="J53" i="69"/>
  <c r="L56" i="69"/>
  <c r="L60" i="69"/>
  <c r="Q72" i="69"/>
  <c r="L59" i="69"/>
  <c r="L58" i="69"/>
  <c r="J57" i="69"/>
  <c r="J55" i="69" s="1"/>
  <c r="J58" i="69" s="1"/>
  <c r="Q51" i="69" s="1"/>
  <c r="J59" i="69"/>
  <c r="I54" i="69"/>
  <c r="J60" i="69"/>
  <c r="Q49" i="69" s="1"/>
  <c r="W12" i="35"/>
  <c r="AC12" i="35"/>
  <c r="W26" i="37"/>
  <c r="AC26" i="37"/>
  <c r="C28" i="69"/>
  <c r="G3" i="46"/>
  <c r="AF11" i="46" s="1"/>
  <c r="AF13" i="46" s="1"/>
  <c r="C13" i="39"/>
  <c r="C24" i="69"/>
  <c r="G91" i="39"/>
  <c r="H17" i="39"/>
  <c r="F17" i="39"/>
  <c r="AC36" i="35"/>
  <c r="W36" i="35"/>
  <c r="C16" i="46"/>
  <c r="C5" i="46" s="1"/>
  <c r="AB36" i="35"/>
  <c r="U36" i="35"/>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I11" i="46"/>
  <c r="AI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M7" i="15"/>
  <c r="F49" i="15"/>
  <c r="G66" i="36"/>
  <c r="J18" i="36"/>
  <c r="AE7" i="1"/>
  <c r="AE6" i="1"/>
  <c r="F31" i="15"/>
  <c r="M19" i="44"/>
  <c r="F33" i="44"/>
  <c r="M17" i="15"/>
  <c r="F42" i="15"/>
  <c r="M23" i="15"/>
  <c r="F26" i="15"/>
  <c r="F46" i="44"/>
  <c r="M22" i="15"/>
  <c r="J36" i="15"/>
  <c r="M29" i="69"/>
  <c r="F43" i="69"/>
  <c r="F13" i="15"/>
  <c r="M29" i="15"/>
  <c r="F7" i="69"/>
  <c r="M28" i="15"/>
  <c r="F38" i="15"/>
  <c r="J15" i="15"/>
  <c r="L48" i="15"/>
  <c r="M24" i="15"/>
  <c r="F36" i="15"/>
  <c r="M6" i="15"/>
  <c r="C16" i="69"/>
  <c r="F6" i="15"/>
  <c r="F16" i="15"/>
  <c r="F9" i="15"/>
  <c r="F37" i="15"/>
  <c r="L47" i="15"/>
  <c r="C18" i="44"/>
  <c r="F43" i="15"/>
  <c r="F8" i="15"/>
  <c r="F40" i="15"/>
  <c r="V38" i="35" l="1"/>
  <c r="I38" i="35" s="1"/>
  <c r="AB34" i="39"/>
  <c r="U34" i="39"/>
  <c r="AC43" i="39"/>
  <c r="W43" i="39"/>
  <c r="AA34" i="39"/>
  <c r="S34" i="39"/>
  <c r="AA43" i="39"/>
  <c r="S43" i="39"/>
  <c r="F63" i="15"/>
  <c r="F70" i="69"/>
  <c r="F49" i="69"/>
  <c r="C48" i="69" s="1"/>
  <c r="C47" i="69" s="1"/>
  <c r="C65" i="69" s="1"/>
  <c r="M7" i="69"/>
  <c r="J6" i="69" s="1"/>
  <c r="J5" i="69" s="1"/>
  <c r="J26" i="69" s="1"/>
  <c r="C6" i="69"/>
  <c r="C10" i="69" s="1"/>
  <c r="C5" i="69" s="1"/>
  <c r="F65" i="15"/>
  <c r="AA11" i="46"/>
  <c r="AA13" i="46" s="1"/>
  <c r="Q72" i="15"/>
  <c r="C27" i="15"/>
  <c r="Q62" i="69"/>
  <c r="Q75" i="69"/>
  <c r="Q58" i="69"/>
  <c r="Q67" i="69"/>
  <c r="F1" i="69"/>
  <c r="Q53" i="69"/>
  <c r="Q74" i="69"/>
  <c r="Q61" i="69"/>
  <c r="F13" i="39"/>
  <c r="H13" i="39"/>
  <c r="J13" i="39"/>
  <c r="H22" i="46"/>
  <c r="AB11" i="46"/>
  <c r="AB13" i="46" s="1"/>
  <c r="U17" i="39"/>
  <c r="AB17" i="39"/>
  <c r="AA17" i="39"/>
  <c r="S17" i="39"/>
  <c r="K107" i="46"/>
  <c r="F103" i="46"/>
  <c r="F106" i="46"/>
  <c r="C107" i="46"/>
  <c r="C104" i="46"/>
  <c r="J107" i="46"/>
  <c r="L58" i="15"/>
  <c r="Q74" i="15" s="1"/>
  <c r="L59" i="15"/>
  <c r="Q75" i="15" s="1"/>
  <c r="F64" i="15"/>
  <c r="C6"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7" i="15"/>
  <c r="M29" i="44"/>
  <c r="C16" i="15"/>
  <c r="AE8" i="1"/>
  <c r="AE9" i="1"/>
  <c r="L52" i="44"/>
  <c r="F7" i="67"/>
  <c r="C59" i="69" l="1"/>
  <c r="J24" i="69"/>
  <c r="J18" i="69"/>
  <c r="L19" i="6"/>
  <c r="C38" i="69"/>
  <c r="C32" i="69"/>
  <c r="I53" i="34"/>
  <c r="J53" i="34" s="1"/>
  <c r="AB13" i="39"/>
  <c r="U13" i="39"/>
  <c r="AC13" i="39"/>
  <c r="W13" i="39"/>
  <c r="AA13" i="39"/>
  <c r="S13" i="39"/>
  <c r="C10" i="15"/>
  <c r="C5" i="15" s="1"/>
  <c r="Q61" i="15"/>
  <c r="Q62" i="15"/>
  <c r="S6" i="46"/>
  <c r="T6" i="46" s="1"/>
  <c r="V6" i="46" s="1"/>
  <c r="S7" i="46"/>
  <c r="T7" i="46" s="1"/>
  <c r="V7" i="46" s="1"/>
  <c r="S4" i="46"/>
  <c r="T4" i="46" s="1"/>
  <c r="V4" i="46" s="1"/>
  <c r="S2" i="46"/>
  <c r="T2" i="46" s="1"/>
  <c r="V2" i="46" s="1"/>
  <c r="S3" i="46"/>
  <c r="T3" i="46" s="1"/>
  <c r="V3" i="46" s="1"/>
  <c r="S5" i="46"/>
  <c r="T5" i="46" s="1"/>
  <c r="V5" i="46" s="1"/>
  <c r="AB12" i="39"/>
  <c r="Q53"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E36" i="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15"/>
  <c r="E7" i="67"/>
  <c r="C19" i="44"/>
  <c r="F41" i="69"/>
  <c r="F41" i="15"/>
  <c r="C17" i="69"/>
  <c r="J29" i="69" l="1"/>
  <c r="F68" i="69"/>
  <c r="F68" i="15"/>
  <c r="C38" i="15"/>
  <c r="C32" i="15"/>
  <c r="G46" i="37"/>
  <c r="H46" i="37" s="1"/>
  <c r="E47" i="37"/>
  <c r="F47" i="37" s="1"/>
  <c r="L47" i="44"/>
  <c r="Q59" i="44"/>
  <c r="Q68" i="44"/>
  <c r="E3" i="67"/>
  <c r="B2" i="46"/>
  <c r="D4" i="46" s="1"/>
  <c r="E43" i="35"/>
  <c r="F43" i="35" s="1"/>
  <c r="E42" i="35"/>
  <c r="F42" i="35" s="1"/>
  <c r="C37" i="36"/>
  <c r="B3" i="36" s="1"/>
  <c r="B2" i="36" s="1"/>
  <c r="C36" i="36"/>
  <c r="S16" i="1"/>
  <c r="T13" i="1" s="1"/>
  <c r="D3" i="6"/>
  <c r="D36"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69"/>
  <c r="F35" i="69"/>
  <c r="C16" i="44"/>
  <c r="C14" i="69"/>
  <c r="C14" i="15"/>
  <c r="C34" i="69" l="1"/>
  <c r="F62" i="69"/>
  <c r="C61" i="69" s="1"/>
  <c r="J20" i="6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19" i="69" l="1"/>
  <c r="C20" i="69" s="1"/>
  <c r="C26" i="69"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J19" i="69" s="1"/>
  <c r="J17" i="69" s="1"/>
  <c r="C28" i="44"/>
  <c r="C31" i="44" s="1"/>
  <c r="C35" i="44" s="1"/>
  <c r="I5" i="6"/>
  <c r="C26" i="15"/>
  <c r="C29" i="15" s="1"/>
  <c r="J59" i="15" s="1"/>
  <c r="J60" i="15" s="1"/>
  <c r="C23" i="12"/>
  <c r="C19" i="43"/>
  <c r="C22" i="43" s="1"/>
  <c r="C21" i="43" s="1"/>
  <c r="K67" i="40"/>
  <c r="L65" i="40"/>
  <c r="K72" i="39"/>
  <c r="L70" i="39"/>
  <c r="C56" i="69" l="1"/>
  <c r="C63" i="69" s="1"/>
  <c r="C13" i="69"/>
  <c r="Q71" i="69" s="1"/>
  <c r="C33" i="69"/>
  <c r="C31" i="69" s="1"/>
  <c r="J14" i="69"/>
  <c r="J13" i="69" s="1"/>
  <c r="J23" i="69" s="1"/>
  <c r="Q50" i="69"/>
  <c r="C36" i="69"/>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C55" i="69"/>
  <c r="C64" i="69" s="1"/>
  <c r="C60" i="69"/>
  <c r="C58" i="69" s="1"/>
  <c r="J35" i="69"/>
  <c r="J16" i="69"/>
  <c r="J25" i="69" s="1"/>
  <c r="C37" i="69"/>
  <c r="C30" i="69" s="1"/>
  <c r="C39" i="69" s="1"/>
  <c r="Q70" i="69" s="1"/>
  <c r="Q69"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Q48" i="69" s="1"/>
  <c r="Q54" i="69" s="1"/>
  <c r="C57" i="69"/>
  <c r="C66" i="69" s="1"/>
  <c r="C67" i="69" s="1"/>
  <c r="C70"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3" i="69" l="1"/>
  <c r="Q66" i="69"/>
  <c r="Q76" i="69" s="1"/>
  <c r="C46" i="69"/>
  <c r="B2" i="69"/>
  <c r="B3" i="69" s="1"/>
  <c r="F8" i="12" s="1"/>
  <c r="J42" i="69"/>
  <c r="J43" i="69" s="1"/>
  <c r="Q57" i="69"/>
  <c r="Q6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Q48" i="15"/>
  <c r="Q54" i="15" s="1"/>
  <c r="F45" i="15"/>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5" i="12" l="1"/>
  <c r="B3" i="12"/>
  <c r="D22" i="9"/>
  <c r="L44" i="9"/>
  <c r="G19" i="9"/>
  <c r="G21" i="9"/>
  <c r="C7" i="66"/>
  <c r="D20" i="9"/>
  <c r="N43" i="9" l="1"/>
  <c r="D28" i="9"/>
  <c r="G22" i="9"/>
  <c r="C32" i="9"/>
  <c r="C33" i="9" s="1"/>
  <c r="G20" i="9"/>
  <c r="C34" i="9"/>
  <c r="E42" i="9" s="1"/>
  <c r="D45" i="9"/>
  <c r="E45" i="9"/>
  <c r="O40" i="9"/>
  <c r="F45" i="9"/>
  <c r="M38" i="9" l="1"/>
  <c r="K27" i="9" s="1"/>
  <c r="D42" i="9"/>
  <c r="Q5" i="54" s="1"/>
  <c r="B47" i="63" s="1"/>
  <c r="N38" i="9"/>
  <c r="K28" i="9" s="1"/>
  <c r="C35" i="9"/>
  <c r="F42" i="9" s="1"/>
  <c r="D27" i="9"/>
  <c r="O38" i="9"/>
  <c r="C42" i="9"/>
  <c r="O43" i="9"/>
  <c r="K31" i="9"/>
  <c r="K32" i="9" s="1"/>
  <c r="R7" i="54"/>
  <c r="B52" i="63" s="1"/>
  <c r="P5" i="54"/>
  <c r="B46" i="63" s="1"/>
  <c r="K25" i="9" l="1"/>
  <c r="K26" i="9"/>
  <c r="C44" i="9"/>
  <c r="R5" i="54"/>
  <c r="B48" i="63" s="1"/>
  <c r="D63" i="9"/>
  <c r="D14" i="66"/>
  <c r="N68" i="9"/>
  <c r="F14" i="66" l="1"/>
  <c r="E14" i="66"/>
  <c r="C111" i="9"/>
  <c r="C104" i="9" s="1"/>
  <c r="C103" i="9"/>
  <c r="C90" i="9"/>
  <c r="D70" i="9"/>
  <c r="C82" i="9"/>
  <c r="C81" i="9" s="1"/>
  <c r="C85" i="9" s="1"/>
  <c r="C86" i="9" s="1"/>
  <c r="D72" i="9" s="1"/>
  <c r="C96" i="9"/>
  <c r="C91" i="9" s="1"/>
  <c r="D71" i="9"/>
  <c r="D66" i="9" s="1"/>
  <c r="N72" i="9" s="1"/>
  <c r="D77" i="9"/>
  <c r="N75" i="9" s="1"/>
  <c r="G14" i="66"/>
  <c r="O39" i="9"/>
  <c r="E44" i="9"/>
  <c r="N69" i="9"/>
  <c r="D44" i="9"/>
  <c r="F44" i="9"/>
  <c r="C113" i="9" l="1"/>
  <c r="M86" i="9"/>
  <c r="N86" i="9" s="1"/>
  <c r="M85" i="9"/>
  <c r="N85" i="9" s="1"/>
  <c r="M84" i="9"/>
  <c r="N84" i="9" s="1"/>
  <c r="M87" i="9"/>
  <c r="N87" i="9" s="1"/>
  <c r="M83" i="9"/>
  <c r="N83" i="9" s="1"/>
  <c r="M88" i="9"/>
  <c r="N88" i="9" s="1"/>
  <c r="K29" i="9"/>
  <c r="K30" i="9" s="1"/>
  <c r="R6" i="54"/>
  <c r="B50" i="63" s="1"/>
  <c r="C97" i="9"/>
  <c r="N76" i="9"/>
  <c r="C114" i="9" l="1"/>
  <c r="E114" i="9" s="1"/>
  <c r="E115" i="9" s="1"/>
  <c r="C98" i="9"/>
  <c r="E98" i="9" s="1"/>
  <c r="E99" i="9" s="1"/>
  <c r="N89" i="9"/>
  <c r="O89" i="9" s="1"/>
  <c r="C115" i="9" l="1"/>
  <c r="D76" i="9" s="1"/>
  <c r="D74" i="9" s="1"/>
  <c r="N74" i="9" s="1"/>
  <c r="O77" i="9" s="1"/>
  <c r="O78" i="9" s="1"/>
  <c r="C99" i="9"/>
  <c r="Q77" i="9" l="1"/>
  <c r="O79" i="9"/>
  <c r="C46" i="9" l="1"/>
  <c r="O80" i="9"/>
  <c r="O81" i="9"/>
  <c r="K33" i="9" l="1"/>
  <c r="K34" i="9" s="1"/>
  <c r="O41" i="9"/>
  <c r="R8" i="54" s="1"/>
  <c r="B54" i="63" s="1"/>
  <c r="E46" i="9"/>
  <c r="F46" i="9"/>
  <c r="I14" i="66"/>
  <c r="B8" i="66" s="1"/>
  <c r="D46" i="9"/>
  <c r="C8" i="66" l="1"/>
  <c r="B2" i="66" l="1"/>
  <c r="D7" i="66" l="1"/>
  <c r="D8" i="66"/>
  <c r="B6" i="66" l="1"/>
  <c r="E15" i="66" l="1"/>
  <c r="F15" i="66"/>
  <c r="B5" i="66"/>
  <c r="D6" i="66"/>
  <c r="C6"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<sst xmlns="http://schemas.openxmlformats.org/spreadsheetml/2006/main" count="7492" uniqueCount="3097">
  <si>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</si>
  <si>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</si>
  <si>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</si>
  <si>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</si>
  <si>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</si>
  <si>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</si>
  <si>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</si>
  <si>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</si>
  <si>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</si>
  <si>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</si>
  <si>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</si>
  <si>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</si>
  <si>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</si>
  <si>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</si>
  <si>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</si>
  <si>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</si>
  <si>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</si>
  <si>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</si>
  <si>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</si>
  <si>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</si>
  <si>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</si>
  <si>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</si>
  <si>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</si>
  <si>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</si>
  <si>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</si>
  <si>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</si>
  <si>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</si>
  <si>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</si>
  <si>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</si>
  <si>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</si>
  <si>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</si>
  <si>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</si>
  <si>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</si>
  <si>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</si>
  <si>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</si>
  <si>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</si>
  <si>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</si>
  <si>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</si>
  <si>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</si>
  <si>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</si>
  <si>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</si>
  <si>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</si>
  <si>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</si>
  <si>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</si>
  <si>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</si>
  <si>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</si>
  <si>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</si>
  <si>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</si>
  <si>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</si>
  <si>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</si>
  <si>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</si>
  <si>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</si>
  <si>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</si>
  <si>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</si>
  <si>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</si>
  <si>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</si>
  <si>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</si>
  <si>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</si>
  <si>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</si>
  <si>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</si>
  <si>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</si>
  <si>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</si>
  <si>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</si>
  <si>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</si>
  <si>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</si>
  <si>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</si>
  <si>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</si>
  <si>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</si>
  <si>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</si>
  <si>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</si>
  <si>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</si>
  <si>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</si>
  <si>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</si>
  <si>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</si>
  <si>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</si>
  <si>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</si>
  <si>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</si>
  <si>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</si>
  <si>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</si>
  <si>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</si>
  <si>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</si>
  <si>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</si>
  <si>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</si>
  <si>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</si>
  <si>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</si>
  <si>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</si>
  <si>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</si>
  <si>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</si>
  <si>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</si>
  <si>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</si>
  <si>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</si>
  <si>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</si>
  <si>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</si>
  <si>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</si>
  <si>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</si>
  <si>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</si>
  <si>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</si>
  <si>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</si>
  <si>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</si>
  <si>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</si>
  <si>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</si>
  <si>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</si>
  <si>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</si>
  <si>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</si>
  <si>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</si>
  <si>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</si>
  <si>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</si>
  <si>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</si>
  <si>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</si>
  <si>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</si>
  <si>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</si>
  <si>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</si>
  <si>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</si>
  <si>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</si>
  <si>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</si>
  <si>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</si>
  <si>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</si>
  <si>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</si>
  <si>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</si>
  <si>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</si>
  <si>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</si>
  <si>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</si>
  <si>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</si>
  <si>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</si>
  <si>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</si>
  <si>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</si>
  <si>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</si>
  <si>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</si>
  <si>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</si>
  <si>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</si>
  <si>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</si>
  <si>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</si>
  <si>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</si>
  <si>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</si>
  <si>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</si>
  <si>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</si>
  <si>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</si>
  <si>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</si>
  <si>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</si>
  <si>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</si>
  <si>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</si>
  <si>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</si>
  <si>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</si>
  <si>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</si>
  <si>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</si>
  <si>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</si>
  <si>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</si>
  <si>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</si>
  <si>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</si>
  <si>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</si>
  <si>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</si>
  <si>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</si>
  <si>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</si>
  <si>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</si>
  <si>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</si>
  <si>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</si>
  <si>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</si>
  <si>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</si>
  <si>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</si>
  <si>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</si>
  <si>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</si>
  <si>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</si>
  <si>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</si>
  <si>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</si>
  <si>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</si>
  <si>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</si>
  <si>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</si>
  <si>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</si>
  <si>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</si>
  <si>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</si>
  <si>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</si>
  <si>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</si>
  <si>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</si>
  <si>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</si>
  <si>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</si>
  <si>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</si>
  <si>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</si>
  <si>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</si>
  <si>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</si>
  <si>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</si>
  <si>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</si>
  <si>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</si>
  <si>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</si>
  <si>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</si>
  <si>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</si>
  <si>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</si>
  <si>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</si>
  <si>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</si>
  <si>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</si>
  <si>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</si>
  <si>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</si>
  <si>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</si>
  <si>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</si>
  <si>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</si>
  <si>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</si>
  <si>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</si>
  <si>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</si>
  <si>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</si>
  <si>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</si>
  <si>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</si>
  <si>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</si>
  <si>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</si>
  <si>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</si>
  <si>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</si>
  <si>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</si>
  <si>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</si>
  <si>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</si>
  <si>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</si>
  <si>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</si>
  <si>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</si>
  <si>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</si>
  <si>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</si>
  <si>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</si>
  <si>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</si>
  <si>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</si>
  <si>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</si>
  <si>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</si>
  <si>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</si>
  <si>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</si>
  <si>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</si>
  <si>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</si>
  <si>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</si>
  <si>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</si>
  <si>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</si>
  <si>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</si>
  <si>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</si>
  <si>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</si>
  <si>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</si>
  <si>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</si>
  <si>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</si>
  <si>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</si>
  <si>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</si>
  <si>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</si>
  <si>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</si>
  <si>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</si>
  <si>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</si>
  <si>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</si>
  <si>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</si>
  <si>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</si>
  <si>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</si>
  <si>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</si>
  <si>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</si>
  <si>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</si>
  <si>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</si>
  <si>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</si>
  <si>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</si>
  <si>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</si>
  <si>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</si>
  <si>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</si>
  <si>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</si>
  <si>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</si>
  <si>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</si>
  <si>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</si>
  <si>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</si>
  <si>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</si>
  <si>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</si>
  <si>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</si>
  <si>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</si>
  <si>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</si>
  <si>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</si>
  <si>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</si>
  <si>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</si>
  <si>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</si>
  <si>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</si>
  <si>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</si>
  <si>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</si>
  <si>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</si>
  <si>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</si>
  <si>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</si>
  <si>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</si>
  <si>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</si>
  <si>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</si>
  <si>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</si>
  <si>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</si>
  <si>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</si>
  <si>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</si>
  <si>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</si>
  <si>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</si>
  <si>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</si>
  <si>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</si>
  <si>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</si>
  <si>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</si>
  <si>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</si>
  <si>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</si>
  <si>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</si>
  <si>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</si>
  <si>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</si>
  <si>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</si>
  <si>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</si>
  <si>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</si>
  <si>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</si>
  <si>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</si>
  <si>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</si>
  <si>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</si>
  <si>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</si>
  <si>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</si>
  <si>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</si>
  <si>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</si>
  <si>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</si>
  <si>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</si>
  <si>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</si>
  <si>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</si>
  <si>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</si>
  <si>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</si>
  <si>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</si>
  <si>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</si>
  <si>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</si>
  <si>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</si>
  <si>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</si>
  <si>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</si>
  <si>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</si>
  <si>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</si>
  <si>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</si>
  <si>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</si>
  <si>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</si>
  <si>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</si>
  <si>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</si>
  <si>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</si>
  <si>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</si>
  <si>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</si>
  <si>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</si>
  <si>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</si>
  <si>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</si>
  <si>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</si>
  <si>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</si>
  <si>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</si>
  <si>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</si>
  <si>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</si>
  <si>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</si>
  <si>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</si>
  <si>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</si>
  <si>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</si>
  <si>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</si>
  <si>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</si>
  <si>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</si>
  <si>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</si>
  <si>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</si>
  <si>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</si>
  <si>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</si>
  <si>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</si>
  <si>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</si>
  <si>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</si>
  <si>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</si>
  <si>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</si>
  <si>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</si>
  <si>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</si>
  <si>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</si>
  <si>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</si>
  <si>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</si>
  <si>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</si>
  <si>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</si>
  <si>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</si>
  <si>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</si>
  <si>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</si>
  <si>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</si>
  <si>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</si>
  <si>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</si>
  <si>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</si>
  <si>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</si>
  <si>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</si>
  <si>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</si>
  <si>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</si>
  <si>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</si>
  <si>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</si>
  <si>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</si>
  <si>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</si>
  <si>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</si>
  <si>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</si>
  <si>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</si>
  <si>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</si>
  <si>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</si>
  <si>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</si>
  <si>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</si>
  <si>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</si>
  <si>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</si>
  <si>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</si>
  <si>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</si>
  <si>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</si>
  <si>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</si>
  <si>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</si>
  <si>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</si>
  <si>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</si>
  <si>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</si>
  <si>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</si>
  <si>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</si>
  <si>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</si>
  <si>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</si>
  <si>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</si>
  <si>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</si>
  <si>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</si>
  <si>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</si>
  <si>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</si>
  <si>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</si>
  <si>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</si>
  <si>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</si>
  <si>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</si>
  <si>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</si>
  <si>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</si>
  <si>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</si>
  <si>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</si>
  <si>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</si>
  <si>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</si>
  <si>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</si>
  <si>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</si>
  <si>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</si>
  <si>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</si>
  <si>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</si>
  <si>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</si>
  <si>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</si>
  <si>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</si>
  <si>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</si>
  <si>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</si>
  <si>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</si>
  <si>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</si>
  <si>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</si>
  <si>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</si>
  <si>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</si>
  <si>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</si>
  <si>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</si>
  <si>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</si>
  <si>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</si>
  <si>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</si>
  <si>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</si>
  <si>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</si>
  <si>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</si>
  <si>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</si>
  <si>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</si>
  <si>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</si>
  <si>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</si>
  <si>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</si>
  <si>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</si>
  <si>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</si>
  <si>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</si>
  <si>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</si>
  <si>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</si>
  <si>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</si>
  <si>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</si>
  <si>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</si>
  <si>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</si>
  <si>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</si>
  <si>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</si>
  <si>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</si>
  <si>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</si>
  <si>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</si>
  <si>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</si>
  <si>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</si>
  <si>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</si>
  <si>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</si>
  <si>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</si>
  <si>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</si>
  <si>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</si>
  <si>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</si>
  <si>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</si>
  <si>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</si>
  <si>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</si>
  <si>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</si>
  <si>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</si>
  <si>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</si>
  <si>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</si>
  <si>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</si>
  <si>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</si>
  <si>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</si>
  <si>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</si>
  <si>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</si>
  <si>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</si>
  <si>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</si>
  <si>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</si>
  <si>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</si>
  <si>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</si>
  <si>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</si>
  <si>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</si>
  <si>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</si>
  <si>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</si>
  <si>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</si>
  <si>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</si>
  <si>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</si>
  <si>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</si>
  <si>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</si>
  <si>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</si>
  <si>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</si>
  <si>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</si>
  <si>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</si>
  <si>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</si>
  <si>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</si>
  <si>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</si>
  <si>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</si>
  <si>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</si>
  <si>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</si>
  <si>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</si>
  <si>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</si>
  <si>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</si>
  <si>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</si>
  <si>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</si>
  <si>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</si>
  <si>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</si>
  <si>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</si>
  <si>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</si>
  <si>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</si>
  <si>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</si>
  <si>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</si>
  <si>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</si>
  <si>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</si>
  <si>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</si>
  <si>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</si>
  <si>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</si>
  <si>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</si>
  <si>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</si>
  <si>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</si>
  <si>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</si>
  <si>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</si>
  <si>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</si>
  <si>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</si>
  <si>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</si>
  <si>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</si>
  <si>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</si>
  <si>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</si>
  <si>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</si>
  <si>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</si>
  <si>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</si>
  <si>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</si>
  <si>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</si>
  <si>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</si>
  <si>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</si>
  <si>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</si>
  <si>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</si>
  <si>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</si>
  <si>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</si>
  <si>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</si>
  <si>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</si>
  <si>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</si>
  <si>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</si>
  <si>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</si>
  <si>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</si>
  <si>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</si>
  <si>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</si>
  <si>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</si>
  <si>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</si>
  <si>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</si>
  <si>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</si>
  <si>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</si>
  <si>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</si>
  <si>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</si>
  <si>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</si>
  <si>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</si>
  <si>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</si>
  <si>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</si>
  <si>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</si>
  <si>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</si>
  <si>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</si>
  <si>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</si>
  <si>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</si>
  <si>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</si>
  <si>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</si>
  <si>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</si>
  <si>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</si>
  <si>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</si>
  <si>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</si>
  <si>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</si>
  <si>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</si>
  <si>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</si>
  <si>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</si>
  <si>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</si>
  <si>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</si>
  <si>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</si>
  <si>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</si>
  <si>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</si>
  <si>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</si>
  <si>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</si>
  <si>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</si>
  <si>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</si>
  <si>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</si>
  <si>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</si>
  <si>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</si>
  <si>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</si>
  <si>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</si>
  <si>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</si>
  <si>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</si>
  <si>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</si>
  <si>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</si>
  <si>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</si>
  <si>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</si>
  <si>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</si>
  <si>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</si>
  <si>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</si>
  <si>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</si>
  <si>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</si>
  <si>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</si>
  <si>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</si>
  <si>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</si>
  <si>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</si>
  <si>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</si>
  <si>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</si>
  <si>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</si>
  <si>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</si>
  <si>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</si>
  <si>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</si>
  <si>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</si>
  <si>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</si>
  <si>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</si>
  <si>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</si>
  <si>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</si>
  <si>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</si>
  <si>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</si>
  <si>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</si>
  <si>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</si>
  <si>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</si>
  <si>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</si>
  <si>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</si>
  <si>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</si>
  <si>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</si>
  <si>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</si>
  <si>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</si>
  <si>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</si>
  <si>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</si>
  <si>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</si>
  <si>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</si>
  <si>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</si>
  <si>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</si>
  <si>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</si>
  <si>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</si>
  <si>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</si>
  <si>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</si>
  <si>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</si>
  <si>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</si>
  <si>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</si>
  <si>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</si>
  <si>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</si>
  <si>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</si>
  <si>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</si>
  <si>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</si>
  <si>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</si>
  <si>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</si>
  <si>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</si>
  <si>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</si>
  <si>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</si>
  <si>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</si>
  <si>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</si>
  <si>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</si>
  <si>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</si>
  <si>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</si>
  <si>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</si>
  <si>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</si>
  <si>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</si>
  <si>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</si>
  <si>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</si>
  <si>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</si>
  <si>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</si>
  <si>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</si>
  <si>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</si>
  <si>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</si>
  <si>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</si>
  <si>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</si>
  <si>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</si>
  <si>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</si>
  <si>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</si>
  <si>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</si>
  <si>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</si>
  <si>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</si>
  <si>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</si>
  <si>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</si>
  <si>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</si>
  <si>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</si>
  <si>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</si>
  <si>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</si>
  <si>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</si>
  <si>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</si>
  <si>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</si>
  <si>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</si>
  <si>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</si>
  <si>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</si>
  <si>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</si>
  <si>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</si>
  <si>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</si>
  <si>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</si>
  <si>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</si>
  <si>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</si>
  <si>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</si>
  <si>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</si>
  <si>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</si>
  <si>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</si>
  <si>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</si>
  <si>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</si>
  <si>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</si>
  <si>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</si>
  <si>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</si>
  <si>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</si>
  <si>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</si>
  <si>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</si>
  <si>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</si>
  <si>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</si>
  <si>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</si>
  <si>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</si>
  <si>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</si>
  <si>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</si>
  <si>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</si>
  <si>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</si>
  <si>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</si>
  <si>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</si>
  <si>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</si>
  <si>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</si>
  <si>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</si>
  <si>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</si>
  <si>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</si>
  <si>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</si>
  <si>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</si>
  <si>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</si>
  <si>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</si>
  <si>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</si>
  <si>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</si>
  <si>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</si>
  <si>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</si>
  <si>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</si>
  <si>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</si>
  <si>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</si>
  <si>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</si>
  <si>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</si>
  <si>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</si>
  <si>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</si>
  <si>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</si>
  <si>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</si>
  <si>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</si>
  <si>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</si>
  <si>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</si>
  <si>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</si>
  <si>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</si>
  <si>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</si>
  <si>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</si>
  <si>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</si>
  <si>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</si>
  <si>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</si>
  <si>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</si>
  <si>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</si>
  <si>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</si>
  <si>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</si>
  <si>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</si>
  <si>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</si>
  <si>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</si>
  <si>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</si>
  <si>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</si>
  <si>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</si>
  <si>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</si>
  <si>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</si>
  <si>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</si>
  <si>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</si>
  <si>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</si>
  <si>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</si>
  <si>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</si>
  <si>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</si>
  <si>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</si>
  <si>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</si>
  <si>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</si>
  <si>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</si>
  <si>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</si>
  <si>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</si>
  <si>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</si>
  <si>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</si>
  <si>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</si>
  <si>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</si>
  <si>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</si>
  <si>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</si>
  <si>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</si>
  <si>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</si>
  <si>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</si>
  <si>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</si>
  <si>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</si>
  <si>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</si>
  <si>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</si>
  <si>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</si>
  <si>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</si>
  <si>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</si>
  <si>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</si>
  <si>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</si>
  <si>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</si>
  <si>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</si>
  <si>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</si>
  <si>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</si>
  <si>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</si>
  <si>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</si>
  <si>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</si>
  <si>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</si>
  <si>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</si>
  <si>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</si>
  <si>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</si>
  <si>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</si>
  <si>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</si>
  <si>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</si>
  <si>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</si>
  <si>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</si>
  <si>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</si>
  <si>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</si>
  <si>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</si>
  <si>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</si>
  <si>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</si>
  <si>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</si>
  <si>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</si>
  <si>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</si>
  <si>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</si>
  <si>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</si>
  <si>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</si>
  <si>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</si>
  <si>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</si>
  <si>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</si>
  <si>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</si>
  <si>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</si>
  <si>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</si>
  <si>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</si>
  <si>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</si>
  <si>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</si>
  <si>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</si>
  <si>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</si>
  <si>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</si>
  <si>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</si>
  <si>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</si>
  <si>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</si>
  <si>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</si>
  <si>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</si>
  <si>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</si>
  <si>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</si>
  <si>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</si>
  <si>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</si>
  <si>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</si>
  <si>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</si>
  <si>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</si>
  <si>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</si>
  <si>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</si>
  <si>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</si>
  <si>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</si>
  <si>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</si>
  <si>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</si>
  <si>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</si>
  <si>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</si>
  <si>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</si>
  <si>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</si>
  <si>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</si>
  <si>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</si>
  <si>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</si>
  <si>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</si>
  <si>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</si>
  <si>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</si>
  <si>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</si>
  <si>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</si>
  <si>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</si>
  <si>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</si>
  <si>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</si>
  <si>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</si>
  <si>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</si>
  <si>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</si>
  <si>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</si>
  <si>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</si>
  <si>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</si>
  <si>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</si>
  <si>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</si>
  <si>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</si>
  <si>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</si>
  <si>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</si>
  <si>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</si>
  <si>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</si>
  <si>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</si>
  <si>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</si>
  <si>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</si>
  <si>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</si>
  <si>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</si>
  <si>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</si>
  <si>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</si>
  <si>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</si>
  <si>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</si>
  <si>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</si>
  <si>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</si>
  <si>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</si>
  <si>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</si>
  <si>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</si>
  <si>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</si>
  <si>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</si>
  <si>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</si>
  <si>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</si>
  <si>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</si>
  <si>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</si>
  <si>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</si>
  <si>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</si>
  <si>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</si>
  <si>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</si>
  <si>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</si>
  <si>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</si>
  <si>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</si>
  <si>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</si>
  <si>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</si>
  <si>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</si>
  <si>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</si>
  <si>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</si>
  <si>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</si>
  <si>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</si>
  <si>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</si>
  <si>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</si>
  <si>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</si>
  <si>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</si>
  <si>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</si>
  <si>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</si>
  <si>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</si>
  <si>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</si>
  <si>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</si>
  <si>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</si>
  <si>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</si>
  <si>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</si>
  <si>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</si>
  <si>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</si>
  <si>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</si>
  <si>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</si>
  <si>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</si>
  <si>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</si>
  <si>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</si>
  <si>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</si>
  <si>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</si>
  <si>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</si>
  <si>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</si>
  <si>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</si>
  <si>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</si>
  <si>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</si>
  <si>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</si>
  <si>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</si>
  <si>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</si>
  <si>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</si>
  <si>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</si>
  <si>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</si>
  <si>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</si>
  <si>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</si>
  <si>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</si>
  <si>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</si>
  <si>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</si>
  <si>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</si>
  <si>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</si>
  <si>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</si>
  <si>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</si>
  <si>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</si>
  <si>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</si>
  <si>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</si>
  <si>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</si>
  <si>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</si>
  <si>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</si>
  <si>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</si>
  <si>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</si>
  <si>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</si>
  <si>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</si>
  <si>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</si>
  <si>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</si>
  <si>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</si>
  <si>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</si>
  <si>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</si>
  <si>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</si>
  <si>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</si>
  <si>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</si>
  <si>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</si>
  <si>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</si>
  <si>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</si>
  <si>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</si>
  <si>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</si>
  <si>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</si>
  <si>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</si>
  <si>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</si>
  <si>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</si>
  <si>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</si>
  <si>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</si>
  <si>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</si>
  <si>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</si>
  <si>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</si>
  <si>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</si>
  <si>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</si>
  <si>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</si>
  <si>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</si>
  <si>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</si>
  <si>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</si>
  <si>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</si>
  <si>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</si>
  <si>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</si>
  <si>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</si>
  <si>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</si>
  <si>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</si>
  <si>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</si>
  <si>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</si>
  <si>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</si>
  <si>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</si>
  <si>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</si>
  <si>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</si>
  <si>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</si>
  <si>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</si>
  <si>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</si>
  <si>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</si>
  <si>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</si>
  <si>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</si>
  <si>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</si>
  <si>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</si>
  <si>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</si>
  <si>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</si>
  <si>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</si>
  <si>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</si>
  <si>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</si>
  <si>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</si>
  <si>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</si>
  <si>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</si>
  <si>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</si>
  <si>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</si>
  <si>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</si>
  <si>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</si>
  <si>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</si>
  <si>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</si>
  <si>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</si>
  <si>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</si>
  <si>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</si>
  <si>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</si>
  <si>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</si>
  <si>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</si>
  <si>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</si>
  <si>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</si>
  <si>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</si>
  <si>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</si>
  <si>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</si>
  <si>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</si>
  <si>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</si>
  <si>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</si>
  <si>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</si>
  <si>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</si>
  <si>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</si>
  <si>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</si>
  <si>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</si>
  <si>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</si>
  <si>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</si>
  <si>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</si>
  <si>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</si>
  <si>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</si>
  <si>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</si>
  <si>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</si>
  <si>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</si>
  <si>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</si>
  <si>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</si>
  <si>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</si>
  <si>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</si>
  <si>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</si>
  <si>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</si>
  <si>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</si>
  <si>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</si>
  <si>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</si>
  <si>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</si>
  <si>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</si>
  <si>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</si>
  <si>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</si>
  <si>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</si>
  <si>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</si>
  <si>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</si>
  <si>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</si>
  <si>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</si>
  <si>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</si>
  <si>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</si>
  <si>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</si>
  <si>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</si>
  <si>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</si>
  <si>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</si>
  <si>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</si>
  <si>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</si>
  <si>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</si>
  <si>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</si>
  <si>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</si>
  <si>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</si>
  <si>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</si>
  <si>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</si>
  <si>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</si>
  <si>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</si>
  <si>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</si>
  <si>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</si>
  <si>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</si>
  <si>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</si>
  <si>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</si>
  <si>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</si>
  <si>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</si>
  <si>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</si>
  <si>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</si>
  <si>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</si>
  <si>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</si>
  <si>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</si>
  <si>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</si>
  <si>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</si>
  <si>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</si>
  <si>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</si>
  <si>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</si>
  <si>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</si>
  <si>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</si>
  <si>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</si>
  <si>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</si>
  <si>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</si>
  <si>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</si>
  <si>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</si>
  <si>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</si>
  <si>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</si>
  <si>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</si>
  <si>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</si>
  <si>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</si>
  <si>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</si>
  <si>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</si>
  <si>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</si>
  <si>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</si>
  <si>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</si>
  <si>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</si>
  <si>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</si>
  <si>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</si>
  <si>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</si>
  <si>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</si>
  <si>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</si>
  <si>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</si>
  <si>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</si>
  <si>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</si>
  <si>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</si>
  <si>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</si>
  <si>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</si>
  <si>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</si>
  <si>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</si>
  <si>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</si>
  <si>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</si>
  <si>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</si>
  <si>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</si>
  <si>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</si>
  <si>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</si>
  <si>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</si>
  <si>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</si>
  <si>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</si>
  <si>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</si>
  <si>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</si>
  <si>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</si>
  <si>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</si>
  <si>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</si>
  <si>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</si>
  <si>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</si>
  <si>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</si>
  <si>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</si>
  <si>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</si>
  <si>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</si>
  <si>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</si>
  <si>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</si>
  <si>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</si>
  <si>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</si>
  <si>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</si>
  <si>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</si>
  <si>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</si>
  <si>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</si>
  <si>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</si>
  <si>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</si>
  <si>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</si>
  <si>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</si>
  <si>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</si>
  <si>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</si>
  <si>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</si>
  <si>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</si>
  <si>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</si>
  <si>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</si>
  <si>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</si>
  <si>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</si>
  <si>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</si>
  <si>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</si>
  <si>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</si>
  <si>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</si>
  <si>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</si>
  <si>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</si>
  <si>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</si>
  <si>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</si>
  <si>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</si>
  <si>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</si>
  <si>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</si>
  <si>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</si>
  <si>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</si>
  <si>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</si>
  <si>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</si>
  <si>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</si>
  <si>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</si>
  <si>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</si>
  <si>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</si>
  <si>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</si>
  <si>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</si>
  <si>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</si>
  <si>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</si>
  <si>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</si>
  <si>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</si>
  <si>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</si>
  <si>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</si>
  <si>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</si>
  <si>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</si>
  <si>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</si>
  <si>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</si>
  <si>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</si>
  <si>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</si>
  <si>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</si>
  <si>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</si>
  <si>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</si>
  <si>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</si>
  <si>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</si>
  <si>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</si>
  <si>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</si>
  <si>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</si>
  <si>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</si>
  <si>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</si>
  <si>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</si>
  <si>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</si>
  <si>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</si>
  <si>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</si>
  <si>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</si>
  <si>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</si>
  <si>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</si>
  <si>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</si>
  <si>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</si>
  <si>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</si>
  <si>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</si>
  <si>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</si>
  <si>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</si>
  <si>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</si>
  <si>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</si>
  <si>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</si>
  <si>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</si>
  <si>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</si>
  <si>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</si>
  <si>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</si>
  <si>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</si>
  <si>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</si>
  <si>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</si>
  <si>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</si>
  <si>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</si>
  <si>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</si>
  <si>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</si>
  <si>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</si>
  <si>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</si>
  <si>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</si>
  <si>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</si>
  <si>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</si>
  <si>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</si>
  <si>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</si>
  <si>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</si>
  <si>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</si>
  <si>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</si>
  <si>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</si>
  <si>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</si>
  <si>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</si>
  <si>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</si>
  <si>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</si>
  <si>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</si>
  <si>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</si>
  <si>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</si>
  <si>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</si>
  <si>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</si>
  <si>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</si>
  <si>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</si>
  <si>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</si>
  <si>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</si>
  <si>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</si>
  <si>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</si>
  <si>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</si>
  <si>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</si>
  <si>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</si>
  <si>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</si>
  <si>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</si>
  <si>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</si>
  <si>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</si>
  <si>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</si>
  <si>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</si>
  <si>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</si>
  <si>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</si>
  <si>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</si>
  <si>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</si>
  <si>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</si>
  <si>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</si>
  <si>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</si>
  <si>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</si>
  <si>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</si>
  <si>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</si>
  <si>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</si>
  <si>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</si>
  <si>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</si>
  <si>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</si>
  <si>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</si>
  <si>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</si>
  <si>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</si>
  <si>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</si>
  <si>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</si>
  <si>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</si>
  <si>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</si>
  <si>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</si>
  <si>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</si>
  <si>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</si>
  <si>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</si>
  <si>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</si>
  <si>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</si>
  <si>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</si>
  <si>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</si>
  <si>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</si>
  <si>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</si>
  <si>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</si>
  <si>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</si>
  <si>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</si>
  <si>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</si>
  <si>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</si>
  <si>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</si>
  <si>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</si>
  <si>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</si>
  <si>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</si>
  <si>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</si>
  <si>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</si>
  <si>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</si>
  <si>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</si>
  <si>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</si>
  <si>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</si>
  <si>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</si>
  <si>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</si>
  <si>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</si>
  <si>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</si>
  <si>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</si>
  <si>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</si>
  <si>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</si>
  <si>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</si>
  <si>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</si>
  <si>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</si>
  <si>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</si>
  <si>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</si>
  <si>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</si>
  <si>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</si>
  <si>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</si>
  <si>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</si>
  <si>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</si>
  <si>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</si>
  <si>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</si>
  <si>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</si>
  <si>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</si>
  <si>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</si>
  <si>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</si>
  <si>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</si>
  <si>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</si>
  <si>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</si>
  <si>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</si>
  <si>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</si>
  <si>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</si>
  <si>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</si>
  <si>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</si>
  <si>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</si>
  <si>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</si>
  <si>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</si>
  <si>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</si>
  <si>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</si>
  <si>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</si>
  <si>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</si>
  <si>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</si>
  <si>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</si>
  <si>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</si>
  <si>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</si>
  <si>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</si>
  <si>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</si>
  <si>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</si>
  <si>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</si>
  <si>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</si>
  <si>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</si>
  <si>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</si>
  <si>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</si>
  <si>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</si>
  <si>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</si>
  <si>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</si>
  <si>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</si>
  <si>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</si>
  <si>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</si>
  <si>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</si>
  <si>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</si>
  <si>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</si>
  <si>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</si>
  <si>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</si>
  <si>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</si>
  <si>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</si>
  <si>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</si>
  <si>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</si>
  <si>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</si>
  <si>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</si>
  <si>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</si>
  <si>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</si>
  <si>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</si>
  <si>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</si>
  <si>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</si>
  <si>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</si>
  <si>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</si>
  <si>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</si>
  <si>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</si>
  <si>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</si>
  <si>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</si>
  <si>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</si>
  <si>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</si>
  <si>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</si>
  <si>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</si>
  <si>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</si>
  <si>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</si>
  <si>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</si>
  <si>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</si>
  <si>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</si>
  <si>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</si>
  <si>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</si>
  <si>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</si>
  <si>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</si>
  <si>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</si>
  <si>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</si>
  <si>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</si>
  <si>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</si>
  <si>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</si>
  <si>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</si>
  <si>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</si>
  <si>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</si>
  <si>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</si>
  <si>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</si>
  <si>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</si>
  <si>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</si>
  <si>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</si>
  <si>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</si>
  <si>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</si>
  <si>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</si>
  <si>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</si>
  <si>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</si>
  <si>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</si>
  <si>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</si>
  <si>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</si>
  <si>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</si>
  <si>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</si>
  <si>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</si>
  <si>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</si>
  <si>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</si>
  <si>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</si>
  <si>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</si>
  <si>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</si>
  <si>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</si>
  <si>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</si>
  <si>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</si>
  <si>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</si>
  <si>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</si>
  <si>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</si>
  <si>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</si>
  <si>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</si>
  <si>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</si>
  <si>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</si>
  <si>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</si>
  <si>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</si>
  <si>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</si>
  <si>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</si>
  <si>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</si>
  <si>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</si>
  <si>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</si>
  <si>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</si>
  <si>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</si>
  <si>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</si>
  <si>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</si>
  <si>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</si>
  <si>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</si>
  <si>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</si>
  <si>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</si>
  <si>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</si>
  <si>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</si>
  <si>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</si>
  <si>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</si>
  <si>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</si>
  <si>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</si>
  <si>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</si>
  <si>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</si>
  <si>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</si>
  <si>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</si>
  <si>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</si>
  <si>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</si>
  <si>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</si>
  <si>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</si>
  <si>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</si>
  <si>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</si>
  <si>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</si>
  <si>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</si>
  <si>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</si>
  <si>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</si>
  <si>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</si>
  <si>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</si>
  <si>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</si>
  <si>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</si>
  <si>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</si>
  <si>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</si>
  <si>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</si>
  <si>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</si>
  <si>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</si>
  <si>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</si>
  <si>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</si>
  <si>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</si>
  <si>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</si>
  <si>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</si>
  <si>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</si>
  <si>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</si>
  <si>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</si>
  <si>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</si>
  <si>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</si>
  <si>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</si>
  <si>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</si>
  <si>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</si>
  <si>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</si>
  <si>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</si>
  <si>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</si>
  <si>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</si>
  <si>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</si>
  <si>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</si>
  <si>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</si>
  <si>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</si>
  <si>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</si>
  <si>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</si>
  <si>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</si>
  <si>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</si>
  <si>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</si>
  <si>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</si>
  <si>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</si>
  <si>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</si>
  <si>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</si>
  <si>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</si>
  <si>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</si>
  <si>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</si>
  <si>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</si>
  <si>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</si>
  <si>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</si>
  <si>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</si>
  <si>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</si>
  <si>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</si>
  <si>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</si>
  <si>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</si>
  <si>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</si>
  <si>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</si>
  <si>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</si>
  <si>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</si>
  <si>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</si>
  <si>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</si>
  <si>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</si>
  <si>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</si>
  <si>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</si>
  <si>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</si>
  <si>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</si>
  <si>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</si>
  <si>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</si>
  <si>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</si>
  <si>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</si>
  <si>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</si>
  <si>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</si>
  <si>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</si>
  <si>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</si>
  <si>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</si>
  <si>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</si>
  <si>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</si>
  <si>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</si>
  <si>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</si>
  <si>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</si>
  <si>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</si>
  <si>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</si>
  <si>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</si>
  <si>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</si>
  <si>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</si>
  <si>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</si>
  <si>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</si>
  <si>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</si>
  <si>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</si>
  <si>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</si>
  <si>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</si>
  <si>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</si>
  <si>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</si>
  <si>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</si>
  <si>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</si>
  <si>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</si>
  <si>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</si>
  <si>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</si>
  <si>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</si>
  <si>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</si>
  <si>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</si>
  <si>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</si>
  <si>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</si>
  <si>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</si>
  <si>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</si>
  <si>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</si>
  <si>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</si>
  <si>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</si>
  <si>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</si>
  <si>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</si>
  <si>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</si>
  <si>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</si>
  <si>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</si>
  <si>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</si>
  <si>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</si>
  <si>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</si>
  <si>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</si>
  <si>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</si>
  <si>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</si>
  <si>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</si>
  <si>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</si>
  <si>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</si>
  <si>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</si>
  <si>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</si>
  <si>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</si>
  <si>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</si>
  <si>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</si>
  <si>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</si>
  <si>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</si>
  <si>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</si>
  <si>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</si>
  <si>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</si>
  <si>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</si>
  <si>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</si>
  <si>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</si>
  <si>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</si>
  <si>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</si>
  <si>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</si>
  <si>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</si>
  <si>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</si>
  <si>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</si>
  <si>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</si>
  <si>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</si>
  <si>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</si>
  <si>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</si>
  <si>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</si>
  <si>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</si>
  <si>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</si>
  <si>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</si>
  <si>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</si>
  <si>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</si>
  <si>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</si>
  <si>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</si>
  <si>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</si>
  <si>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</si>
  <si>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</si>
  <si>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</si>
  <si>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</si>
  <si>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</si>
  <si>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</si>
  <si>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</si>
  <si>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</si>
  <si>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</si>
  <si>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</si>
  <si>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</si>
  <si>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</si>
  <si>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</si>
  <si>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</si>
  <si>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</si>
  <si>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</si>
  <si>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</si>
  <si>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</si>
  <si>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</si>
  <si>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</si>
  <si>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</si>
  <si>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</si>
  <si>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</si>
  <si>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</si>
  <si>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</si>
  <si>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</si>
  <si>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</si>
  <si>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</si>
  <si>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</si>
  <si>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</si>
  <si>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</si>
  <si>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</si>
  <si>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</si>
  <si>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</si>
  <si>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</si>
  <si>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</si>
  <si>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</si>
  <si>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</si>
  <si>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</si>
  <si>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</si>
  <si>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</si>
  <si>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</si>
  <si>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</si>
  <si>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</si>
  <si>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</si>
  <si>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</si>
  <si>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</si>
  <si>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</si>
  <si>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</si>
  <si>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</si>
  <si>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</si>
  <si>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</si>
  <si>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</si>
  <si>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</si>
  <si>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</si>
  <si>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</si>
  <si>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</si>
  <si>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</si>
  <si>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</si>
  <si>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</si>
  <si>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</si>
  <si>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</si>
  <si>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</si>
  <si>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</si>
  <si>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</si>
  <si>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</si>
  <si>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</si>
  <si>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</si>
  <si>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</si>
  <si>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</si>
  <si>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</si>
  <si>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</si>
  <si>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</si>
  <si>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</si>
  <si>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</si>
  <si>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</si>
  <si>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</si>
  <si>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</si>
  <si>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</si>
  <si>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</si>
  <si>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</si>
  <si>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</si>
  <si>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</si>
  <si>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</si>
  <si>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</si>
  <si>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</si>
  <si>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</si>
  <si>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</si>
  <si>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</si>
  <si>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</si>
  <si>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</si>
  <si>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</si>
  <si>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</si>
  <si>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</si>
  <si>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</si>
  <si>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</si>
  <si>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</si>
  <si>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</si>
  <si>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</si>
  <si>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</si>
  <si>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</si>
  <si>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</si>
  <si>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</si>
  <si>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</si>
  <si>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</si>
  <si>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</si>
  <si>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</si>
  <si>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</si>
  <si>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</si>
  <si>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</si>
  <si>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</si>
  <si>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</si>
  <si>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</si>
  <si>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</si>
  <si>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</si>
  <si>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</si>
  <si>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</si>
  <si>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</si>
  <si>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</si>
  <si>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</si>
  <si>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</si>
  <si>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</si>
  <si>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</si>
  <si>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</si>
  <si>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</si>
  <si>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</si>
  <si>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</si>
  <si>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</si>
  <si>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</si>
  <si>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</si>
  <si>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</si>
  <si>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</si>
  <si>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</si>
  <si>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</si>
  <si>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</si>
  <si>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</si>
  <si>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</si>
  <si>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</si>
  <si>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</si>
  <si>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</si>
  <si>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</si>
  <si>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</si>
  <si>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</si>
  <si>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</si>
  <si>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</si>
  <si>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</si>
  <si>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</si>
  <si>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</si>
  <si>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</si>
  <si>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</si>
  <si>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</si>
  <si>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</si>
  <si>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</si>
  <si>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</si>
  <si>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</si>
  <si>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</si>
  <si>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</si>
  <si>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</si>
  <si>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</si>
  <si>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</si>
  <si>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</si>
  <si>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</si>
  <si>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</si>
  <si>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</si>
  <si>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</si>
  <si>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</si>
  <si>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</si>
  <si>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</si>
  <si>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</si>
  <si>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</si>
  <si>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</si>
  <si>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</si>
  <si>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</si>
  <si>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</si>
  <si>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</si>
  <si>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</si>
  <si>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</si>
  <si>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</si>
  <si>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</si>
  <si>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</si>
  <si>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</si>
  <si>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</si>
  <si>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</si>
  <si>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</si>
  <si>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</si>
  <si>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</si>
  <si>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</si>
  <si>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</si>
  <si>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</si>
  <si>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</si>
  <si>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</si>
  <si>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</si>
  <si>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</si>
  <si>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</si>
  <si>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</si>
  <si>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</si>
  <si>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</si>
  <si>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</si>
  <si>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</si>
  <si>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</si>
  <si>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</si>
  <si>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</si>
  <si>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</si>
  <si>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</si>
  <si>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</si>
  <si>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</si>
  <si>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</si>
  <si>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</si>
  <si>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</si>
  <si>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</si>
  <si>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</si>
  <si>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</si>
  <si>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</si>
  <si>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</si>
  <si>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</si>
  <si>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</si>
  <si>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</si>
  <si>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</si>
  <si>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</si>
  <si>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</si>
  <si>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</si>
  <si>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</si>
  <si>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</si>
  <si>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</si>
  <si>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</si>
  <si>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</si>
  <si>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</si>
  <si>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</si>
  <si>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</si>
  <si>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</si>
  <si>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</si>
  <si>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</si>
  <si>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</si>
  <si>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</si>
  <si>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</si>
  <si>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</si>
  <si>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</si>
  <si>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</si>
  <si>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</si>
  <si>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</si>
  <si>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</si>
  <si>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</si>
  <si>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</si>
  <si>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</si>
  <si>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</si>
  <si>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</si>
  <si>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</si>
  <si>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</si>
  <si>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</si>
  <si>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</si>
  <si>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</si>
  <si>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</si>
  <si>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</si>
  <si>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</si>
  <si>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</si>
  <si>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</si>
  <si>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</si>
  <si>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</si>
  <si>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</si>
  <si>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</si>
  <si>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</si>
  <si>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</si>
  <si>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</si>
  <si>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</si>
  <si>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</si>
  <si>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</si>
  <si>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</si>
  <si>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</si>
  <si>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</si>
  <si>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</si>
  <si>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</si>
  <si>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</si>
  <si>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</si>
  <si>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</si>
  <si>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</si>
  <si>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</si>
  <si>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</si>
  <si>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</si>
  <si>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</si>
  <si>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</si>
  <si>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</si>
  <si>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</si>
  <si>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</si>
  <si>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</si>
  <si>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</si>
  <si>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</si>
  <si>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</si>
  <si>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</si>
  <si>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</si>
  <si>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</si>
  <si>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</si>
  <si>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</si>
  <si>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</si>
  <si>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</si>
  <si>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</si>
  <si>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</si>
  <si>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</si>
  <si>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</si>
  <si>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</si>
  <si>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</si>
  <si>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</si>
  <si>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</si>
  <si>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</si>
  <si>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</si>
  <si>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</si>
  <si>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</si>
  <si>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</si>
  <si>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</si>
  <si>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</si>
  <si>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</si>
  <si>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</si>
  <si>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</si>
  <si>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</si>
  <si>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</si>
  <si>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</si>
  <si>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</si>
  <si>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</si>
  <si>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</si>
  <si>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</si>
  <si>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</si>
  <si>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</si>
  <si>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</si>
  <si>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</si>
  <si>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</si>
  <si>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</si>
  <si>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</si>
  <si>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</si>
  <si>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</si>
  <si>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</si>
  <si>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</si>
  <si>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</si>
  <si>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</si>
  <si>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</si>
  <si>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</si>
  <si>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</si>
  <si>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</si>
  <si>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</si>
  <si>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</si>
  <si>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</si>
  <si>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</si>
  <si>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</si>
  <si>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</si>
  <si>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</si>
  <si>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</si>
  <si>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</si>
  <si>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</si>
  <si>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</si>
  <si>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</si>
  <si>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</si>
  <si>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</si>
  <si>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</si>
  <si>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</si>
  <si>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</si>
  <si>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</si>
  <si>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</si>
  <si>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</si>
  <si>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</si>
  <si>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</si>
  <si>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</si>
  <si>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</si>
  <si>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</si>
  <si>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</si>
  <si>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</si>
  <si>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</si>
  <si>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</si>
  <si>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</si>
  <si>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</si>
  <si>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</si>
  <si>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</si>
  <si>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</si>
  <si>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</si>
  <si>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</si>
  <si>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</si>
  <si>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</si>
  <si>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</si>
  <si>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</si>
  <si>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</si>
  <si>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</si>
  <si>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</si>
  <si>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</si>
  <si>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</si>
  <si>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</si>
  <si>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</si>
  <si>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</si>
  <si>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</si>
  <si>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</si>
  <si>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</si>
  <si>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</si>
  <si>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</si>
  <si>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</si>
  <si>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</si>
  <si>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</si>
  <si>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</si>
  <si>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</si>
  <si>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</si>
  <si>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</si>
  <si>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</si>
  <si>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</si>
  <si>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</si>
  <si>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</si>
  <si>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</si>
  <si>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</si>
  <si>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</si>
  <si>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</si>
  <si>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</si>
  <si>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</si>
  <si>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</si>
  <si>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</si>
  <si>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</si>
  <si>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</si>
  <si>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</si>
  <si>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</si>
  <si>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</si>
  <si>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</si>
  <si>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</si>
  <si>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</si>
  <si>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</si>
  <si>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</si>
  <si>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</si>
  <si>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</si>
  <si>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</si>
  <si>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</si>
  <si>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</si>
  <si>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</si>
  <si>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</si>
  <si>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</si>
  <si>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</si>
  <si>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</si>
  <si>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</si>
  <si>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</si>
  <si>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</si>
  <si>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</si>
  <si>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</si>
  <si>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</si>
  <si>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</si>
  <si>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</si>
  <si>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</si>
  <si>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</si>
  <si>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</si>
  <si>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</si>
  <si>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</si>
  <si>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</si>
  <si>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</si>
  <si>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</si>
  <si>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</si>
  <si>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</si>
  <si>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</si>
  <si>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</si>
  <si>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</si>
  <si>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</si>
  <si>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</si>
  <si>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</si>
  <si>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</si>
  <si>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</si>
  <si>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</si>
  <si>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</si>
  <si>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</si>
  <si>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</si>
  <si>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</si>
  <si>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</si>
  <si>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</si>
  <si>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</si>
  <si>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</si>
  <si>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</si>
  <si>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</si>
  <si>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</si>
  <si>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</si>
  <si>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</si>
  <si>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</si>
  <si>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</si>
  <si>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</si>
  <si>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</si>
  <si>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</si>
  <si>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</si>
  <si>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</si>
  <si>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</si>
  <si>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</si>
  <si>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</si>
  <si>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</si>
  <si>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</si>
  <si>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</si>
  <si>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</si>
  <si>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</si>
  <si>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</si>
  <si>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</si>
  <si>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</si>
  <si>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</si>
  <si>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</si>
  <si>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</si>
  <si>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</si>
  <si>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</si>
  <si>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</si>
  <si>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</si>
  <si>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</si>
  <si>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</si>
  <si>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</si>
  <si>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</si>
  <si>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</si>
  <si>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</si>
  <si>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</si>
  <si>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</si>
  <si>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</si>
  <si>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</si>
  <si>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</si>
  <si>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</si>
  <si>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</si>
  <si>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</si>
  <si>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</si>
  <si>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</si>
  <si>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</si>
  <si>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</si>
  <si>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</si>
  <si>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</si>
  <si>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</si>
  <si>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</si>
  <si>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</si>
  <si>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</si>
  <si>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</si>
  <si>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</si>
  <si>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</si>
  <si>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</si>
  <si>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</si>
  <si>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</si>
  <si>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</si>
  <si>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</si>
  <si>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</si>
  <si>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</si>
  <si>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</si>
  <si>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</si>
  <si>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</si>
  <si>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</si>
  <si>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</si>
  <si>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</si>
  <si>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</si>
  <si>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</si>
  <si>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</si>
  <si>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</si>
  <si>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</si>
  <si>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</si>
  <si>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</si>
  <si>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</si>
  <si>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</si>
  <si>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</si>
  <si>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</si>
  <si>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</si>
  <si>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</si>
  <si>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</si>
  <si>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</si>
  <si>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</si>
  <si>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</si>
  <si>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</si>
  <si>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</si>
  <si>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</si>
  <si>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</si>
  <si>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</si>
  <si>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</si>
  <si>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</si>
  <si>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</si>
  <si>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</si>
  <si>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</si>
  <si>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</si>
  <si>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</si>
  <si>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</si>
  <si>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</si>
  <si>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</si>
  <si>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</si>
  <si>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</si>
  <si>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</si>
  <si>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</si>
  <si>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</si>
  <si>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</si>
  <si>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</si>
  <si>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</si>
  <si>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</si>
  <si>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</si>
  <si>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</si>
  <si>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</si>
  <si>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</si>
  <si>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</si>
  <si>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</si>
  <si>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</si>
  <si>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</si>
  <si>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</si>
  <si>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</si>
  <si>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</si>
  <si>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</si>
  <si>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</si>
  <si>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</si>
  <si>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</si>
  <si>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</si>
  <si>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</si>
  <si>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</si>
  <si>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</si>
  <si>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</si>
  <si>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</si>
  <si>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</si>
  <si>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</si>
  <si>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</si>
  <si>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</si>
  <si>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</si>
  <si>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</si>
  <si>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</si>
  <si>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</si>
  <si>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</si>
  <si>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</si>
  <si>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</si>
  <si>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</si>
  <si>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</si>
  <si>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</si>
  <si>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</si>
  <si>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</si>
  <si>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</si>
  <si>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</si>
  <si>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</si>
  <si>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</si>
  <si>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</si>
  <si>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</si>
  <si>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</si>
  <si>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</si>
  <si>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</si>
  <si>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</si>
  <si>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</si>
  <si>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</si>
  <si>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</si>
  <si>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</si>
  <si>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</si>
  <si>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</si>
  <si>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</si>
  <si>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</si>
  <si>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</si>
  <si>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</si>
  <si>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</si>
  <si>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</si>
  <si>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</si>
  <si>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</si>
  <si>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</si>
  <si>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</si>
  <si>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</si>
  <si>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</si>
  <si>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</si>
  <si>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</si>
  <si>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</si>
  <si>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</si>
  <si>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</si>
  <si>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</si>
  <si>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</si>
  <si>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</si>
  <si>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</si>
  <si>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</si>
  <si>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</si>
  <si>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</si>
  <si>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</si>
  <si>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</si>
  <si>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</si>
  <si>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</si>
  <si>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</si>
  <si>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</si>
  <si>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</si>
  <si>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</si>
  <si>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</si>
  <si>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</si>
  <si>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</si>
  <si>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</si>
  <si>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</si>
  <si>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</si>
  <si>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</si>
  <si>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</si>
  <si>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</si>
  <si>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</si>
  <si>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</si>
  <si>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</si>
  <si>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</si>
  <si>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</si>
  <si>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</si>
  <si>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</si>
  <si>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</si>
  <si>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</si>
  <si>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</si>
  <si>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</si>
  <si>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</si>
  <si>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</si>
  <si>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</si>
  <si>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</si>
  <si>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</si>
  <si>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</si>
  <si>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</si>
  <si>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</si>
  <si>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</si>
  <si>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</si>
  <si>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</si>
  <si>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</si>
  <si>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</si>
  <si>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</si>
  <si>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</si>
  <si>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</si>
  <si>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</si>
  <si>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</si>
  <si>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</si>
  <si>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</si>
  <si>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</si>
  <si>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</si>
  <si>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</si>
  <si>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</si>
  <si>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</si>
  <si>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</si>
  <si>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</si>
  <si>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</si>
  <si>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</si>
  <si>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</si>
  <si>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</si>
  <si>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</si>
  <si>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</si>
  <si>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</si>
  <si>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</si>
  <si>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</si>
  <si>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</si>
  <si>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</si>
  <si>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</si>
  <si>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</si>
  <si>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</si>
  <si>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</si>
  <si>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</si>
  <si>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</si>
  <si>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</si>
  <si>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</si>
  <si>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</si>
  <si>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</si>
  <si>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</si>
  <si>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</si>
  <si>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</si>
  <si>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</si>
  <si>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</si>
  <si>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</si>
  <si>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</si>
  <si>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</si>
  <si>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</si>
  <si>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</si>
  <si>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</si>
  <si>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</si>
  <si>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</si>
  <si>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</si>
  <si>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</si>
  <si>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</si>
  <si>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</si>
  <si>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</si>
  <si>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</si>
  <si>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</si>
  <si>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</si>
  <si>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</si>
  <si>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</si>
  <si>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</si>
  <si>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</si>
  <si>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</si>
  <si>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</si>
  <si>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</si>
  <si>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</si>
  <si>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</si>
  <si>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</si>
  <si>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</si>
  <si>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</si>
  <si>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</si>
  <si>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</si>
  <si>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</si>
  <si>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</si>
  <si>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</si>
  <si>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</si>
  <si>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</si>
  <si>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</si>
  <si>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</si>
  <si>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</si>
  <si>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</si>
  <si>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</si>
  <si>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</si>
  <si>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</si>
  <si>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</si>
  <si>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</si>
  <si>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</si>
  <si>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</si>
  <si>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</si>
  <si>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</si>
  <si>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</si>
  <si>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</si>
  <si>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</si>
  <si>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</si>
  <si>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</si>
  <si>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</si>
  <si>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</si>
  <si>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</si>
  <si>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</si>
  <si>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</si>
  <si>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</si>
  <si>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</si>
  <si>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</si>
  <si>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</si>
  <si>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</si>
  <si>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</si>
  <si>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</si>
  <si>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</si>
  <si>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</si>
  <si>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</si>
  <si>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</si>
  <si>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</si>
  <si>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</si>
  <si>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</si>
  <si>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</si>
  <si>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</si>
  <si>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</si>
  <si>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</si>
  <si>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</si>
  <si>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</si>
  <si>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</si>
  <si>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</si>
  <si>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</si>
  <si>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</si>
  <si>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</si>
  <si>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</si>
  <si>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</si>
  <si>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</si>
  <si>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</si>
  <si>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</si>
  <si>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</si>
  <si>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</si>
  <si>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</si>
  <si>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</si>
  <si>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</si>
  <si>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</si>
  <si>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</si>
  <si>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</si>
  <si>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</si>
  <si>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</si>
  <si>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</si>
  <si>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</si>
  <si>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</si>
  <si>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</si>
  <si>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</si>
  <si>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</si>
  <si>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</si>
  <si>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</si>
  <si>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</si>
  <si>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</si>
  <si>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</si>
  <si>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</si>
  <si>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</si>
  <si>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</si>
  <si>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</si>
  <si>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</si>
  <si>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</si>
  <si>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</si>
  <si>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</si>
  <si>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</si>
  <si>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</si>
  <si>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</si>
  <si>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</si>
  <si>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</si>
  <si>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</si>
  <si>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</si>
  <si>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</si>
  <si>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</si>
  <si>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</si>
  <si>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</si>
  <si>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</si>
  <si>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</si>
  <si>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</si>
  <si>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</si>
  <si>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</si>
  <si>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</si>
  <si>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</si>
  <si>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</si>
  <si>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</si>
  <si>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</si>
  <si>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</si>
  <si>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</si>
  <si>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</si>
  <si>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</si>
  <si>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</si>
  <si>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</si>
  <si>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</si>
  <si>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</si>
  <si>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</si>
  <si>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</si>
  <si>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</si>
  <si>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</si>
  <si>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</si>
  <si>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</si>
  <si>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</si>
  <si>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</si>
  <si>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</si>
  <si>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</si>
  <si>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</si>
  <si>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</si>
  <si>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</si>
  <si>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</si>
  <si>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</si>
  <si>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</si>
  <si>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</si>
  <si>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</si>
  <si>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</si>
  <si>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</si>
  <si>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</si>
  <si>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</si>
  <si>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</si>
  <si>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</si>
  <si>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</si>
  <si>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</si>
  <si>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</si>
  <si>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</si>
  <si>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</si>
  <si>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</si>
  <si>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</si>
  <si>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</si>
  <si>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</si>
  <si>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</si>
  <si>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</si>
  <si>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</si>
  <si>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</si>
  <si>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</si>
  <si>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</si>
  <si>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</si>
  <si>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</si>
  <si>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</si>
  <si>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</si>
  <si>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</si>
  <si>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</si>
  <si>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</si>
  <si>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</si>
  <si>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</si>
  <si>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</si>
  <si>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</si>
  <si>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</si>
  <si>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</si>
  <si>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</si>
  <si>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</si>
  <si>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</si>
  <si>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</si>
  <si>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</si>
  <si>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</si>
  <si>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</si>
  <si>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</si>
  <si>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</si>
  <si>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</si>
  <si>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</si>
  <si>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</si>
  <si>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</si>
  <si>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</si>
  <si>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</si>
  <si>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</si>
  <si>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</si>
  <si>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</si>
  <si>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</si>
  <si>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</si>
  <si>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</si>
  <si>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</si>
  <si>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</si>
  <si>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</si>
  <si>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</si>
  <si>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</si>
  <si>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</si>
  <si>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</si>
  <si>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</si>
  <si>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</si>
  <si>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</si>
  <si>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</si>
  <si>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</si>
  <si>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</si>
  <si>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</si>
  <si>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</si>
  <si>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</si>
  <si>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</si>
  <si>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</si>
  <si>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</si>
  <si>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</si>
  <si>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</si>
  <si>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</si>
  <si>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</si>
  <si>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</si>
  <si>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</si>
  <si>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</si>
  <si>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</si>
  <si>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</si>
  <si>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</si>
  <si>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</si>
  <si>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</si>
  <si>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</si>
  <si>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</si>
  <si>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</si>
  <si>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</si>
  <si>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</si>
  <si>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</si>
  <si>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</si>
  <si>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</si>
  <si>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</si>
  <si>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</si>
  <si>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</si>
  <si>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</si>
  <si>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</si>
  <si>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</si>
  <si>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</si>
  <si>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</si>
  <si>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</si>
  <si>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</si>
  <si>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</si>
  <si>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</si>
  <si>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</si>
  <si>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</si>
  <si>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</si>
  <si>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</si>
  <si>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</si>
  <si>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</si>
  <si>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</si>
  <si>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</si>
  <si>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</si>
  <si>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</si>
  <si>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</si>
  <si>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</si>
  <si>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</si>
  <si>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</si>
  <si>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</si>
  <si>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</si>
  <si>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</si>
  <si>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</si>
  <si>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</si>
  <si>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</si>
  <si>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</si>
  <si>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</si>
  <si>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</si>
  <si>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</si>
  <si>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</si>
  <si>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</si>
  <si>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</si>
  <si>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</si>
  <si>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</si>
  <si>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</si>
  <si>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</si>
  <si>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</si>
  <si>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</si>
  <si>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</si>
  <si>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</si>
  <si>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</si>
  <si>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</si>
  <si>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</si>
  <si>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</si>
  <si>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</si>
  <si>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</si>
  <si>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</si>
  <si>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</si>
  <si>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</si>
  <si>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</si>
  <si>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</si>
  <si>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</si>
  <si>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</si>
  <si>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</si>
  <si>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</si>
  <si>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</si>
  <si>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</si>
  <si>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</si>
  <si>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</si>
  <si>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</si>
  <si>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</si>
  <si>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</si>
  <si>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</si>
  <si>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</si>
  <si>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</si>
  <si>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</si>
  <si>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</si>
  <si>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</si>
  <si>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</si>
  <si>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</si>
  <si>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</si>
  <si>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</si>
  <si>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</si>
  <si>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</si>
  <si>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</si>
  <si>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</si>
  <si>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</si>
  <si>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</si>
  <si>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</si>
  <si>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</si>
  <si>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</si>
  <si>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</si>
  <si>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</si>
  <si>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</si>
  <si>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</si>
  <si>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</si>
  <si>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</si>
  <si>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</si>
  <si>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</si>
  <si>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</si>
  <si>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</si>
  <si>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</si>
  <si>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</si>
  <si>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</si>
  <si>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</si>
  <si>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</si>
  <si>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</si>
  <si>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</si>
  <si>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</si>
  <si>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</si>
  <si>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</si>
  <si>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</si>
  <si>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</si>
  <si>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</si>
  <si>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</si>
  <si>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</si>
  <si>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</si>
  <si>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</si>
  <si>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</si>
  <si>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</si>
  <si>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</si>
  <si>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</si>
  <si>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</si>
  <si>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</si>
  <si>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</si>
  <si>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</si>
  <si>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</si>
  <si>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</si>
  <si>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</si>
  <si>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</si>
  <si>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</si>
  <si>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</si>
  <si>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</si>
  <si>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</si>
  <si>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</si>
  <si>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</si>
  <si>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</si>
  <si>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</si>
  <si>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</si>
  <si>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</si>
  <si>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</si>
  <si>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</si>
  <si>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</si>
  <si>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</si>
  <si>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</si>
  <si>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</si>
  <si>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</si>
  <si>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</si>
  <si>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</si>
  <si>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</si>
  <si>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</si>
  <si>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</si>
  <si>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</si>
  <si>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</si>
  <si>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</si>
  <si>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</si>
  <si>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</si>
  <si>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</si>
  <si>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</si>
  <si>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</si>
  <si>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</si>
  <si>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</si>
  <si>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</si>
  <si>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</si>
  <si>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</si>
  <si>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</si>
  <si>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</si>
  <si>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</si>
  <si>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</si>
  <si>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</si>
  <si>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</si>
  <si>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</si>
  <si>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</si>
  <si>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</si>
  <si>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</si>
  <si>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</si>
  <si>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</si>
  <si>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</si>
  <si>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</si>
  <si>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</si>
  <si>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</si>
  <si>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</si>
  <si>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</si>
  <si>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</si>
  <si>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</si>
  <si>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</si>
  <si>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</si>
  <si>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</si>
  <si>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</si>
  <si>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</si>
  <si>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</si>
  <si>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</si>
  <si>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</si>
  <si>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</si>
  <si>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</si>
  <si>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</si>
  <si>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</si>
  <si>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</si>
  <si>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</si>
  <si>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</si>
  <si>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</si>
  <si>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</si>
  <si>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</si>
  <si>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</si>
  <si>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</si>
  <si>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</si>
  <si>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</si>
  <si>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</si>
  <si>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</si>
  <si>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</si>
  <si>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</si>
  <si>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</si>
  <si>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</si>
  <si>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</si>
  <si>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</si>
  <si>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</si>
  <si>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</si>
  <si>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</si>
  <si>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</si>
  <si>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</si>
  <si>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</si>
  <si>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</si>
  <si>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</si>
  <si>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</si>
  <si>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</si>
  <si>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</si>
  <si>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</si>
  <si>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</si>
  <si>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</si>
  <si>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</si>
  <si>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</si>
  <si>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</si>
  <si>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</si>
  <si>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</si>
  <si>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</si>
  <si>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</si>
  <si>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</si>
  <si>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</si>
  <si>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</si>
  <si>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</si>
  <si>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</si>
  <si>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</si>
  <si>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</si>
  <si>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</si>
  <si>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</si>
  <si>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</si>
  <si>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</si>
  <si>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</si>
  <si>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</si>
  <si>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</si>
  <si>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</si>
  <si>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</si>
  <si>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</si>
  <si>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</si>
  <si>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</si>
  <si>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</si>
  <si>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</si>
  <si>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</si>
  <si>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</si>
  <si>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</si>
  <si>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</si>
  <si>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</si>
  <si>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</si>
  <si>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</si>
  <si>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</si>
  <si>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</si>
  <si>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</si>
  <si>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</si>
  <si>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</si>
  <si>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</si>
  <si>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</si>
  <si>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</si>
  <si>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</si>
  <si>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</si>
  <si>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</si>
  <si>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</si>
  <si>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</si>
  <si>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</si>
  <si>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</si>
  <si>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</si>
  <si>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</si>
  <si>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</si>
  <si>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</si>
  <si>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</si>
  <si>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</si>
  <si>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</si>
  <si>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</si>
  <si>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</si>
  <si>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</si>
  <si>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</si>
  <si>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</si>
  <si>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</si>
  <si>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</si>
  <si>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</si>
  <si>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</si>
  <si>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</si>
  <si>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</si>
  <si>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</si>
  <si>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</si>
  <si>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</si>
  <si>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</si>
  <si>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</si>
  <si>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</si>
  <si>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</si>
  <si>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</si>
  <si>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</si>
  <si>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</si>
  <si>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</si>
  <si>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</si>
  <si>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</si>
  <si>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</si>
  <si>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</si>
  <si>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</si>
  <si>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</si>
  <si>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</si>
  <si>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</si>
  <si>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</si>
  <si>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</si>
  <si>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</si>
  <si>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</si>
  <si>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</si>
  <si>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</si>
  <si>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</si>
  <si>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</si>
  <si>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</si>
  <si>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</si>
  <si>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</si>
  <si>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洋房住宅</t>
  </si>
  <si>
    <t>洋房住宅</t>
    <phoneticPr fontId="14" type="noConversion"/>
  </si>
  <si>
    <t>地下车库</t>
    <phoneticPr fontId="14" type="noConversion"/>
  </si>
  <si>
    <t>地下仓储</t>
  </si>
  <si>
    <t>地下仓储</t>
    <phoneticPr fontId="14" type="noConversion"/>
  </si>
  <si>
    <t>比较法-住宅、综合</t>
  </si>
  <si>
    <t>不动产收益法-车库</t>
  </si>
  <si>
    <t>不动产收益法-仓储</t>
  </si>
  <si>
    <t>不动产收益法-仓储</t>
    <phoneticPr fontId="14" type="noConversion"/>
  </si>
  <si>
    <t>2018-1-</t>
    <phoneticPr fontId="6" type="noConversion"/>
  </si>
  <si>
    <t>北京青龙湖盛通房地产开发有限公司</t>
    <phoneticPr fontId="6" type="noConversion"/>
  </si>
  <si>
    <t>工行商务区支行</t>
    <phoneticPr fontId="6" type="noConversion"/>
  </si>
  <si>
    <t>北京青龙湖盛通房地产开发有限公司</t>
    <phoneticPr fontId="6" type="noConversion"/>
  </si>
  <si>
    <t>抵押</t>
  </si>
  <si>
    <t>抵押价格</t>
  </si>
  <si>
    <t>企业</t>
  </si>
  <si>
    <t>丰台区王佐镇怪村0024</t>
    <phoneticPr fontId="6" type="noConversion"/>
  </si>
  <si>
    <t>城镇住宅用地</t>
    <phoneticPr fontId="6" type="noConversion"/>
  </si>
  <si>
    <t>住宅</t>
    <phoneticPr fontId="6" type="noConversion"/>
  </si>
  <si>
    <t>《规证附图》</t>
    <phoneticPr fontId="6" type="noConversion"/>
  </si>
  <si>
    <t>一致</t>
  </si>
  <si>
    <t>符合</t>
  </si>
  <si>
    <t>出让</t>
  </si>
  <si>
    <t>《建设工程规划许可证》</t>
    <phoneticPr fontId="3" type="noConversion"/>
  </si>
  <si>
    <t>《规证附图》</t>
    <phoneticPr fontId="3" type="noConversion"/>
  </si>
  <si>
    <t>否</t>
  </si>
  <si>
    <t>居住项目</t>
  </si>
  <si>
    <t>无</t>
  </si>
  <si>
    <t>场地平整</t>
  </si>
  <si>
    <t>平整</t>
  </si>
  <si>
    <t>通路</t>
  </si>
  <si>
    <t>通电</t>
  </si>
  <si>
    <t>通讯</t>
  </si>
  <si>
    <t>通上水</t>
  </si>
  <si>
    <t>地上</t>
  </si>
  <si>
    <t>低密度住宅</t>
  </si>
  <si>
    <t>地下</t>
  </si>
  <si>
    <t>车库</t>
  </si>
  <si>
    <t>仓储</t>
  </si>
  <si>
    <t>较一致</t>
    <phoneticPr fontId="21" type="noConversion"/>
  </si>
  <si>
    <t>单面临街</t>
  </si>
  <si>
    <t>估价对象周边居住用地比例一般、居住小区规模和社区发展完善程度一般，综合评价居住社区成熟度一般</t>
    <phoneticPr fontId="3" type="noConversion"/>
  </si>
  <si>
    <t>估价对象周边道路状况较好、公共交通通达情况较好、停车便捷程度较好，综合评价交通便捷度较好</t>
    <phoneticPr fontId="3" type="noConversion"/>
  </si>
  <si>
    <t>估价对象所在区域公共配套设施齐备情况一般</t>
    <phoneticPr fontId="3" type="noConversion"/>
  </si>
  <si>
    <t>估价对象所在区域基础设施水平好</t>
    <phoneticPr fontId="3" type="noConversion"/>
  </si>
  <si>
    <t>区域自然环境及人文环境较好；综合评价环境状况较好</t>
    <phoneticPr fontId="3" type="noConversion"/>
  </si>
  <si>
    <t>一般</t>
  </si>
  <si>
    <t>商业繁华度</t>
  </si>
  <si>
    <t>办公集聚程度</t>
  </si>
  <si>
    <t>较好</t>
  </si>
  <si>
    <t>七通</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</si>
  <si>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泉湖西路</t>
    </r>
    <phoneticPr fontId="21" type="noConversion"/>
  </si>
  <si>
    <t>地块名称</t>
  </si>
  <si>
    <t>城市</t>
  </si>
  <si>
    <t>用地性质</t>
  </si>
  <si>
    <t>区县</t>
  </si>
  <si>
    <t>建设用地面积(㎡)</t>
  </si>
  <si>
    <t>成交日期</t>
  </si>
  <si>
    <t>成交楼面价(元/㎡)</t>
  </si>
  <si>
    <t>北京市门头沟区永定镇曹各庄桥户营村MC00-0016-063地块F1住宅混合公建用地、MC00-0016-064地块</t>
  </si>
  <si>
    <t>综合用地(含住宅)</t>
  </si>
  <si>
    <t>门头沟区</t>
  </si>
  <si>
    <t>2018-02-06</t>
  </si>
  <si>
    <t>北京市门头沟区永定镇岢罗坨、秋坡、石佛村MC00-0500-0009、0010、0013地块R2二类居住用地</t>
  </si>
  <si>
    <t>住宅用地</t>
  </si>
  <si>
    <t>2018-02-02</t>
  </si>
  <si>
    <t>北京市门头沟区永定镇岢罗坨、秋坡、石佛村MC00-0500-0004、0007、0011、0008、0012、0014、MC00-0600-0004、0006、0008、0009、0031地块B1商业用地、F3其他类多功能用地、R2二类居住用地、A334基础教育用地</t>
  </si>
  <si>
    <t>北京市石景山区五里坨建设组团二1601-053地块等F3其他类多功能用地、R2二类居住用地、A334基础教育用地</t>
  </si>
  <si>
    <t>石景山区</t>
  </si>
  <si>
    <t>2017-11-14</t>
  </si>
  <si>
    <t>北京市石景山区五里坨建设组团一(1601-029)等地块R2二类居住用地、F1住宅混合公建用地、F3其他类多功能用地、B4综合性商业金融服务业用地、A334基础教育用地</t>
  </si>
  <si>
    <t>2017-11-07</t>
  </si>
  <si>
    <t>北京市石景山区东下庄1605-630地块R2二类居住用地</t>
  </si>
  <si>
    <t>2017-09-13</t>
  </si>
  <si>
    <t>门头沟区永定镇MC00-0015-0043地块</t>
  </si>
  <si>
    <t>居住2.5,教育0.7</t>
  </si>
  <si>
    <t>2017-04-25</t>
  </si>
  <si>
    <t>石景山区玉泉西一路x-18160地块</t>
  </si>
  <si>
    <t>2017-04-24</t>
  </si>
  <si>
    <t>门头沟区潭柘寺镇MC01-0003-6009、6008、0057、0086、0120、6016、6015地块</t>
  </si>
  <si>
    <t>2017-01-19</t>
  </si>
  <si>
    <t>门头沟区龙泉镇MC00-0003-0026等地块B1商业用地、F1住宅混合公建用地及A33基础教育用地(原门头沟区城子大街国有资源整合改造升级地块)</t>
  </si>
  <si>
    <t>2016-02-26</t>
  </si>
  <si>
    <t>石景山区北辛安棚户区改造A区项目前期工作及拟改造土地使用权</t>
  </si>
  <si>
    <t>≤3.38</t>
  </si>
  <si>
    <t>2015-12-30</t>
  </si>
  <si>
    <t>门头沟区永定镇MC00-0017-6018、6020地块</t>
  </si>
  <si>
    <t>2015-11-18</t>
  </si>
  <si>
    <t>门头沟区永定镇MC00-0020-0009、0012地块</t>
  </si>
  <si>
    <t>门头沟区永定镇MC00-0017-6021、6022地块(门头沟S1线区域组团03地块北部一期用地)</t>
  </si>
  <si>
    <t>2015-09-29</t>
  </si>
  <si>
    <t>石景山区老古城综合改造项目C等地块二类居住、综合性商业金融服务业及基础教育用地</t>
  </si>
  <si>
    <t>2014-11-02</t>
  </si>
  <si>
    <t>住宅</t>
    <phoneticPr fontId="26" type="noConversion"/>
  </si>
  <si>
    <t>楼面地价</t>
  </si>
  <si>
    <t>无</t>
    <phoneticPr fontId="26" type="noConversion"/>
  </si>
  <si>
    <r>
      <rPr>
        <sz val="11"/>
        <color indexed="8"/>
        <rFont val="宋体"/>
        <family val="3"/>
        <charset val="134"/>
      </rPr>
      <t>均价</t>
    </r>
    <r>
      <rPr>
        <sz val="11"/>
        <color indexed="8"/>
        <rFont val="Arial"/>
        <family val="2"/>
      </rPr>
      <t>41230</t>
    </r>
    <phoneticPr fontId="26" type="noConversion"/>
  </si>
  <si>
    <t>B</t>
    <phoneticPr fontId="232" type="noConversion"/>
  </si>
  <si>
    <t>C</t>
    <phoneticPr fontId="232" type="noConversion"/>
  </si>
  <si>
    <t>A</t>
    <phoneticPr fontId="232" type="noConversion"/>
  </si>
  <si>
    <r>
      <rPr>
        <sz val="11"/>
        <color indexed="8"/>
        <rFont val="宋体"/>
        <family val="3"/>
        <charset val="134"/>
      </rPr>
      <t>均价</t>
    </r>
    <r>
      <rPr>
        <sz val="11"/>
        <color indexed="8"/>
        <rFont val="Arial"/>
        <family val="2"/>
      </rPr>
      <t>52024</t>
    </r>
    <phoneticPr fontId="26" type="noConversion"/>
  </si>
  <si>
    <r>
      <rPr>
        <sz val="11"/>
        <color indexed="8"/>
        <rFont val="宋体"/>
        <family val="3"/>
        <charset val="134"/>
      </rPr>
      <t>均价</t>
    </r>
    <r>
      <rPr>
        <sz val="11"/>
        <color indexed="8"/>
        <rFont val="Arial"/>
        <family val="2"/>
      </rPr>
      <t>44849</t>
    </r>
    <phoneticPr fontId="26" type="noConversion"/>
  </si>
  <si>
    <t>70</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</si>
  <si>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</si>
  <si>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</si>
  <si>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</si>
  <si>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</si>
  <si>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</si>
  <si>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t>
    <phoneticPr fontId="26" type="noConversion"/>
  </si>
  <si>
    <t>——</t>
    <phoneticPr fontId="26" type="noConversion"/>
  </si>
  <si>
    <t>较规则</t>
    <phoneticPr fontId="26" type="noConversion"/>
  </si>
  <si>
    <t>较好</t>
    <phoneticPr fontId="26" type="noConversion"/>
  </si>
  <si>
    <t>六通</t>
    <phoneticPr fontId="26" type="noConversion"/>
  </si>
  <si>
    <t>五通</t>
    <phoneticPr fontId="26" type="noConversion"/>
  </si>
  <si>
    <t>四通</t>
    <phoneticPr fontId="26" type="noConversion"/>
  </si>
  <si>
    <t>三通</t>
    <phoneticPr fontId="26" type="noConversion"/>
  </si>
  <si>
    <t>泉湖西路</t>
    <phoneticPr fontId="26" type="noConversion"/>
  </si>
  <si>
    <t>估价对象周边居住用地比例一般、居住小区规模和社区发展完善程度一般，综合评价居住社区成熟度一般</t>
  </si>
  <si>
    <t>估价对象周边道路状况较好、公共交通通达情况较好、停车便捷程度较好，综合评价交通便捷度较好</t>
  </si>
  <si>
    <t>较一致</t>
  </si>
  <si>
    <t>区域自然环境及人文环境较好；综合评价环境状况较好</t>
  </si>
  <si>
    <t>估价对象所在区域公共配套设施齐备情况一般</t>
  </si>
  <si>
    <t>估价对象所在区域基础设施水平好</t>
  </si>
  <si>
    <t>支路</t>
  </si>
  <si>
    <t>潭拓东二路</t>
    <phoneticPr fontId="26" type="noConversion"/>
  </si>
  <si>
    <t>较差</t>
  </si>
  <si>
    <t>较规则</t>
  </si>
  <si>
    <t>四通</t>
  </si>
  <si>
    <t>六通</t>
  </si>
  <si>
    <t>七通</t>
    <phoneticPr fontId="26" type="noConversion"/>
  </si>
  <si>
    <t>未命名</t>
    <phoneticPr fontId="26" type="noConversion"/>
  </si>
  <si>
    <t>估价对象周边居住用地比例较差、居住小区规模和社区发展完善程度较差，综合评价居住社区成熟度较差</t>
    <phoneticPr fontId="26" type="noConversion"/>
  </si>
  <si>
    <t>剩余法-待开发</t>
  </si>
  <si>
    <t>土地（套用方法）</t>
  </si>
  <si>
    <t>押一</t>
  </si>
  <si>
    <t>钢混</t>
  </si>
  <si>
    <t>次干道</t>
  </si>
  <si>
    <r>
      <rPr>
        <sz val="11"/>
        <color theme="1"/>
        <rFont val="仿宋_GB2312"/>
        <family val="3"/>
        <charset val="134"/>
      </rPr>
      <t>项目位置</t>
    </r>
    <phoneticPr fontId="3" type="noConversion"/>
  </si>
  <si>
    <t>按租金收入计税</t>
  </si>
  <si>
    <t>住宅</t>
    <phoneticPr fontId="7" type="noConversion"/>
  </si>
  <si>
    <t>自定义</t>
  </si>
  <si>
    <r>
      <rPr>
        <sz val="11"/>
        <color theme="1"/>
        <rFont val="宋体"/>
        <family val="3"/>
        <charset val="134"/>
      </rPr>
      <t>不动产比较法</t>
    </r>
    <r>
      <rPr>
        <sz val="11"/>
        <color theme="1"/>
        <rFont val="Arial"/>
        <family val="2"/>
      </rPr>
      <t>-</t>
    </r>
    <r>
      <rPr>
        <sz val="11"/>
        <color theme="1"/>
        <rFont val="宋体"/>
        <family val="3"/>
        <charset val="134"/>
      </rPr>
      <t>车位</t>
    </r>
    <phoneticPr fontId="14" type="noConversion"/>
  </si>
  <si>
    <t>售价</t>
  </si>
  <si>
    <r>
      <rPr>
        <b/>
        <sz val="11"/>
        <rFont val="仿宋_GB2312"/>
        <family val="3"/>
        <charset val="134"/>
      </rPr>
      <t>估价对象</t>
    </r>
    <r>
      <rPr>
        <b/>
        <sz val="11"/>
        <color theme="9" tint="-0.249977111117893"/>
        <rFont val="仿宋_GB2312"/>
        <family val="3"/>
        <charset val="134"/>
      </rPr>
      <t>地下车库用房的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</si>
  <si>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</si>
  <si>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</si>
  <si>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</si>
  <si>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0024车位</t>
    <phoneticPr fontId="3" type="noConversion"/>
  </si>
  <si>
    <t>地下一层</t>
  </si>
  <si>
    <t>地下一层</t>
    <phoneticPr fontId="27" type="noConversion"/>
  </si>
  <si>
    <t>普通装修</t>
  </si>
  <si>
    <t>普通装修</t>
    <phoneticPr fontId="27" type="noConversion"/>
  </si>
  <si>
    <t>专业物业</t>
  </si>
  <si>
    <t>专业物业</t>
    <phoneticPr fontId="27" type="noConversion"/>
  </si>
  <si>
    <t>否</t>
    <phoneticPr fontId="27" type="noConversion"/>
  </si>
  <si>
    <t>普通车位</t>
  </si>
  <si>
    <t>普通车位</t>
    <phoneticPr fontId="27" type="noConversion"/>
  </si>
  <si>
    <t>北京山语城车位</t>
    <phoneticPr fontId="3" type="noConversion"/>
  </si>
  <si>
    <t>绿地环球文化金融城车位</t>
    <phoneticPr fontId="3" type="noConversion"/>
  </si>
  <si>
    <t>珠光御景车位</t>
    <phoneticPr fontId="3" type="noConversion"/>
  </si>
  <si>
    <t>正常</t>
  </si>
  <si>
    <t>较好</t>
    <phoneticPr fontId="27" type="noConversion"/>
  </si>
  <si>
    <t>估价对象所在区域公共配套设施齐备情况较好</t>
    <phoneticPr fontId="27" type="noConversion"/>
  </si>
  <si>
    <t>估价对象周边道路状况好、公共交通通达情况好、停车便捷程度好，综合评价交通便捷度好</t>
    <phoneticPr fontId="27"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</si>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</sst>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75" fillId="0" borderId="2" xfId="0" applyNumberFormat="1"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2" borderId="8"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43" fillId="0" borderId="0" xfId="0" applyFont="1" applyFill="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xf numFmtId="0" fontId="70" fillId="8" borderId="0" xfId="0" applyNumberFormat="1" applyFont="1" applyFill="1" applyAlignment="1" applyProtection="1">
      <protection locked="0"/>
    </xf>
    <xf numFmtId="1" fontId="152" fillId="0" borderId="12" xfId="0" applyNumberFormat="1" applyFont="1" applyFill="1" applyBorder="1" applyAlignment="1" applyProtection="1">
      <alignment horizontal="center" vertical="center"/>
      <protection locked="0"/>
    </xf>
    <xf numFmtId="49" fontId="77" fillId="7" borderId="2" xfId="0" applyNumberFormat="1" applyFont="1" applyFill="1" applyBorder="1" applyAlignment="1" applyProtection="1">
      <alignment horizontal="center" vertical="center" wrapText="1"/>
      <protection locked="0"/>
    </xf>
    <xf numFmtId="0" fontId="77" fillId="7" borderId="2" xfId="0" applyFont="1" applyFill="1" applyBorder="1" applyAlignment="1" applyProtection="1">
      <alignment horizontal="center" vertical="center" wrapText="1"/>
      <protection locked="0"/>
    </xf>
    <xf numFmtId="14" fontId="77" fillId="7" borderId="17" xfId="0" applyNumberFormat="1" applyFont="1" applyFill="1" applyBorder="1" applyAlignment="1" applyProtection="1">
      <alignment vertical="center" wrapText="1"/>
      <protection locked="0"/>
    </xf>
    <xf numFmtId="176" fontId="11" fillId="7" borderId="2" xfId="0" applyNumberFormat="1" applyFont="1" applyFill="1" applyBorder="1" applyAlignment="1" applyProtection="1">
      <alignment horizontal="center" vertical="center" wrapText="1"/>
      <protection locked="0"/>
    </xf>
    <xf numFmtId="181" fontId="151" fillId="7" borderId="2" xfId="0" applyNumberFormat="1" applyFont="1" applyFill="1" applyBorder="1" applyAlignment="1" applyProtection="1">
      <alignment horizontal="center" vertical="center"/>
      <protection locked="0"/>
    </xf>
    <xf numFmtId="181" fontId="70" fillId="7" borderId="2" xfId="0" applyNumberFormat="1" applyFont="1" applyFill="1" applyBorder="1" applyAlignment="1" applyProtection="1">
      <alignment horizontal="center" vertical="center"/>
      <protection locked="0"/>
    </xf>
    <xf numFmtId="0" fontId="70" fillId="7" borderId="11" xfId="0" applyFont="1" applyFill="1" applyBorder="1" applyAlignment="1" applyProtection="1">
      <alignment vertical="center"/>
      <protection locked="0"/>
    </xf>
    <xf numFmtId="181" fontId="70" fillId="7" borderId="2" xfId="0" applyNumberFormat="1" applyFont="1" applyFill="1" applyBorder="1" applyAlignment="1" applyProtection="1">
      <alignment vertical="center"/>
      <protection locked="0"/>
    </xf>
    <xf numFmtId="0" fontId="70" fillId="0" borderId="12" xfId="0" applyFont="1" applyFill="1" applyBorder="1" applyAlignment="1" applyProtection="1">
      <alignment horizontal="center" vertical="center"/>
      <protection locked="0"/>
    </xf>
    <xf numFmtId="0" fontId="85" fillId="7" borderId="11" xfId="2" applyFont="1" applyFill="1" applyBorder="1" applyAlignment="1" applyProtection="1"/>
    <xf numFmtId="0" fontId="85" fillId="7" borderId="2" xfId="2" applyFont="1" applyFill="1" applyBorder="1" applyAlignment="1" applyProtection="1">
      <alignment horizontal="center"/>
    </xf>
    <xf numFmtId="0" fontId="85" fillId="7" borderId="2" xfId="0" applyFont="1" applyFill="1" applyBorder="1" applyAlignment="1" applyProtection="1">
      <alignment horizontal="center" vertical="center" wrapText="1"/>
    </xf>
    <xf numFmtId="9" fontId="108" fillId="7" borderId="2" xfId="0" applyNumberFormat="1" applyFont="1" applyFill="1" applyBorder="1" applyAlignment="1" applyProtection="1">
      <alignment horizontal="center" vertical="center"/>
      <protection locked="0"/>
    </xf>
    <xf numFmtId="179" fontId="85" fillId="7" borderId="2" xfId="2" applyNumberFormat="1" applyFont="1" applyFill="1" applyBorder="1" applyAlignment="1" applyProtection="1">
      <alignment horizontal="center"/>
    </xf>
    <xf numFmtId="177" fontId="85" fillId="7" borderId="12" xfId="2" applyNumberFormat="1" applyFont="1" applyFill="1" applyBorder="1" applyAlignment="1" applyProtection="1">
      <alignment horizontal="center"/>
    </xf>
    <xf numFmtId="0" fontId="75" fillId="7" borderId="2" xfId="0" applyFont="1" applyFill="1" applyBorder="1" applyAlignment="1" applyProtection="1">
      <alignment horizontal="left" vertical="center" wrapText="1"/>
      <protection locked="0"/>
    </xf>
    <xf numFmtId="0" fontId="132" fillId="8" borderId="63" xfId="0" applyFont="1" applyFill="1" applyBorder="1" applyAlignment="1" applyProtection="1">
      <alignment horizontal="left" vertical="center" wrapText="1"/>
      <protection locked="0"/>
    </xf>
    <xf numFmtId="0" fontId="83" fillId="8" borderId="8" xfId="0" applyNumberFormat="1" applyFont="1" applyFill="1" applyBorder="1" applyAlignment="1" applyProtection="1">
      <alignment horizontal="center" vertical="center" wrapText="1"/>
      <protection locked="0"/>
    </xf>
    <xf numFmtId="0" fontId="83" fillId="8" borderId="12" xfId="0" applyNumberFormat="1" applyFont="1" applyFill="1" applyBorder="1" applyAlignment="1" applyProtection="1">
      <alignment horizontal="center" vertical="center" wrapText="1"/>
    </xf>
    <xf numFmtId="0" fontId="83" fillId="8" borderId="2" xfId="0" applyNumberFormat="1" applyFont="1" applyFill="1" applyBorder="1" applyAlignment="1" applyProtection="1">
      <alignment horizontal="center" vertical="center" wrapText="1"/>
      <protection locked="0"/>
    </xf>
    <xf numFmtId="0" fontId="70" fillId="8" borderId="12" xfId="0" applyNumberFormat="1" applyFont="1" applyFill="1" applyBorder="1" applyAlignment="1" applyProtection="1">
      <alignment horizontal="center" vertical="center" wrapText="1"/>
    </xf>
    <xf numFmtId="0" fontId="83" fillId="8" borderId="11" xfId="0" applyNumberFormat="1" applyFont="1" applyFill="1" applyBorder="1" applyAlignment="1" applyProtection="1">
      <alignment horizontal="center" vertical="center" wrapText="1"/>
      <protection locked="0"/>
    </xf>
    <xf numFmtId="0" fontId="98" fillId="8" borderId="9" xfId="0" applyNumberFormat="1" applyFont="1" applyFill="1" applyBorder="1" applyAlignment="1" applyProtection="1">
      <alignment horizontal="center" vertical="center" wrapText="1"/>
    </xf>
    <xf numFmtId="181" fontId="104" fillId="8" borderId="0" xfId="0" applyNumberFormat="1" applyFont="1" applyFill="1" applyBorder="1" applyAlignment="1" applyProtection="1">
      <alignment horizontal="center" vertical="center" wrapText="1"/>
      <protection locked="0"/>
    </xf>
    <xf numFmtId="0" fontId="100" fillId="8" borderId="0"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70" fillId="8" borderId="2" xfId="0" applyFont="1" applyFill="1" applyBorder="1" applyAlignment="1" applyProtection="1">
      <alignment horizontal="center" vertical="center" wrapText="1"/>
    </xf>
    <xf numFmtId="186" fontId="70" fillId="8" borderId="5" xfId="0" applyNumberFormat="1" applyFont="1" applyFill="1" applyBorder="1" applyAlignment="1" applyProtection="1">
      <alignment horizontal="center" vertical="center"/>
    </xf>
    <xf numFmtId="49" fontId="70" fillId="8" borderId="9" xfId="0" applyNumberFormat="1" applyFont="1" applyFill="1" applyBorder="1" applyAlignment="1" applyProtection="1">
      <alignment horizontal="center" vertical="center"/>
    </xf>
    <xf numFmtId="0" fontId="70" fillId="8" borderId="3" xfId="0" applyFont="1" applyFill="1" applyBorder="1" applyAlignment="1" applyProtection="1">
      <alignment horizontal="center" vertical="center"/>
    </xf>
    <xf numFmtId="0" fontId="70" fillId="8" borderId="2" xfId="0" applyFont="1" applyFill="1" applyBorder="1" applyAlignment="1" applyProtection="1">
      <alignment horizontal="center" vertical="center"/>
    </xf>
    <xf numFmtId="0" fontId="70" fillId="8" borderId="2" xfId="0" applyNumberFormat="1" applyFont="1" applyFill="1" applyBorder="1" applyAlignment="1" applyProtection="1">
      <alignment horizontal="center" vertical="center"/>
    </xf>
    <xf numFmtId="0" fontId="152" fillId="2" borderId="2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49" fontId="143" fillId="0" borderId="6"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65"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99579</xdr:colOff>
      <xdr:row>21</xdr:row>
      <xdr:rowOff>123825</xdr:rowOff>
    </xdr:from>
    <xdr:to>
      <xdr:col>8</xdr:col>
      <xdr:colOff>457199</xdr:colOff>
      <xdr:row>53</xdr:row>
      <xdr:rowOff>9525</xdr:rowOff>
    </xdr:to>
    <xdr:pic>
      <xdr:nvPicPr>
        <xdr:cNvPr id="2" name="图片 1" descr="C:\Documents and Settings\Administrator\Application Data\Tencent\Users\2416965547\QQ\WinTemp\RichOle\@AQ7A~QSJLVY7HMW(TLJ3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379" y="3724275"/>
          <a:ext cx="813954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29579;&#20122;20180516-110910/&#20998;&#27979;&#31639;&#34920;&#21450;&#25991;&#23383;/&#30005;&#31639;&#34920;-00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005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0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66206.17</v>
          </cell>
          <cell r="E3">
            <v>199625.88</v>
          </cell>
        </row>
        <row r="21">
          <cell r="G21">
            <v>55534.879999999997</v>
          </cell>
        </row>
        <row r="22">
          <cell r="G22">
            <v>46466</v>
          </cell>
        </row>
      </sheetData>
      <sheetData sheetId="13"/>
      <sheetData sheetId="14"/>
      <sheetData sheetId="15"/>
      <sheetData sheetId="16">
        <row r="19">
          <cell r="G19">
            <v>198184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66206.17</v>
          </cell>
          <cell r="L38">
            <v>199625.88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收益法-仓储"/>
      <sheetName val="不动产比较法-车位"/>
      <sheetName val="不动产比较法-仓储"/>
      <sheetName val="典型户型修正"/>
      <sheetName val="存贷款利率"/>
      <sheetName val="土地及现房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202394</v>
          </cell>
        </row>
        <row r="44">
          <cell r="C44">
            <v>191642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2618</v>
      </c>
      <c r="B1" s="2912" t="s">
        <v>2715</v>
      </c>
    </row>
    <row r="2" spans="1:55" s="2916" customFormat="1" ht="15" thickTop="1">
      <c r="A2" s="2914" t="s">
        <v>2622</v>
      </c>
      <c r="B2" s="2915" t="str">
        <f>'预评函-封皮'!B37</f>
        <v>北京市丰台区王佐镇怪村0024出让国有建设用地使用权抵押价格预评估</v>
      </c>
      <c r="AX2" s="2917"/>
      <c r="AZ2" s="2917"/>
      <c r="BA2" s="2918"/>
      <c r="BC2" s="2918"/>
    </row>
    <row r="3" spans="1:55" s="2919" customFormat="1">
      <c r="A3" s="2898" t="s">
        <v>2623</v>
      </c>
      <c r="B3" s="2901" t="str">
        <f>'预评函-封皮'!B40</f>
        <v>北京青龙湖盛通房地产开发有限公司</v>
      </c>
    </row>
    <row r="4" spans="1:55" s="2900" customFormat="1">
      <c r="A4" s="2898" t="s">
        <v>2624</v>
      </c>
      <c r="B4" s="2899" t="str">
        <f>'预评函-封皮'!B46</f>
        <v>土地估价师、土地估价师</v>
      </c>
      <c r="N4" s="2900" t="str">
        <f>'预评函-1'!A28</f>
        <v/>
      </c>
    </row>
    <row r="5" spans="1:55" s="2913" customFormat="1" ht="15" thickBot="1">
      <c r="A5" s="2920" t="s">
        <v>2625</v>
      </c>
      <c r="B5" s="2921" t="str">
        <f>'预评函-封皮'!B49</f>
        <v>康正预评字2018-1-号</v>
      </c>
    </row>
    <row r="6" spans="1:55" s="2922" customFormat="1" ht="15" thickTop="1">
      <c r="A6" s="2914" t="s">
        <v>2667</v>
      </c>
      <c r="B6" s="2915" t="str">
        <f>'预评函-1'!A4</f>
        <v>受贵公司委托，我公司对北京市丰台区王佐镇怪村0024出让国有建设用地使用权抵押价格进行了预评估。</v>
      </c>
      <c r="AM6" s="2923"/>
    </row>
    <row r="7" spans="1:55" s="2897" customFormat="1">
      <c r="A7" s="2898" t="s">
        <v>2619</v>
      </c>
      <c r="B7" s="2899" t="str">
        <f>'预评函-1'!A6</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8" spans="1:55" s="2897" customFormat="1">
      <c r="A8" s="2898" t="s">
        <v>2620</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2670</v>
      </c>
      <c r="B9" s="2899" t="str">
        <f>'预评函-1'!A9</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2621</v>
      </c>
      <c r="B10" s="2899" t="str">
        <f>'预评函-1'!A11</f>
        <v>2018年5月14日（评估专业人员勘察现场之日）</v>
      </c>
    </row>
    <row r="11" spans="1:55" s="2897" customFormat="1">
      <c r="A11" s="2898" t="s">
        <v>2627</v>
      </c>
      <c r="B11" s="2899" t="str">
        <f>'预评函-1'!A14</f>
        <v>根据《规证附图》，本次评估估价对象证载（地类）用途为城镇住宅用地。</v>
      </c>
    </row>
    <row r="12" spans="1:55" s="2897" customFormat="1">
      <c r="A12" s="2898" t="s">
        <v>2628</v>
      </c>
      <c r="B12" s="2899" t="str">
        <f>'预评函-1'!A15</f>
        <v>本次评估设定用途即为证载用途住宅。</v>
      </c>
    </row>
    <row r="13" spans="1:55" s="2897" customFormat="1">
      <c r="A13" s="2898" t="s">
        <v>2629</v>
      </c>
      <c r="B13" s="2899" t="str">
        <f>'预评函-1'!A17</f>
        <v>根据委托估价方介绍及评估专业人员现场勘查，本次评估估价对象实际土地开发程度为红线外市政基础设施达“七通”（即通路、通电、通讯、通上水、、、）、宗地红线内场地平整。</v>
      </c>
    </row>
    <row r="14" spans="1:55" s="2897" customFormat="1">
      <c r="A14" s="2898" t="s">
        <v>2630</v>
      </c>
      <c r="B14" s="2899" t="str">
        <f>'预评函-1'!A18</f>
        <v>本次评估设定土地开发程度为红线外市政基础设施达“七通”、宗地红线内场地平整。</v>
      </c>
    </row>
    <row r="15" spans="1:55" s="2897" customFormat="1">
      <c r="A15" s="2898" t="s">
        <v>2626</v>
      </c>
      <c r="B15" s="2899" t="str">
        <f>'预评函-1'!A20</f>
        <v>根据《规证附图》，估价对象（分摊）出让国有建设用地使用权面积为55947.67平方米。根据《建设工程规划许可证》，估价对象规划建筑面积为164673.22平方米。</v>
      </c>
    </row>
    <row r="16" spans="1:55" s="2897" customFormat="1">
      <c r="A16" s="2898" t="s">
        <v>2631</v>
      </c>
      <c r="B16" s="2899" t="str">
        <f>'预评函-1'!A22</f>
        <v>本次估价对象为出让国有建设用地使用权，《规证附图》证载土地终止日期为住宅2087年6月8日地下车库2067年6月8日、地下仓储2067年6月8日。截至估价期日，出让国有建设用地使用权剩余土地使用年限为。</v>
      </c>
    </row>
    <row r="17" spans="1:48" s="2897" customFormat="1">
      <c r="A17" s="2898" t="s">
        <v>2632</v>
      </c>
      <c r="B17" s="2899" t="str">
        <f>'预评函-1'!A23</f>
        <v>本次评估设定估价对象剩余土地使用年限为。</v>
      </c>
    </row>
    <row r="18" spans="1:48" s="2897" customFormat="1">
      <c r="A18" s="2898" t="s">
        <v>2633</v>
      </c>
      <c r="B18" s="2899"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19" spans="1:48" s="2897" customFormat="1">
      <c r="A19" s="2898" t="s">
        <v>2634</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2635</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2636</v>
      </c>
      <c r="B21" s="2921" t="str">
        <f>'预评函-1'!A28</f>
        <v/>
      </c>
    </row>
    <row r="22" spans="1:48" ht="15" thickTop="1">
      <c r="A22" s="2909" t="s">
        <v>2637</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2638</v>
      </c>
      <c r="B23" s="2899" t="str">
        <f>'预评函-2'!K2</f>
        <v>估价期日：2018年5月14日</v>
      </c>
    </row>
    <row r="24" spans="1:48">
      <c r="A24" s="2898" t="s">
        <v>2639</v>
      </c>
      <c r="B24" s="2899" t="str">
        <f>'预评函-2'!R2</f>
        <v>估价期日的国有建设用地使用权性质：出让</v>
      </c>
    </row>
    <row r="25" spans="1:48">
      <c r="A25" s="2898" t="s">
        <v>2695</v>
      </c>
      <c r="B25" s="2899" t="str">
        <f>'预评函-2'!A3</f>
        <v>估价期日土地使用者</v>
      </c>
    </row>
    <row r="26" spans="1:48">
      <c r="A26" s="2898" t="s">
        <v>2671</v>
      </c>
      <c r="B26" s="2899" t="str">
        <f>'预评函-2'!A5</f>
        <v>中信开发</v>
      </c>
    </row>
    <row r="27" spans="1:48">
      <c r="A27" s="2898" t="s">
        <v>2696</v>
      </c>
      <c r="B27" s="2899" t="str">
        <f>'预评函-2'!B3</f>
        <v>宗地编号/不动产单元号</v>
      </c>
    </row>
    <row r="28" spans="1:48">
      <c r="A28" s="2898" t="s">
        <v>2672</v>
      </c>
      <c r="B28" s="2899" t="str">
        <f>'预评函-2'!B5</f>
        <v>11111111111</v>
      </c>
    </row>
    <row r="29" spans="1:48">
      <c r="A29" s="2898" t="s">
        <v>2698</v>
      </c>
      <c r="B29" s="2899">
        <f>'预评函-2'!C5</f>
        <v>22</v>
      </c>
    </row>
    <row r="30" spans="1:48">
      <c r="A30" s="2898" t="s">
        <v>2699</v>
      </c>
      <c r="B30" s="2899" t="str">
        <f>'预评函-2'!D3</f>
        <v>土地使用证编号/不动产权证书编号</v>
      </c>
    </row>
    <row r="31" spans="1:48">
      <c r="A31" s="2898" t="s">
        <v>2673</v>
      </c>
      <c r="B31" s="2899" t="str">
        <f>'预评函-2'!D5</f>
        <v>京国土字第111号</v>
      </c>
    </row>
    <row r="32" spans="1:48">
      <c r="A32" s="2898" t="s">
        <v>2674</v>
      </c>
      <c r="B32" s="2899" t="str">
        <f>'预评函-2'!E5</f>
        <v>城镇住宅用地</v>
      </c>
      <c r="AV32" s="2903"/>
    </row>
    <row r="33" spans="1:2">
      <c r="A33" s="2898" t="s">
        <v>2675</v>
      </c>
      <c r="B33" s="2899">
        <f>'预评函-2'!F5</f>
        <v>258</v>
      </c>
    </row>
    <row r="34" spans="1:2">
      <c r="A34" s="2898" t="s">
        <v>2676</v>
      </c>
      <c r="B34" s="2899" t="str">
        <f>'预评函-2'!G5</f>
        <v>住宅</v>
      </c>
    </row>
    <row r="35" spans="1:2">
      <c r="A35" s="2898" t="s">
        <v>2677</v>
      </c>
      <c r="B35" s="2899">
        <f>'预评函-2'!H5</f>
        <v>1.5</v>
      </c>
    </row>
    <row r="36" spans="1:2">
      <c r="A36" s="2898" t="s">
        <v>2678</v>
      </c>
      <c r="B36" s="2899">
        <f>'预评函-2'!I5</f>
        <v>1.5</v>
      </c>
    </row>
    <row r="37" spans="1:2">
      <c r="A37" s="2898" t="s">
        <v>2679</v>
      </c>
      <c r="B37" s="2899">
        <f>'预评函-2'!J5</f>
        <v>1.5</v>
      </c>
    </row>
    <row r="38" spans="1:2">
      <c r="A38" s="2898" t="s">
        <v>2680</v>
      </c>
      <c r="B38" s="2899" t="str">
        <f>'预评函-2'!K5</f>
        <v>红线外七通、宗地红线内场地平整</v>
      </c>
    </row>
    <row r="39" spans="1:2">
      <c r="A39" s="2898" t="s">
        <v>2681</v>
      </c>
      <c r="B39" s="2899" t="str">
        <f>'预评函-2'!L5</f>
        <v>红线外七通、宗地红线内场地平整</v>
      </c>
    </row>
    <row r="40" spans="1:2">
      <c r="A40" s="2898" t="s">
        <v>2700</v>
      </c>
      <c r="B40" s="2899" t="str">
        <f>'预评函-2'!M3</f>
        <v>（剩余）土地使用年限/年</v>
      </c>
    </row>
    <row r="41" spans="1:2">
      <c r="A41" s="2898" t="s">
        <v>2682</v>
      </c>
      <c r="B41" s="2899">
        <f>'预评函-2'!M5</f>
        <v>0</v>
      </c>
    </row>
    <row r="42" spans="1:2">
      <c r="A42" s="2898" t="s">
        <v>2701</v>
      </c>
      <c r="B42" s="2899" t="str">
        <f>'预评函-2'!N3</f>
        <v>（分摊）出让国有建设用地使用权面积/㎡</v>
      </c>
    </row>
    <row r="43" spans="1:2">
      <c r="A43" s="2898" t="s">
        <v>2683</v>
      </c>
      <c r="B43" s="2899">
        <f>'预评函-2'!N5</f>
        <v>55947.67</v>
      </c>
    </row>
    <row r="44" spans="1:2">
      <c r="A44" s="2898" t="s">
        <v>2702</v>
      </c>
      <c r="B44" s="2899" t="str">
        <f>'预评函-2'!O3</f>
        <v>规划建筑面积/㎡</v>
      </c>
    </row>
    <row r="45" spans="1:2">
      <c r="A45" s="2898" t="s">
        <v>2684</v>
      </c>
      <c r="B45" s="2899">
        <f>'预评函-2'!O5</f>
        <v>164673.22000000003</v>
      </c>
    </row>
    <row r="46" spans="1:2">
      <c r="A46" s="2898" t="s">
        <v>2685</v>
      </c>
      <c r="B46" s="2899">
        <f ca="1">'预评函-2'!P5</f>
        <v>31228</v>
      </c>
    </row>
    <row r="47" spans="1:2">
      <c r="A47" s="2898" t="s">
        <v>2686</v>
      </c>
      <c r="B47" s="2899">
        <f ca="1">'预评函-2'!Q5</f>
        <v>10610</v>
      </c>
    </row>
    <row r="48" spans="1:2">
      <c r="A48" s="2898" t="s">
        <v>2687</v>
      </c>
      <c r="B48" s="2899">
        <f ca="1">'预评函-2'!R5</f>
        <v>174713</v>
      </c>
    </row>
    <row r="49" spans="1:2">
      <c r="A49" s="2898" t="s">
        <v>2703</v>
      </c>
      <c r="B49" s="2899" t="str">
        <f>'预评函-2'!A6</f>
        <v>抵押价格</v>
      </c>
    </row>
    <row r="50" spans="1:2">
      <c r="A50" s="2898" t="s">
        <v>2688</v>
      </c>
      <c r="B50" s="2899">
        <f ca="1">'预评函-2'!R6</f>
        <v>166632</v>
      </c>
    </row>
    <row r="51" spans="1:2">
      <c r="A51" s="2898" t="s">
        <v>2704</v>
      </c>
      <c r="B51" s="2899" t="str">
        <f>'预评函-2'!A7</f>
        <v>——</v>
      </c>
    </row>
    <row r="52" spans="1:2">
      <c r="A52" s="2898" t="s">
        <v>2689</v>
      </c>
      <c r="B52" s="2899" t="str">
        <f>'预评函-2'!R7</f>
        <v>——</v>
      </c>
    </row>
    <row r="53" spans="1:2">
      <c r="A53" s="2898" t="s">
        <v>2705</v>
      </c>
      <c r="B53" s="2899" t="str">
        <f>'预评函-2'!A8</f>
        <v>——</v>
      </c>
    </row>
    <row r="54" spans="1:2" s="2913" customFormat="1" ht="15" thickBot="1">
      <c r="A54" s="2920" t="s">
        <v>2690</v>
      </c>
      <c r="B54" s="2921" t="str">
        <f>'预评函-2'!R8</f>
        <v>——</v>
      </c>
    </row>
    <row r="55" spans="1:2" ht="15" thickTop="1">
      <c r="A55" s="2909" t="s">
        <v>2640</v>
      </c>
      <c r="B55" s="2910" t="str">
        <f>'预评函-3'!A2</f>
        <v>1.权利限制：根据估价对象《不动产权证书》——、《国有土地使用权》原件，截至估价期日，估价对象抵押权未见登记。未设定租赁等其他他项权利。</v>
      </c>
    </row>
    <row r="56" spans="1:2">
      <c r="A56" s="2898" t="s">
        <v>2641</v>
      </c>
      <c r="B56" s="2899" t="str">
        <f>'预评函-3'!A3</f>
        <v>2.基础设施条件：估价对象实际开发程度为红线外七通、宗地红线内场地平整；本次评估设定开发程度为红线外七通、宗地红线内场地平整。</v>
      </c>
    </row>
    <row r="57" spans="1:2">
      <c r="A57" s="2898" t="s">
        <v>2642</v>
      </c>
      <c r="B57" s="2899" t="str">
        <f>'预评函-3'!A4</f>
        <v>3.估价规划限制条件：详见《建设工程规划许可证》。</v>
      </c>
    </row>
    <row r="58" spans="1:2" s="2913" customFormat="1" ht="15" thickBot="1">
      <c r="A58" s="2920" t="s">
        <v>2691</v>
      </c>
      <c r="B58" s="2921" t="str">
        <f>'预评函-3'!A5</f>
        <v>4.影响价格的其他限定条件：无。</v>
      </c>
    </row>
    <row r="59" spans="1:2" ht="15" thickTop="1">
      <c r="A59" s="2909" t="s">
        <v>2643</v>
      </c>
      <c r="B59" s="2910" t="str">
        <f>'预评函-3'!A8</f>
        <v>2.本《评估意见函》仅供金融机构进行内部审核使用，不做其他目的之用。</v>
      </c>
    </row>
    <row r="60" spans="1:2">
      <c r="A60" s="2898" t="s">
        <v>2644</v>
      </c>
      <c r="B60" s="2899" t="str">
        <f>'预评函-3'!A9</f>
        <v>3.抵押双方在办理抵押登记手续时，应使用本公司出具的正式《土地估价报告》，特提请报告使用者注意。</v>
      </c>
    </row>
    <row r="61" spans="1:2">
      <c r="A61" s="2898" t="s">
        <v>2646</v>
      </c>
      <c r="B61" s="2899" t="str">
        <f>'预评函-3'!A10</f>
        <v>4.估价师所知悉的法定优先受偿款情况为：</v>
      </c>
    </row>
    <row r="62" spans="1:2">
      <c r="A62" s="2898" t="s">
        <v>2645</v>
      </c>
      <c r="B62" s="2899" t="str">
        <f>'预评函-3'!A11</f>
        <v>（1）根据估价对象《不动产权证书》——、《国有土地使用权》原件，截至估价期日，估价对象抵押权未见登记。</v>
      </c>
    </row>
    <row r="63" spans="1:2">
      <c r="A63" s="2898" t="s">
        <v>2647</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2648</v>
      </c>
      <c r="B64" s="2904" t="str">
        <f>'预评函-3'!A13</f>
        <v>（3）。</v>
      </c>
    </row>
    <row r="65" spans="1:2">
      <c r="A65" s="2898" t="s">
        <v>2649</v>
      </c>
      <c r="B65" s="2905" t="str">
        <f>'预评函-3'!A14</f>
        <v>综上，本次评估估价师知悉的法定优先受偿款为人民币8081万元整。</v>
      </c>
    </row>
    <row r="66" spans="1:2">
      <c r="A66" s="2898" t="s">
        <v>2650</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2651</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2654</v>
      </c>
      <c r="B68" s="2924">
        <f>'预评函-3'!D30</f>
        <v>42558</v>
      </c>
    </row>
    <row r="69" spans="1:2" ht="15" thickTop="1">
      <c r="A69" s="2909" t="s">
        <v>2652</v>
      </c>
      <c r="B69" s="2910" t="str">
        <f>'预评函-3'!A20</f>
        <v>土地估价师</v>
      </c>
    </row>
    <row r="70" spans="1:2">
      <c r="A70" s="2898" t="s">
        <v>2652</v>
      </c>
      <c r="B70" s="2905">
        <f>'预评函-3'!B20</f>
        <v>0</v>
      </c>
    </row>
    <row r="71" spans="1:2">
      <c r="A71" s="2898" t="s">
        <v>2653</v>
      </c>
      <c r="B71" s="2899" t="str">
        <f>'预评函-3'!A21</f>
        <v>土地估价师</v>
      </c>
    </row>
    <row r="72" spans="1:2" s="2913" customFormat="1" ht="15" thickBot="1">
      <c r="A72" s="2920" t="s">
        <v>2653</v>
      </c>
      <c r="B72" s="2926">
        <f>'预评函-3'!B21</f>
        <v>0</v>
      </c>
    </row>
    <row r="73" spans="1:2" ht="15" thickTop="1">
      <c r="A73" s="2909" t="s">
        <v>2712</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2713</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2714</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2749</v>
      </c>
      <c r="B76" s="290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43" sqref="G43"/>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8"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69" t="str">
        <f>IF(B10="北京市","北京市",C10)&amp;F10&amp;B16&amp;"国有建设用地使用权"&amp;B9&amp;"预评估"</f>
        <v>北京市丰台区王佐镇怪村0024出让国有建设用地使用权抵押价格预评估</v>
      </c>
      <c r="C1" s="3270"/>
      <c r="D1" s="3270"/>
      <c r="E1" s="3270"/>
      <c r="F1" s="3270"/>
      <c r="G1" s="3270"/>
      <c r="H1" s="3270"/>
      <c r="I1" s="3271"/>
      <c r="J1" s="1691"/>
      <c r="K1" s="2475" t="str">
        <f>IF(B10="北京市","北京市",C10)&amp;F10&amp;B16&amp;"国有建设用地使用权"&amp;B9</f>
        <v>北京市丰台区王佐镇怪村0024出让国有建设用地使用权抵押价格</v>
      </c>
      <c r="L1" s="1720"/>
      <c r="M1" s="1720"/>
      <c r="N1" s="1691"/>
      <c r="O1" s="1692"/>
      <c r="P1" s="1691"/>
      <c r="Q1" s="1691"/>
      <c r="R1" s="1691"/>
      <c r="S1" s="1691"/>
      <c r="T1" s="1691"/>
      <c r="U1" s="1691"/>
    </row>
    <row r="2" spans="1:21">
      <c r="A2" s="1657" t="s">
        <v>1902</v>
      </c>
      <c r="B2" s="1837" t="s">
        <v>2941</v>
      </c>
      <c r="D2" s="1691"/>
      <c r="E2" s="1691"/>
      <c r="F2" s="1691"/>
      <c r="G2" s="1691"/>
      <c r="H2" s="1657"/>
      <c r="I2" s="1692"/>
      <c r="J2" s="1691"/>
      <c r="K2" s="2475" t="str">
        <f>IF(B10="北京市","北京市",C10)&amp;F10&amp;B16&amp;"国有建设用地使用权"</f>
        <v>北京市丰台区王佐镇怪村0024出让国有建设用地使用权</v>
      </c>
      <c r="L2" s="1720"/>
      <c r="M2" s="1720"/>
      <c r="N2" s="1691"/>
      <c r="O2" s="1692"/>
      <c r="P2" s="1691"/>
      <c r="Q2" s="1691"/>
      <c r="R2" s="1691"/>
      <c r="S2" s="1691"/>
      <c r="T2" s="1691"/>
      <c r="U2" s="1691"/>
    </row>
    <row r="3" spans="1:21">
      <c r="A3" s="1658" t="s">
        <v>1903</v>
      </c>
      <c r="B3" s="1659">
        <v>43234</v>
      </c>
      <c r="C3" s="1660" t="s">
        <v>1959</v>
      </c>
      <c r="D3" s="1659">
        <f>B3</f>
        <v>43234</v>
      </c>
      <c r="E3" s="1691"/>
      <c r="F3" s="1691"/>
      <c r="G3" s="1691"/>
      <c r="H3" s="1657"/>
      <c r="I3" s="1692"/>
      <c r="J3" s="1691"/>
      <c r="K3" s="1769"/>
      <c r="L3" s="1720"/>
      <c r="M3" s="1720"/>
      <c r="N3" s="1691"/>
      <c r="O3" s="1692"/>
      <c r="P3" s="1691"/>
      <c r="Q3" s="1691"/>
      <c r="R3" s="1691"/>
      <c r="S3" s="1691"/>
      <c r="T3" s="1691"/>
      <c r="U3" s="1691"/>
    </row>
    <row r="4" spans="1:21" ht="15" thickBot="1">
      <c r="A4" s="1661" t="s">
        <v>1904</v>
      </c>
      <c r="B4" s="1838" t="s">
        <v>2851</v>
      </c>
      <c r="C4" s="1841">
        <f>SUMIF(土地估价师,B4,估价师及机构信息!E3:E24)</f>
        <v>0</v>
      </c>
      <c r="D4" s="1838" t="s">
        <v>2851</v>
      </c>
      <c r="E4" s="1841">
        <f>SUMIF(土地估价师,D4,估价师及机构信息!E3:E24)</f>
        <v>0</v>
      </c>
      <c r="F4" s="1838" t="s">
        <v>917</v>
      </c>
      <c r="G4" s="1841">
        <f>SUMIF(土地估价师,F4,估价师及机构信息!E3:E24)</f>
        <v>0</v>
      </c>
      <c r="H4" s="1838" t="s">
        <v>917</v>
      </c>
      <c r="I4" s="1841">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1905</v>
      </c>
      <c r="B5" s="1784" t="s">
        <v>2942</v>
      </c>
      <c r="C5" s="1663"/>
      <c r="D5" s="1664"/>
      <c r="E5" s="1691"/>
      <c r="F5" s="1691"/>
      <c r="G5" s="1691"/>
      <c r="H5" s="1657"/>
      <c r="I5" s="1692"/>
      <c r="J5" s="1691"/>
      <c r="K5" s="1769"/>
      <c r="L5" s="1720"/>
      <c r="M5" s="1720"/>
      <c r="N5" s="1691"/>
      <c r="O5" s="1692"/>
      <c r="P5" s="1691"/>
      <c r="Q5" s="1691"/>
      <c r="R5" s="1691"/>
      <c r="S5" s="1691"/>
      <c r="T5" s="1691"/>
      <c r="U5" s="1691"/>
    </row>
    <row r="6" spans="1:21" ht="26.25">
      <c r="A6" s="1660" t="s">
        <v>2668</v>
      </c>
      <c r="B6" s="1784" t="s">
        <v>2943</v>
      </c>
      <c r="C6" s="1756"/>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2669</v>
      </c>
      <c r="B7" s="1784" t="s">
        <v>2944</v>
      </c>
      <c r="C7" s="1756"/>
      <c r="D7" s="1665"/>
      <c r="E7" s="1691"/>
      <c r="F7" s="1691"/>
      <c r="G7" s="1691"/>
      <c r="H7" s="1657"/>
      <c r="I7" s="1692"/>
      <c r="J7" s="1691"/>
      <c r="K7" s="1769"/>
      <c r="L7" s="1720"/>
      <c r="M7" s="1720"/>
      <c r="N7" s="1691"/>
      <c r="O7" s="1692"/>
      <c r="P7" s="1691"/>
      <c r="Q7" s="1691"/>
      <c r="R7" s="1691"/>
      <c r="S7" s="1691"/>
      <c r="T7" s="1691"/>
      <c r="U7" s="1691"/>
    </row>
    <row r="8" spans="1:21">
      <c r="A8" s="1666" t="s">
        <v>1906</v>
      </c>
      <c r="B8" s="1667" t="s">
        <v>2945</v>
      </c>
      <c r="C8" s="1668"/>
      <c r="D8" s="3275" t="s">
        <v>1908</v>
      </c>
      <c r="E8" s="1839" t="s">
        <v>2946</v>
      </c>
      <c r="F8" s="1669"/>
      <c r="G8" s="1657"/>
      <c r="H8" s="1657"/>
      <c r="I8" s="1704"/>
      <c r="J8" s="1691"/>
      <c r="K8" s="1769"/>
      <c r="L8" s="1720"/>
      <c r="M8" s="1720"/>
      <c r="N8" s="1691"/>
      <c r="O8" s="1692"/>
      <c r="P8" s="1691"/>
      <c r="Q8" s="1691"/>
      <c r="R8" s="1691"/>
      <c r="S8" s="1691"/>
      <c r="T8" s="1691"/>
      <c r="U8" s="1691"/>
    </row>
    <row r="9" spans="1:21" ht="15" thickBot="1">
      <c r="A9" s="1670" t="s">
        <v>1907</v>
      </c>
      <c r="B9" s="1671" t="s">
        <v>2946</v>
      </c>
      <c r="C9" s="1672"/>
      <c r="D9" s="3276"/>
      <c r="E9" s="1671" t="s">
        <v>917</v>
      </c>
      <c r="F9" s="1742"/>
      <c r="G9" s="1737"/>
      <c r="H9" s="1737"/>
      <c r="I9" s="1738"/>
      <c r="J9" s="1691"/>
      <c r="K9" s="1769"/>
      <c r="L9" s="1720"/>
      <c r="M9" s="1720"/>
      <c r="N9" s="1691"/>
      <c r="O9" s="1692"/>
      <c r="P9" s="1691"/>
      <c r="Q9" s="1691"/>
      <c r="R9" s="1691"/>
      <c r="S9" s="1691"/>
      <c r="T9" s="1691"/>
      <c r="U9" s="1691"/>
    </row>
    <row r="10" spans="1:21" ht="15" thickTop="1">
      <c r="A10" s="1739" t="s">
        <v>1962</v>
      </c>
      <c r="B10" s="1716" t="s">
        <v>1909</v>
      </c>
      <c r="C10" s="1673"/>
      <c r="D10" s="1664"/>
      <c r="E10" s="1674" t="s">
        <v>1910</v>
      </c>
      <c r="F10" s="1675" t="s">
        <v>2948</v>
      </c>
      <c r="G10" s="1740"/>
      <c r="H10" s="1741"/>
      <c r="I10" s="1664"/>
      <c r="J10" s="1691"/>
      <c r="K10" s="1769"/>
      <c r="L10" s="1720"/>
      <c r="M10" s="1720"/>
      <c r="N10" s="1691"/>
      <c r="O10" s="1692"/>
      <c r="P10" s="1691"/>
      <c r="Q10" s="1691"/>
      <c r="R10" s="1691"/>
      <c r="S10" s="1691"/>
      <c r="T10" s="1691"/>
      <c r="U10" s="1691"/>
    </row>
    <row r="11" spans="1:21">
      <c r="A11" s="1694" t="s">
        <v>1963</v>
      </c>
      <c r="B11" s="1695" t="s">
        <v>2947</v>
      </c>
      <c r="C11" s="1676"/>
      <c r="D11" s="1757"/>
      <c r="E11" s="1657"/>
      <c r="F11" s="1657"/>
      <c r="G11" s="1657"/>
      <c r="H11" s="1657"/>
      <c r="I11" s="1657"/>
      <c r="J11" s="1691"/>
      <c r="K11" s="1769"/>
      <c r="L11" s="1720"/>
      <c r="M11" s="1720"/>
      <c r="N11" s="1691"/>
      <c r="O11" s="1692"/>
      <c r="P11" s="1691"/>
      <c r="Q11" s="1691"/>
      <c r="R11" s="1691"/>
      <c r="S11" s="1691"/>
      <c r="T11" s="1691"/>
      <c r="U11" s="1691"/>
    </row>
    <row r="12" spans="1:21">
      <c r="A12" s="1780" t="s">
        <v>2021</v>
      </c>
      <c r="B12" s="3272" t="s">
        <v>2949</v>
      </c>
      <c r="C12" s="3273"/>
      <c r="D12" s="3274"/>
      <c r="E12" s="1696" t="s">
        <v>2024</v>
      </c>
      <c r="F12" s="3290" t="s">
        <v>2951</v>
      </c>
      <c r="G12" s="3291"/>
      <c r="H12" s="3291"/>
      <c r="I12" s="3292"/>
      <c r="J12" s="1691"/>
      <c r="K12" s="1769"/>
      <c r="L12" s="1720"/>
      <c r="M12" s="1720"/>
      <c r="N12" s="1691"/>
      <c r="O12" s="1692"/>
      <c r="P12" s="1691"/>
      <c r="Q12" s="1691"/>
      <c r="R12" s="1691"/>
      <c r="S12" s="1691"/>
      <c r="T12" s="1691"/>
      <c r="U12" s="1691"/>
    </row>
    <row r="13" spans="1:21">
      <c r="A13" s="1684" t="s">
        <v>2022</v>
      </c>
      <c r="B13" s="3272" t="s">
        <v>2950</v>
      </c>
      <c r="C13" s="3273"/>
      <c r="D13" s="3274"/>
      <c r="E13" s="1696" t="s">
        <v>2024</v>
      </c>
      <c r="F13" s="3290" t="s">
        <v>2951</v>
      </c>
      <c r="G13" s="3291"/>
      <c r="H13" s="3291"/>
      <c r="I13" s="3292"/>
      <c r="J13" s="1691"/>
      <c r="K13" s="1769"/>
      <c r="L13" s="1720"/>
      <c r="M13" s="1720"/>
      <c r="N13" s="1691"/>
      <c r="O13" s="1692"/>
      <c r="P13" s="1691"/>
      <c r="Q13" s="1691"/>
      <c r="R13" s="1691"/>
      <c r="S13" s="1691"/>
      <c r="T13" s="1691"/>
      <c r="U13" s="1691"/>
    </row>
    <row r="14" spans="1:21">
      <c r="A14" s="1658" t="s">
        <v>2025</v>
      </c>
      <c r="B14" s="1696"/>
      <c r="C14" s="1840" t="s">
        <v>2952</v>
      </c>
      <c r="D14" s="1729" t="str">
        <f>IF(C14="不一致","是否符合证载地类范围","")</f>
        <v/>
      </c>
      <c r="E14" s="1696"/>
      <c r="F14" s="1785" t="s">
        <v>2953</v>
      </c>
      <c r="G14" s="1724"/>
      <c r="H14" s="1724"/>
      <c r="I14" s="1832"/>
      <c r="J14" s="1691"/>
      <c r="K14" s="1769"/>
      <c r="L14" s="1720"/>
      <c r="M14" s="1720"/>
      <c r="N14" s="1691"/>
      <c r="O14" s="1692"/>
      <c r="P14" s="1691"/>
      <c r="Q14" s="1691"/>
      <c r="R14" s="1691"/>
      <c r="S14" s="1691"/>
      <c r="T14" s="1691"/>
      <c r="U14" s="1691"/>
    </row>
    <row r="15" spans="1:21" hidden="1">
      <c r="A15" s="2665"/>
      <c r="B15" s="1660"/>
      <c r="C15" s="1660"/>
      <c r="D15" s="1761" t="s">
        <v>1913</v>
      </c>
      <c r="E15" s="1761" t="s">
        <v>1914</v>
      </c>
      <c r="F15" s="1761" t="s">
        <v>1915</v>
      </c>
      <c r="G15" s="1683" t="s">
        <v>1916</v>
      </c>
      <c r="H15" s="1683" t="s">
        <v>1917</v>
      </c>
      <c r="I15" s="1683" t="s">
        <v>1918</v>
      </c>
      <c r="J15" s="1691"/>
      <c r="K15" s="1769"/>
      <c r="L15" s="1720"/>
      <c r="M15" s="1720"/>
      <c r="N15" s="1691"/>
      <c r="O15" s="1692"/>
      <c r="P15" s="1691"/>
      <c r="Q15" s="1691"/>
      <c r="R15" s="1691"/>
      <c r="S15" s="1691"/>
      <c r="T15" s="1691"/>
      <c r="U15" s="1691"/>
    </row>
    <row r="16" spans="1:21" ht="42.75">
      <c r="A16" s="1677" t="s">
        <v>1911</v>
      </c>
      <c r="B16" s="1678" t="s">
        <v>2954</v>
      </c>
      <c r="C16" s="1696" t="s">
        <v>1912</v>
      </c>
      <c r="D16" s="2666" t="s">
        <v>1913</v>
      </c>
      <c r="E16" s="1719"/>
      <c r="F16" s="1719"/>
      <c r="G16" s="1719" t="s">
        <v>34</v>
      </c>
      <c r="H16" s="1719" t="s">
        <v>2935</v>
      </c>
      <c r="I16" s="1683" t="s">
        <v>1918</v>
      </c>
      <c r="J16" s="1691"/>
      <c r="K16" s="2476" t="str">
        <f>IF(D17="","",D16&amp;TEXT(D17,"yyyy年m月d日;;"))</f>
        <v>住宅2087年6月8日</v>
      </c>
      <c r="L16" s="1696" t="str">
        <f>IF(OR(K16="",M16=""),"","、")</f>
        <v/>
      </c>
      <c r="M16" s="2476" t="str">
        <f>IF(E17="","",E16&amp;TEXT(E17,"yyyy年m月d日;;"))</f>
        <v/>
      </c>
      <c r="N16" s="1696" t="str">
        <f>IF(OR(M16="",O16=""),"","、")</f>
        <v/>
      </c>
      <c r="O16" s="2476" t="str">
        <f>IF(F17="","",F16&amp;TEXT(F17,"yyyy年m月d日;;"))</f>
        <v/>
      </c>
      <c r="P16" s="1696" t="str">
        <f>IF(OR(O16="",Q16=""),"","、")</f>
        <v/>
      </c>
      <c r="Q16" s="2476" t="str">
        <f>IF(G17="","",G16&amp;TEXT(G17,"yyyy年m月d日;;"))</f>
        <v>地下车库2067年6月8日</v>
      </c>
      <c r="R16" s="1696" t="str">
        <f>IF(OR(Q16="",S16=""),"","、")</f>
        <v>、</v>
      </c>
      <c r="S16" s="2476" t="str">
        <f>IF(H17="","",H16&amp;TEXT(H17,"yyyy年m月d日;;"))</f>
        <v>地下仓储2067年6月8日</v>
      </c>
      <c r="T16" s="1696" t="str">
        <f>IF(OR(S16="",U16=""),"","、")</f>
        <v/>
      </c>
      <c r="U16" s="2476" t="str">
        <f>IF(I17="","",I16&amp;TEXT(I17,"yyyy年m月d日;;"))</f>
        <v/>
      </c>
    </row>
    <row r="17" spans="1:21">
      <c r="A17" s="1758"/>
      <c r="B17" s="1679"/>
      <c r="C17" s="1680" t="s">
        <v>1919</v>
      </c>
      <c r="D17" s="1697">
        <v>68461</v>
      </c>
      <c r="E17" s="1697"/>
      <c r="F17" s="1697"/>
      <c r="G17" s="1697">
        <v>61156</v>
      </c>
      <c r="H17" s="1697">
        <v>61156</v>
      </c>
      <c r="I17" s="1697"/>
      <c r="J17" s="1691"/>
      <c r="K17" s="2475" t="str">
        <f>CONCATENATE(K16,L16,M16,N16,O16,P16,Q16,R16,S16,T16,,U16)</f>
        <v>住宅2087年6月8日地下车库2067年6月8日、地下仓储2067年6月8日</v>
      </c>
      <c r="L17" s="1720"/>
      <c r="M17" s="1720"/>
      <c r="N17" s="1691"/>
      <c r="O17" s="1692"/>
      <c r="P17" s="1691"/>
      <c r="Q17" s="1691"/>
      <c r="R17" s="1691"/>
      <c r="S17" s="1691"/>
      <c r="T17" s="1691"/>
      <c r="U17" s="1691"/>
    </row>
    <row r="18" spans="1:21">
      <c r="A18" s="1758"/>
      <c r="B18" s="1679"/>
      <c r="C18" s="1680" t="s">
        <v>1920</v>
      </c>
      <c r="D18" s="1681">
        <v>70</v>
      </c>
      <c r="E18" s="1681"/>
      <c r="F18" s="1681"/>
      <c r="G18" s="1681">
        <v>50</v>
      </c>
      <c r="H18" s="1681">
        <v>50</v>
      </c>
      <c r="I18" s="1681"/>
      <c r="J18" s="1691"/>
      <c r="K18" s="1769"/>
      <c r="L18" s="1720"/>
      <c r="M18" s="1720"/>
      <c r="N18" s="1691"/>
      <c r="O18" s="1692"/>
      <c r="P18" s="1691"/>
      <c r="Q18" s="1691"/>
      <c r="R18" s="1691"/>
      <c r="S18" s="1691"/>
      <c r="T18" s="1691"/>
      <c r="U18" s="1691"/>
    </row>
    <row r="19" spans="1:21">
      <c r="A19" s="1758"/>
      <c r="B19" s="1679"/>
      <c r="C19" s="1657" t="s">
        <v>1921</v>
      </c>
      <c r="D19" s="1753">
        <f>IF(B16="出让",IF(D17="","",ROUNDDOWN(MIN((D17-$D$3)/365,D18),2)),D18)</f>
        <v>69.11</v>
      </c>
      <c r="E19" s="1682" t="str">
        <f>IF(B16="出让",IF(E17="","",ROUNDDOWN(MIN((E17-$D$3)/365,E18),2)),E18)</f>
        <v/>
      </c>
      <c r="F19" s="1682" t="str">
        <f>IF(B16="出让",IF(F17="","",ROUNDDOWN(MIN((F17-$D$3)/365,F18),2)),F18)</f>
        <v/>
      </c>
      <c r="G19" s="1682">
        <f>IF(B16="出让",IF(G17="","",ROUNDDOWN(MIN((G17-$D$3)/365,G18),2)),G18)</f>
        <v>49.1</v>
      </c>
      <c r="H19" s="1682">
        <f>IF(B16="出让",IF(H17="","",ROUNDDOWN(MIN((H17-$D$3)/365,H18),2)),H18)</f>
        <v>49.1</v>
      </c>
      <c r="I19" s="1682" t="str">
        <f>IF(B16="出让",IF(I17="","",ROUNDDOWN(MIN((I17-$D$3)/365,I18),2)),I18)</f>
        <v/>
      </c>
      <c r="J19" s="1691"/>
      <c r="K19" s="1769"/>
      <c r="L19" s="1720"/>
      <c r="M19" s="1720"/>
      <c r="N19" s="1691"/>
      <c r="O19" s="1692"/>
      <c r="P19" s="1691"/>
      <c r="Q19" s="1691"/>
      <c r="R19" s="1691"/>
      <c r="S19" s="1691"/>
      <c r="T19" s="1691"/>
      <c r="U19" s="1691"/>
    </row>
    <row r="20" spans="1:21">
      <c r="A20" s="1781"/>
      <c r="B20" s="1782"/>
      <c r="C20" s="1783" t="s">
        <v>2023</v>
      </c>
      <c r="D20" s="3287"/>
      <c r="E20" s="3288"/>
      <c r="F20" s="3288"/>
      <c r="G20" s="3288"/>
      <c r="H20" s="3288"/>
      <c r="I20" s="3289"/>
      <c r="J20" s="1691"/>
      <c r="K20" s="1769"/>
      <c r="L20" s="1720"/>
      <c r="M20" s="1720"/>
      <c r="N20" s="1691"/>
      <c r="O20" s="1692"/>
      <c r="P20" s="1691"/>
      <c r="Q20" s="1691"/>
      <c r="R20" s="1691"/>
      <c r="S20" s="1691"/>
      <c r="T20" s="1691"/>
      <c r="U20" s="1691"/>
    </row>
    <row r="21" spans="1:21">
      <c r="A21" s="1758" t="s">
        <v>1922</v>
      </c>
      <c r="B21" s="1759" t="s">
        <v>1923</v>
      </c>
      <c r="C21" s="1754">
        <f>'数据-汇总表'!E3</f>
        <v>164673.22000000003</v>
      </c>
      <c r="D21" s="1755" t="s">
        <v>1924</v>
      </c>
      <c r="E21" s="3277" t="s">
        <v>2955</v>
      </c>
      <c r="F21" s="3278"/>
      <c r="G21" s="3278"/>
      <c r="H21" s="3278"/>
      <c r="I21" s="3279"/>
      <c r="J21" s="1691"/>
      <c r="K21" s="1769"/>
      <c r="L21" s="1720"/>
      <c r="M21" s="1720"/>
      <c r="N21" s="1691"/>
      <c r="O21" s="1692"/>
      <c r="P21" s="1691"/>
      <c r="Q21" s="1691"/>
      <c r="R21" s="1691"/>
      <c r="S21" s="1691"/>
      <c r="T21" s="1691"/>
      <c r="U21" s="1691"/>
    </row>
    <row r="22" spans="1:21">
      <c r="A22" s="3174" t="s">
        <v>917</v>
      </c>
      <c r="B22" s="1658" t="s">
        <v>1925</v>
      </c>
      <c r="C22" s="1683">
        <f>'数据-汇总表'!D3</f>
        <v>55947.67</v>
      </c>
      <c r="D22" s="1684" t="s">
        <v>1924</v>
      </c>
      <c r="E22" s="3277" t="s">
        <v>2956</v>
      </c>
      <c r="F22" s="3278"/>
      <c r="G22" s="3278"/>
      <c r="H22" s="3278"/>
      <c r="I22" s="3279"/>
      <c r="J22" s="1691"/>
      <c r="K22" s="1769"/>
      <c r="L22" s="1720"/>
      <c r="M22" s="1720"/>
      <c r="N22" s="1691"/>
      <c r="O22" s="1692"/>
      <c r="P22" s="1691"/>
      <c r="Q22" s="1691"/>
      <c r="R22" s="1691"/>
      <c r="S22" s="1691"/>
      <c r="T22" s="1691"/>
      <c r="U22" s="1691"/>
    </row>
    <row r="23" spans="1:21" ht="43.5" thickBot="1">
      <c r="A23" s="1760" t="s">
        <v>1926</v>
      </c>
      <c r="B23" s="1698" t="s">
        <v>1927</v>
      </c>
      <c r="C23" s="1699" t="s">
        <v>2957</v>
      </c>
      <c r="D23" s="1700" t="s">
        <v>1928</v>
      </c>
      <c r="E23" s="1701" t="s">
        <v>917</v>
      </c>
      <c r="F23" s="1702" t="str">
        <f>IF(AND(C23="是",E23="否"),"是否提供他项权证或相关说明","")</f>
        <v/>
      </c>
      <c r="G23" s="1703" t="s">
        <v>917</v>
      </c>
      <c r="H23" s="1691"/>
      <c r="I23" s="1704"/>
      <c r="J23" s="1691"/>
      <c r="K23" s="1769"/>
      <c r="L23" s="1720"/>
      <c r="M23" s="1720"/>
      <c r="N23" s="1691"/>
      <c r="O23" s="1692"/>
      <c r="P23" s="1691"/>
      <c r="Q23" s="1691"/>
      <c r="R23" s="1691"/>
      <c r="S23" s="1691"/>
      <c r="T23" s="1691"/>
      <c r="U23" s="1691"/>
    </row>
    <row r="24" spans="1:21">
      <c r="A24" s="1745" t="s">
        <v>1929</v>
      </c>
      <c r="B24" s="3280" t="s">
        <v>1930</v>
      </c>
      <c r="C24" s="3281"/>
      <c r="D24" s="3282" t="s">
        <v>1931</v>
      </c>
      <c r="E24" s="3283"/>
      <c r="F24" s="1705" t="s">
        <v>1932</v>
      </c>
      <c r="G24" s="1691"/>
      <c r="H24" s="1691"/>
      <c r="I24" s="1704"/>
      <c r="J24" s="1691"/>
      <c r="K24" s="3268" t="s">
        <v>1933</v>
      </c>
      <c r="L24" s="2477"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0"/>
      <c r="N24" s="1691"/>
      <c r="O24" s="1692"/>
      <c r="P24" s="1691"/>
      <c r="Q24" s="1691"/>
      <c r="R24" s="1691"/>
      <c r="S24" s="1691"/>
      <c r="T24" s="1691"/>
      <c r="U24" s="1691"/>
    </row>
    <row r="25" spans="1:21" ht="28.5">
      <c r="A25" s="1746"/>
      <c r="B25" s="1743" t="s">
        <v>2288</v>
      </c>
      <c r="C25" s="1706" t="s">
        <v>917</v>
      </c>
      <c r="D25" s="1707"/>
      <c r="E25" s="1708" t="s">
        <v>917</v>
      </c>
      <c r="F25" s="1709"/>
      <c r="G25" s="1691"/>
      <c r="H25" s="1691"/>
      <c r="I25" s="1704"/>
      <c r="J25" s="1691"/>
      <c r="K25" s="326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7"/>
      <c r="B26" s="1744" t="s">
        <v>1935</v>
      </c>
      <c r="C26" s="1706" t="s">
        <v>1934</v>
      </c>
      <c r="D26" s="1657"/>
      <c r="E26" s="1657"/>
      <c r="F26" s="1685"/>
      <c r="G26" s="1691"/>
      <c r="H26" s="1691"/>
      <c r="I26" s="1704"/>
      <c r="J26" s="1691"/>
      <c r="K26" s="326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0" t="s">
        <v>1936</v>
      </c>
      <c r="B27" s="1748" t="s">
        <v>1937</v>
      </c>
      <c r="C27" s="1710"/>
      <c r="D27" s="2671" t="s">
        <v>1937</v>
      </c>
      <c r="E27" s="1711"/>
      <c r="F27" s="1685"/>
      <c r="G27" s="1691"/>
      <c r="H27" s="1691"/>
      <c r="I27" s="1704"/>
      <c r="J27" s="1691"/>
      <c r="K27" s="1769"/>
      <c r="L27" s="1720"/>
      <c r="M27" s="1720"/>
      <c r="N27" s="1691"/>
      <c r="O27" s="1692"/>
      <c r="P27" s="1691"/>
      <c r="Q27" s="1691"/>
      <c r="R27" s="1691"/>
      <c r="S27" s="1691"/>
      <c r="T27" s="1691"/>
      <c r="U27" s="1691"/>
    </row>
    <row r="28" spans="1:21">
      <c r="A28" s="1751"/>
      <c r="B28" s="1748" t="s">
        <v>1938</v>
      </c>
      <c r="C28" s="1712"/>
      <c r="D28" s="2672" t="s">
        <v>1938</v>
      </c>
      <c r="E28" s="1713"/>
      <c r="F28" s="1685"/>
      <c r="G28" s="1691"/>
      <c r="H28" s="1691"/>
      <c r="I28" s="1704"/>
      <c r="J28" s="1691"/>
      <c r="K28" s="1769"/>
      <c r="L28" s="1720"/>
      <c r="M28" s="1720"/>
      <c r="N28" s="1691"/>
      <c r="O28" s="1692"/>
      <c r="P28" s="1691"/>
      <c r="Q28" s="1691"/>
      <c r="R28" s="1691"/>
      <c r="S28" s="1691"/>
      <c r="T28" s="1691"/>
      <c r="U28" s="1691"/>
    </row>
    <row r="29" spans="1:21">
      <c r="A29" s="1751"/>
      <c r="B29" s="1748" t="s">
        <v>1939</v>
      </c>
      <c r="C29" s="1712"/>
      <c r="D29" s="2672" t="s">
        <v>1939</v>
      </c>
      <c r="E29" s="1713"/>
      <c r="F29" s="1685"/>
      <c r="G29" s="1691"/>
      <c r="H29" s="1691"/>
      <c r="I29" s="1704"/>
      <c r="J29" s="1691"/>
      <c r="K29" s="1769"/>
      <c r="L29" s="1720"/>
      <c r="M29" s="1720"/>
      <c r="N29" s="1691"/>
      <c r="O29" s="1692"/>
      <c r="P29" s="1691"/>
      <c r="Q29" s="1691"/>
      <c r="R29" s="1691"/>
      <c r="S29" s="1691"/>
      <c r="T29" s="1691"/>
      <c r="U29" s="1691"/>
    </row>
    <row r="30" spans="1:21" ht="15" thickBot="1">
      <c r="A30" s="1752"/>
      <c r="B30" s="1749" t="s">
        <v>1940</v>
      </c>
      <c r="C30" s="1714"/>
      <c r="D30" s="2673" t="s">
        <v>1940</v>
      </c>
      <c r="E30" s="1715"/>
      <c r="F30" s="1686"/>
      <c r="G30" s="1737"/>
      <c r="H30" s="1737"/>
      <c r="I30" s="1738"/>
      <c r="J30" s="1691"/>
      <c r="K30" s="1769"/>
      <c r="L30" s="1720"/>
      <c r="M30" s="1720"/>
      <c r="N30" s="1691"/>
      <c r="O30" s="1692"/>
      <c r="P30" s="1691"/>
      <c r="Q30" s="1691"/>
      <c r="R30" s="1691"/>
      <c r="S30" s="1691"/>
      <c r="T30" s="1691"/>
      <c r="U30" s="1691"/>
    </row>
    <row r="31" spans="1:21" ht="15" thickTop="1">
      <c r="A31" s="3295" t="s">
        <v>1964</v>
      </c>
      <c r="B31" s="1759" t="s">
        <v>1965</v>
      </c>
      <c r="C31" s="3293" t="s">
        <v>2958</v>
      </c>
      <c r="D31" s="3294"/>
      <c r="E31" s="1691"/>
      <c r="F31" s="1691"/>
      <c r="G31" s="1691"/>
      <c r="H31" s="1691"/>
      <c r="I31" s="1704"/>
      <c r="J31" s="1691"/>
      <c r="K31" s="2478"/>
      <c r="L31" s="1691"/>
      <c r="M31" s="1691"/>
      <c r="N31" s="1691"/>
      <c r="O31" s="1691"/>
      <c r="P31" s="1691"/>
      <c r="Q31" s="1691"/>
      <c r="R31" s="1691"/>
      <c r="S31" s="1691"/>
      <c r="T31" s="1691"/>
      <c r="U31" s="1691"/>
    </row>
    <row r="32" spans="1:21">
      <c r="A32" s="3295"/>
      <c r="B32" s="1658" t="s">
        <v>1966</v>
      </c>
      <c r="C32" s="1716" t="s">
        <v>2959</v>
      </c>
      <c r="D32" s="1717"/>
      <c r="E32" s="1691"/>
      <c r="F32" s="1691"/>
      <c r="G32" s="1691"/>
      <c r="H32" s="1691"/>
      <c r="I32" s="1704"/>
      <c r="J32" s="1691"/>
      <c r="K32" s="2478"/>
      <c r="L32" s="1691"/>
      <c r="M32" s="1691"/>
      <c r="N32" s="1691"/>
      <c r="O32" s="1691"/>
      <c r="P32" s="1691"/>
      <c r="Q32" s="1691"/>
      <c r="R32" s="1691"/>
      <c r="S32" s="1691"/>
      <c r="T32" s="1691"/>
      <c r="U32" s="1691"/>
    </row>
    <row r="33" spans="1:21">
      <c r="A33" s="3295"/>
      <c r="B33" s="1658" t="s">
        <v>1967</v>
      </c>
      <c r="C33" s="1718" t="s">
        <v>2957</v>
      </c>
      <c r="D33" s="1833"/>
      <c r="E33" s="1691"/>
      <c r="F33" s="1691"/>
      <c r="G33" s="1691"/>
      <c r="H33" s="1691"/>
      <c r="I33" s="1704"/>
      <c r="J33" s="1691"/>
      <c r="K33" s="2478"/>
      <c r="L33" s="1691"/>
      <c r="M33" s="1691"/>
      <c r="N33" s="1691"/>
      <c r="O33" s="1691"/>
      <c r="P33" s="1691"/>
      <c r="Q33" s="1691"/>
      <c r="R33" s="1691"/>
      <c r="S33" s="1691"/>
      <c r="T33" s="1691"/>
      <c r="U33" s="1691"/>
    </row>
    <row r="34" spans="1:21">
      <c r="A34" s="3296"/>
      <c r="B34" s="1658" t="s">
        <v>1968</v>
      </c>
      <c r="C34" s="3297"/>
      <c r="D34" s="3298"/>
      <c r="E34" s="1691"/>
      <c r="F34" s="1691"/>
      <c r="G34" s="1691"/>
      <c r="H34" s="1691"/>
      <c r="I34" s="1704"/>
      <c r="J34" s="1691"/>
      <c r="K34" s="2478"/>
      <c r="L34" s="1691"/>
      <c r="M34" s="1691"/>
      <c r="N34" s="1691"/>
      <c r="O34" s="1691"/>
      <c r="P34" s="1691"/>
      <c r="Q34" s="1691"/>
      <c r="R34" s="1691"/>
      <c r="S34" s="1691"/>
      <c r="T34" s="1691"/>
      <c r="U34" s="1691"/>
    </row>
    <row r="35" spans="1:21">
      <c r="A35" s="3299" t="s">
        <v>812</v>
      </c>
      <c r="B35" s="1719" t="s">
        <v>2960</v>
      </c>
      <c r="C35" s="1771" t="str">
        <f>IF(B35="场地平整","——","具体情况：")</f>
        <v>——</v>
      </c>
      <c r="D35" s="3301"/>
      <c r="E35" s="3302"/>
      <c r="F35" s="3302"/>
      <c r="G35" s="3302"/>
      <c r="H35" s="3302"/>
      <c r="I35" s="3303"/>
      <c r="J35" s="1691"/>
      <c r="K35" s="1770"/>
      <c r="L35" s="1720"/>
      <c r="M35" s="1720"/>
      <c r="N35" s="1691"/>
      <c r="O35" s="1692"/>
      <c r="P35" s="1691"/>
      <c r="Q35" s="1691"/>
      <c r="R35" s="1691"/>
      <c r="S35" s="1691"/>
      <c r="T35" s="1691"/>
      <c r="U35" s="1691"/>
    </row>
    <row r="36" spans="1:21">
      <c r="A36" s="3295"/>
      <c r="B36" s="3304" t="s">
        <v>2017</v>
      </c>
      <c r="C36" s="3305"/>
      <c r="D36" s="1787" t="s">
        <v>2961</v>
      </c>
      <c r="E36" s="3306"/>
      <c r="F36" s="3306"/>
      <c r="G36" s="1684" t="str">
        <f>IF(B35="场地未平整","估价结果处理","")</f>
        <v/>
      </c>
      <c r="H36" s="3307"/>
      <c r="I36" s="3307"/>
      <c r="J36" s="1691"/>
      <c r="K36" s="1770"/>
      <c r="L36" s="1720"/>
      <c r="M36" s="1720"/>
      <c r="N36" s="1691"/>
      <c r="O36" s="1692"/>
      <c r="P36" s="1691"/>
      <c r="Q36" s="1691"/>
      <c r="R36" s="1691"/>
      <c r="S36" s="1691"/>
      <c r="T36" s="1691"/>
      <c r="U36" s="1691"/>
    </row>
    <row r="37" spans="1:21" ht="28.5">
      <c r="A37" s="3295"/>
      <c r="B37" s="3284" t="s">
        <v>813</v>
      </c>
      <c r="C37" s="1721" t="s">
        <v>814</v>
      </c>
      <c r="D37" s="3203"/>
      <c r="E37" s="1722"/>
      <c r="F37" s="1691"/>
      <c r="G37" s="1691"/>
      <c r="H37" s="1691"/>
      <c r="I37" s="1704"/>
      <c r="J37" s="1691"/>
      <c r="K37" s="1770"/>
      <c r="L37" s="1691"/>
      <c r="M37" s="1691"/>
      <c r="N37" s="1691"/>
      <c r="O37" s="1691"/>
      <c r="P37" s="1691"/>
      <c r="Q37" s="1691"/>
      <c r="R37" s="1691"/>
      <c r="S37" s="1691"/>
      <c r="T37" s="1691"/>
      <c r="U37" s="1691"/>
    </row>
    <row r="38" spans="1:21">
      <c r="A38" s="3295"/>
      <c r="B38" s="3285"/>
      <c r="C38" s="1666" t="s">
        <v>815</v>
      </c>
      <c r="D38" s="1786">
        <f>ROUNDDOWN(MIN(('数据-取费表'!$B$2-D37)/365,D34),1)</f>
        <v>118.4</v>
      </c>
      <c r="E38" s="1723" t="s">
        <v>816</v>
      </c>
      <c r="F38" s="1691"/>
      <c r="G38" s="1691"/>
      <c r="H38" s="1691"/>
      <c r="I38" s="1704"/>
      <c r="J38" s="1691"/>
      <c r="K38" s="1770"/>
      <c r="L38" s="1691"/>
      <c r="M38" s="1691"/>
      <c r="N38" s="1691"/>
      <c r="O38" s="1691"/>
      <c r="P38" s="1691"/>
      <c r="Q38" s="1691"/>
      <c r="R38" s="1691"/>
      <c r="S38" s="1691"/>
      <c r="T38" s="1691"/>
      <c r="U38" s="1691"/>
    </row>
    <row r="39" spans="1:21">
      <c r="A39" s="3296"/>
      <c r="B39" s="3286"/>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69"/>
      <c r="L39" s="1720"/>
      <c r="M39" s="1720"/>
      <c r="N39" s="1691"/>
      <c r="O39" s="1692"/>
      <c r="P39" s="1691"/>
      <c r="Q39" s="1691"/>
      <c r="R39" s="1691"/>
      <c r="S39" s="1691"/>
      <c r="T39" s="1691"/>
      <c r="U39" s="1691"/>
    </row>
    <row r="40" spans="1:21">
      <c r="A40" s="1684" t="s">
        <v>1941</v>
      </c>
      <c r="B40" s="1687" t="s">
        <v>2962</v>
      </c>
      <c r="C40" s="1687" t="s">
        <v>2963</v>
      </c>
      <c r="D40" s="1687" t="s">
        <v>2964</v>
      </c>
      <c r="E40" s="1687" t="s">
        <v>2965</v>
      </c>
      <c r="F40" s="1687"/>
      <c r="G40" s="1687"/>
      <c r="H40" s="1687"/>
      <c r="I40" s="1704"/>
      <c r="J40" s="1691"/>
      <c r="K40" s="1726">
        <f>COUNTIF(B40:H40,"——")</f>
        <v>0</v>
      </c>
      <c r="L40" s="1696" t="s">
        <v>1942</v>
      </c>
      <c r="M40" s="1693" t="s">
        <v>1943</v>
      </c>
      <c r="N40" s="1693" t="s">
        <v>1944</v>
      </c>
      <c r="O40" s="1693" t="s">
        <v>1945</v>
      </c>
      <c r="P40" s="1693" t="s">
        <v>1946</v>
      </c>
      <c r="Q40" s="1693" t="s">
        <v>1947</v>
      </c>
      <c r="R40" s="1693" t="s">
        <v>1948</v>
      </c>
      <c r="S40" s="3267" t="s">
        <v>1949</v>
      </c>
      <c r="T40" s="1727" t="str">
        <f>NUMBERSTRING(7-K40,1)&amp;"通"</f>
        <v>七通</v>
      </c>
      <c r="U40" s="1691"/>
    </row>
    <row r="41" spans="1:21">
      <c r="A41" s="1660"/>
      <c r="B41" s="3300" t="s">
        <v>1683</v>
      </c>
      <c r="C41" s="3300"/>
      <c r="D41" s="3300"/>
      <c r="E41" s="3300"/>
      <c r="F41" s="1728">
        <f>C10</f>
        <v>0</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v>
      </c>
      <c r="Q41" s="1730" t="str">
        <f>B40&amp;"、"&amp;C40&amp;"、"&amp;D40&amp;"、"&amp;E40&amp;"、"&amp;F40&amp;"、"&amp;G40</f>
        <v>通路、通电、通讯、通上水、、</v>
      </c>
      <c r="R41" s="1730" t="str">
        <f>B40&amp;"、"&amp;C40&amp;"、"&amp;D40&amp;"、"&amp;E40&amp;"、"&amp;F40&amp;"、"&amp;G40&amp;"、"&amp;H40</f>
        <v>通路、通电、通讯、通上水、、、</v>
      </c>
      <c r="S41" s="3267"/>
      <c r="T41" s="1729" t="str">
        <f>IF(T40="一通",L41,IF(T40="二通",M41,IF(T40="三通",N41,IF(T40="四通",O41,IF(T40="五通",P41,IF(T40="六通",Q41,R41))))))</f>
        <v>通路、通电、通讯、通上水、、、</v>
      </c>
      <c r="U41" s="1691"/>
    </row>
    <row r="42" spans="1:21">
      <c r="A42" s="1731"/>
      <c r="B42" s="1761" t="s">
        <v>1859</v>
      </c>
      <c r="C42" s="1761" t="s">
        <v>1860</v>
      </c>
      <c r="D42" s="1761" t="s">
        <v>1861</v>
      </c>
      <c r="E42" s="1696" t="s">
        <v>1862</v>
      </c>
      <c r="F42" s="1732"/>
      <c r="G42" s="1691"/>
      <c r="H42" s="1691"/>
      <c r="I42" s="1704"/>
      <c r="J42" s="1691"/>
      <c r="K42" s="1769"/>
      <c r="L42" s="1720"/>
      <c r="M42" s="1720"/>
      <c r="N42" s="1691"/>
      <c r="O42" s="1692"/>
      <c r="P42" s="1691"/>
      <c r="Q42" s="1691"/>
      <c r="R42" s="1691"/>
      <c r="S42" s="1691"/>
      <c r="T42" s="1691"/>
      <c r="U42" s="1691"/>
    </row>
    <row r="43" spans="1:21">
      <c r="A43" s="1733" t="s">
        <v>1668</v>
      </c>
      <c r="B43" s="3201"/>
      <c r="C43" s="3201"/>
      <c r="D43" s="3201" t="s">
        <v>1381</v>
      </c>
      <c r="E43" s="3201"/>
      <c r="F43" s="1734"/>
      <c r="G43" s="1691"/>
      <c r="H43" s="1691"/>
      <c r="I43" s="1704"/>
      <c r="J43" s="1691"/>
      <c r="K43" s="1769"/>
      <c r="L43" s="1720"/>
      <c r="M43" s="1720"/>
      <c r="N43" s="1691"/>
      <c r="O43" s="1692"/>
      <c r="P43" s="1691"/>
      <c r="Q43" s="1691"/>
      <c r="R43" s="1691"/>
      <c r="S43" s="1691"/>
      <c r="T43" s="1691"/>
      <c r="U43" s="1691"/>
    </row>
    <row r="44" spans="1:21">
      <c r="A44" s="1733" t="s">
        <v>1669</v>
      </c>
      <c r="B44" s="3201"/>
      <c r="C44" s="3201"/>
      <c r="D44" s="3201" t="s">
        <v>1044</v>
      </c>
      <c r="E44" s="3202"/>
      <c r="F44" s="1734"/>
      <c r="G44" s="1691"/>
      <c r="H44" s="1691"/>
      <c r="I44" s="1704"/>
      <c r="J44" s="1691"/>
      <c r="K44" s="1769"/>
      <c r="L44" s="1720"/>
      <c r="M44" s="1720"/>
      <c r="N44" s="1691"/>
      <c r="O44" s="1692"/>
      <c r="P44" s="1691"/>
      <c r="Q44" s="1691"/>
      <c r="R44" s="1691"/>
      <c r="S44" s="1691"/>
      <c r="T44" s="1691"/>
      <c r="U44" s="1691"/>
    </row>
    <row r="45" spans="1:21" s="3093" customFormat="1" ht="21" thickBot="1">
      <c r="A45" s="3094" t="s">
        <v>2852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69"/>
      <c r="L46" s="1720"/>
      <c r="M46" s="1720"/>
      <c r="N46" s="1691"/>
      <c r="O46" s="1692"/>
      <c r="P46" s="1691"/>
      <c r="Q46" s="1691"/>
      <c r="R46" s="1691"/>
      <c r="S46" s="1691"/>
      <c r="T46" s="1691"/>
      <c r="U46" s="1691"/>
    </row>
    <row r="47" spans="1:21">
      <c r="A47" s="1735" t="s">
        <v>1969</v>
      </c>
      <c r="B47" s="1736"/>
      <c r="C47" s="1725"/>
      <c r="D47" s="1691"/>
      <c r="E47" s="1691"/>
      <c r="F47" s="1691"/>
      <c r="G47" s="1691"/>
      <c r="H47" s="1691"/>
      <c r="I47" s="1692"/>
      <c r="J47" s="1691"/>
      <c r="K47" s="1769"/>
      <c r="L47" s="1720"/>
      <c r="M47" s="1720"/>
      <c r="N47" s="1691"/>
      <c r="O47" s="1692"/>
      <c r="P47" s="1691"/>
      <c r="Q47" s="1691"/>
      <c r="R47" s="1691"/>
      <c r="S47" s="1691"/>
      <c r="T47" s="1691"/>
      <c r="U47" s="1691"/>
    </row>
    <row r="48" spans="1:21" ht="28.5">
      <c r="A48" s="1696" t="s">
        <v>1970</v>
      </c>
      <c r="B48" s="1683" t="s">
        <v>1971</v>
      </c>
      <c r="C48" s="1683" t="s">
        <v>1972</v>
      </c>
      <c r="D48" s="1683" t="s">
        <v>1973</v>
      </c>
      <c r="E48" s="1683" t="s">
        <v>1974</v>
      </c>
      <c r="F48" s="1683" t="s">
        <v>1975</v>
      </c>
      <c r="G48" s="1683" t="s">
        <v>1976</v>
      </c>
      <c r="H48" s="1683" t="s">
        <v>1977</v>
      </c>
      <c r="I48" s="1683" t="s">
        <v>1978</v>
      </c>
      <c r="J48" s="1767" t="s">
        <v>1979</v>
      </c>
      <c r="K48" s="1761" t="s">
        <v>1980</v>
      </c>
      <c r="L48" s="1761" t="s">
        <v>1981</v>
      </c>
      <c r="M48" s="1761" t="s">
        <v>1982</v>
      </c>
      <c r="N48" s="1683" t="s">
        <v>1983</v>
      </c>
      <c r="O48" s="1683" t="s">
        <v>1984</v>
      </c>
      <c r="P48" s="1683" t="s">
        <v>1985</v>
      </c>
      <c r="Q48" s="1696" t="s">
        <v>1986</v>
      </c>
      <c r="R48" s="1696" t="s">
        <v>1987</v>
      </c>
      <c r="S48" s="1691"/>
      <c r="T48" s="1691"/>
      <c r="U48" s="1691"/>
    </row>
    <row r="49" spans="1:21">
      <c r="A49" s="1693"/>
      <c r="B49" s="1726"/>
      <c r="C49" s="1726"/>
      <c r="D49" s="1726"/>
      <c r="E49" s="1726"/>
      <c r="F49" s="1726"/>
      <c r="G49" s="1726"/>
      <c r="H49" s="1726"/>
      <c r="I49" s="1726"/>
      <c r="J49" s="1834"/>
      <c r="K49" s="1835"/>
      <c r="L49" s="1835"/>
      <c r="M49" s="1726"/>
      <c r="N49" s="1726"/>
      <c r="O49" s="1726"/>
      <c r="P49" s="1726"/>
      <c r="Q49" s="1726"/>
      <c r="R49" s="1726"/>
      <c r="S49" s="1691"/>
      <c r="T49" s="1691"/>
      <c r="U49" s="1691"/>
    </row>
    <row r="50" spans="1:21">
      <c r="A50" s="1693"/>
      <c r="B50" s="1693"/>
      <c r="C50" s="1726"/>
      <c r="D50" s="1726"/>
      <c r="E50" s="1726"/>
      <c r="F50" s="1726"/>
      <c r="G50" s="1726"/>
      <c r="H50" s="1726"/>
      <c r="I50" s="1726"/>
      <c r="J50" s="1834"/>
      <c r="K50" s="1835"/>
      <c r="L50" s="1835"/>
      <c r="M50" s="1726"/>
      <c r="N50" s="1726"/>
      <c r="O50" s="1726"/>
      <c r="P50" s="1726"/>
      <c r="Q50" s="1726"/>
      <c r="R50" s="1726"/>
      <c r="S50" s="1691"/>
      <c r="T50" s="1691"/>
      <c r="U50" s="1691"/>
    </row>
    <row r="51" spans="1:21">
      <c r="A51" s="1693"/>
      <c r="B51" s="1693"/>
      <c r="C51" s="1726"/>
      <c r="D51" s="1726"/>
      <c r="E51" s="1726"/>
      <c r="F51" s="1726"/>
      <c r="G51" s="1726"/>
      <c r="H51" s="1726"/>
      <c r="I51" s="1726"/>
      <c r="J51" s="1834"/>
      <c r="K51" s="1835"/>
      <c r="L51" s="1835"/>
      <c r="M51" s="1726"/>
      <c r="N51" s="1726"/>
      <c r="O51" s="1726"/>
      <c r="P51" s="1726"/>
      <c r="Q51" s="1726"/>
      <c r="R51" s="1726"/>
      <c r="S51" s="1691"/>
      <c r="T51" s="1691"/>
      <c r="U51" s="1691"/>
    </row>
    <row r="52" spans="1:21">
      <c r="A52" s="1693"/>
      <c r="B52" s="1693"/>
      <c r="C52" s="1726"/>
      <c r="D52" s="1726"/>
      <c r="E52" s="1726"/>
      <c r="F52" s="1726"/>
      <c r="G52" s="1726"/>
      <c r="H52" s="1726"/>
      <c r="I52" s="1726"/>
      <c r="J52" s="1834"/>
      <c r="K52" s="1835"/>
      <c r="L52" s="1835"/>
      <c r="M52" s="1726"/>
      <c r="N52" s="1726"/>
      <c r="O52" s="1726"/>
      <c r="P52" s="1726"/>
      <c r="Q52" s="1726"/>
      <c r="R52" s="1726"/>
      <c r="S52" s="1691"/>
      <c r="T52" s="1691"/>
      <c r="U52" s="1691"/>
    </row>
    <row r="53" spans="1:21">
      <c r="A53" s="1693"/>
      <c r="B53" s="1693"/>
      <c r="C53" s="1726"/>
      <c r="D53" s="1726"/>
      <c r="E53" s="1726"/>
      <c r="F53" s="1726"/>
      <c r="G53" s="1726"/>
      <c r="H53" s="1726"/>
      <c r="I53" s="1726"/>
      <c r="J53" s="1834"/>
      <c r="K53" s="1835"/>
      <c r="L53" s="1835"/>
      <c r="M53" s="1726"/>
      <c r="N53" s="1726"/>
      <c r="O53" s="1726"/>
      <c r="P53" s="1726"/>
      <c r="Q53" s="1726"/>
      <c r="R53" s="1726"/>
      <c r="S53" s="1691"/>
      <c r="T53" s="1691"/>
      <c r="U53" s="1691"/>
    </row>
    <row r="54" spans="1:21">
      <c r="A54" s="1693"/>
      <c r="B54" s="1693"/>
      <c r="C54" s="1693"/>
      <c r="D54" s="1693"/>
      <c r="E54" s="1693"/>
      <c r="F54" s="1726"/>
      <c r="G54" s="1693"/>
      <c r="H54" s="1693"/>
      <c r="I54" s="1693"/>
      <c r="J54" s="1836"/>
      <c r="K54" s="1835"/>
      <c r="L54" s="1835"/>
      <c r="M54" s="1835"/>
      <c r="N54" s="1693"/>
      <c r="O54" s="1693"/>
      <c r="P54" s="1693"/>
      <c r="Q54" s="1693"/>
      <c r="R54" s="1693"/>
      <c r="S54" s="1691"/>
      <c r="T54" s="1691"/>
      <c r="U54" s="1691"/>
    </row>
    <row r="55" spans="1:21">
      <c r="A55" s="1693"/>
      <c r="B55" s="1693"/>
      <c r="C55" s="1693"/>
      <c r="D55" s="1693"/>
      <c r="E55" s="1693"/>
      <c r="F55" s="1726"/>
      <c r="G55" s="1693"/>
      <c r="H55" s="1693"/>
      <c r="I55" s="1693"/>
      <c r="J55" s="1836"/>
      <c r="K55" s="1835"/>
      <c r="L55" s="1835"/>
      <c r="M55" s="1835"/>
      <c r="N55" s="1693"/>
      <c r="O55" s="1693"/>
      <c r="P55" s="1693"/>
      <c r="Q55" s="1693"/>
      <c r="R55" s="1693"/>
      <c r="S55" s="1691"/>
      <c r="T55" s="1691"/>
      <c r="U55" s="1691"/>
    </row>
    <row r="56" spans="1:21">
      <c r="A56" s="1693"/>
      <c r="B56" s="1693"/>
      <c r="C56" s="1693"/>
      <c r="D56" s="1693"/>
      <c r="E56" s="1693"/>
      <c r="F56" s="1726"/>
      <c r="G56" s="1693"/>
      <c r="H56" s="1693"/>
      <c r="I56" s="1693"/>
      <c r="J56" s="1836"/>
      <c r="K56" s="1835"/>
      <c r="L56" s="1835"/>
      <c r="M56" s="1835"/>
      <c r="N56" s="1693"/>
      <c r="O56" s="1693"/>
      <c r="P56" s="1693"/>
      <c r="Q56" s="1693"/>
      <c r="R56" s="1693"/>
      <c r="S56" s="1691"/>
      <c r="T56" s="1691"/>
      <c r="U56" s="1691"/>
    </row>
    <row r="57" spans="1:21">
      <c r="A57" s="1693"/>
      <c r="B57" s="1693"/>
      <c r="C57" s="1693"/>
      <c r="D57" s="1693"/>
      <c r="E57" s="1693"/>
      <c r="F57" s="1726"/>
      <c r="G57" s="1693"/>
      <c r="H57" s="1693"/>
      <c r="I57" s="1693"/>
      <c r="J57" s="1836"/>
      <c r="K57" s="1835"/>
      <c r="L57" s="1835"/>
      <c r="M57" s="1835"/>
      <c r="N57" s="1693"/>
      <c r="O57" s="1693"/>
      <c r="P57" s="1693"/>
      <c r="Q57" s="1693"/>
      <c r="R57" s="1693"/>
      <c r="S57" s="1691"/>
      <c r="T57" s="1691"/>
      <c r="U57" s="1691"/>
    </row>
    <row r="58" spans="1:21">
      <c r="A58" s="1693"/>
      <c r="B58" s="1693"/>
      <c r="C58" s="1693"/>
      <c r="D58" s="1693"/>
      <c r="E58" s="1693"/>
      <c r="F58" s="1726"/>
      <c r="G58" s="1693"/>
      <c r="H58" s="1693"/>
      <c r="I58" s="1693"/>
      <c r="J58" s="1836"/>
      <c r="K58" s="1835"/>
      <c r="L58" s="1835"/>
      <c r="M58" s="1835"/>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56" t="s">
        <v>2295</v>
      </c>
      <c r="BA2" s="2357"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83">
        <v>57250.521000000001</v>
      </c>
      <c r="B3" s="21">
        <f>IF(C3="否",G5-AT5,G5)</f>
        <v>168507.95000000004</v>
      </c>
      <c r="C3" s="22" t="s">
        <v>1643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133</v>
      </c>
      <c r="B5" s="987"/>
      <c r="C5" s="987"/>
      <c r="D5" s="994"/>
      <c r="E5" s="26" t="s">
        <v>1</v>
      </c>
      <c r="F5" s="26">
        <f>SUM(F13:F572)</f>
        <v>0</v>
      </c>
      <c r="G5" s="26">
        <f>SUM(G13:G572)</f>
        <v>168507.95000000004</v>
      </c>
      <c r="H5" s="26">
        <f t="shared" ref="H5:AT5" si="0">SUM(H13:H641)</f>
        <v>139217.02000000002</v>
      </c>
      <c r="I5" s="26">
        <f t="shared" si="0"/>
        <v>40614.39</v>
      </c>
      <c r="J5" s="26">
        <f t="shared" si="0"/>
        <v>0</v>
      </c>
      <c r="K5" s="26">
        <f t="shared" si="0"/>
        <v>21435.059999999998</v>
      </c>
      <c r="L5" s="26">
        <f t="shared" si="0"/>
        <v>0</v>
      </c>
      <c r="M5" s="26">
        <f t="shared" si="0"/>
        <v>43743.43</v>
      </c>
      <c r="N5" s="26">
        <f t="shared" si="0"/>
        <v>0</v>
      </c>
      <c r="O5" s="26">
        <f t="shared" si="0"/>
        <v>33424.14</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25456.2</v>
      </c>
      <c r="AD5" s="26">
        <f t="shared" si="0"/>
        <v>553.72</v>
      </c>
      <c r="AE5" s="26">
        <f t="shared" si="0"/>
        <v>0</v>
      </c>
      <c r="AF5" s="26">
        <f t="shared" si="0"/>
        <v>1364.68</v>
      </c>
      <c r="AG5" s="26">
        <f t="shared" si="0"/>
        <v>0</v>
      </c>
      <c r="AH5" s="26">
        <f t="shared" si="0"/>
        <v>0</v>
      </c>
      <c r="AI5" s="26">
        <f t="shared" si="0"/>
        <v>0</v>
      </c>
      <c r="AJ5" s="26">
        <f t="shared" si="0"/>
        <v>0</v>
      </c>
      <c r="AK5" s="26">
        <f t="shared" si="0"/>
        <v>0</v>
      </c>
      <c r="AL5" s="26">
        <f t="shared" si="0"/>
        <v>310.85000000000002</v>
      </c>
      <c r="AM5" s="26">
        <f t="shared" si="0"/>
        <v>0</v>
      </c>
      <c r="AN5" s="26">
        <f t="shared" si="0"/>
        <v>23226.95</v>
      </c>
      <c r="AO5" s="26">
        <f t="shared" si="0"/>
        <v>0</v>
      </c>
      <c r="AP5" s="26">
        <f t="shared" si="0"/>
        <v>0</v>
      </c>
      <c r="AQ5" s="26">
        <f t="shared" si="0"/>
        <v>0</v>
      </c>
      <c r="AR5" s="26">
        <f t="shared" si="0"/>
        <v>0</v>
      </c>
      <c r="AS5" s="26">
        <f t="shared" si="0"/>
        <v>0</v>
      </c>
      <c r="AT5" s="26">
        <f t="shared" si="0"/>
        <v>3834.73</v>
      </c>
      <c r="AU5" s="986"/>
      <c r="AV5" s="25" t="s">
        <v>133</v>
      </c>
      <c r="AW5" s="987"/>
      <c r="AX5" s="987"/>
      <c r="AY5" s="27" t="s">
        <v>3</v>
      </c>
      <c r="AZ5" s="28">
        <f t="shared" ref="AZ5:BT5" si="1">SUM(AZ13:AZ641)</f>
        <v>164673.22000000003</v>
      </c>
      <c r="BA5" s="28">
        <f t="shared" si="1"/>
        <v>139217.02000000002</v>
      </c>
      <c r="BB5" s="28">
        <f t="shared" si="1"/>
        <v>40614.39</v>
      </c>
      <c r="BC5" s="28">
        <f t="shared" si="1"/>
        <v>21435.059999999998</v>
      </c>
      <c r="BD5" s="28">
        <f t="shared" si="1"/>
        <v>43743.43</v>
      </c>
      <c r="BE5" s="28">
        <f t="shared" si="1"/>
        <v>33424.14</v>
      </c>
      <c r="BF5" s="28">
        <f t="shared" si="1"/>
        <v>0</v>
      </c>
      <c r="BG5" s="28">
        <f t="shared" si="1"/>
        <v>0</v>
      </c>
      <c r="BH5" s="28">
        <f t="shared" si="1"/>
        <v>0</v>
      </c>
      <c r="BI5" s="28">
        <f t="shared" si="1"/>
        <v>0</v>
      </c>
      <c r="BJ5" s="28">
        <f t="shared" si="1"/>
        <v>0</v>
      </c>
      <c r="BK5" s="28">
        <f t="shared" si="1"/>
        <v>0</v>
      </c>
      <c r="BL5" s="28">
        <f t="shared" si="1"/>
        <v>25456.2</v>
      </c>
      <c r="BM5" s="28">
        <f t="shared" si="1"/>
        <v>553.72</v>
      </c>
      <c r="BN5" s="28">
        <f t="shared" si="1"/>
        <v>1364.68</v>
      </c>
      <c r="BO5" s="28">
        <f t="shared" si="1"/>
        <v>0</v>
      </c>
      <c r="BP5" s="28">
        <f t="shared" si="1"/>
        <v>0</v>
      </c>
      <c r="BQ5" s="28">
        <f t="shared" si="1"/>
        <v>310.85000000000002</v>
      </c>
      <c r="BR5" s="28">
        <f t="shared" si="1"/>
        <v>23226.95</v>
      </c>
      <c r="BS5" s="28">
        <f t="shared" si="1"/>
        <v>0</v>
      </c>
      <c r="BT5" s="29">
        <f t="shared" si="1"/>
        <v>0</v>
      </c>
    </row>
    <row r="6" spans="1:72" s="36" customFormat="1" ht="12.75">
      <c r="A6" s="25" t="s">
        <v>134</v>
      </c>
      <c r="B6" s="30"/>
      <c r="C6" s="30"/>
      <c r="D6" s="31"/>
      <c r="E6" s="26">
        <f>H6+AC6+AT6</f>
        <v>57250.53</v>
      </c>
      <c r="F6" s="26" t="s">
        <v>1</v>
      </c>
      <c r="G6" s="26" t="s">
        <v>2</v>
      </c>
      <c r="H6" s="32">
        <f>SUMIF(I$12:AB$12,"总值",I6:AB6)</f>
        <v>47298.94</v>
      </c>
      <c r="I6" s="26">
        <f t="shared" ref="I6:AB6" si="2">ROUND($A$3*I5/$B$3,2)</f>
        <v>13798.73</v>
      </c>
      <c r="J6" s="26">
        <f t="shared" si="2"/>
        <v>0</v>
      </c>
      <c r="K6" s="26">
        <f t="shared" si="2"/>
        <v>7282.55</v>
      </c>
      <c r="L6" s="26">
        <f t="shared" si="2"/>
        <v>0</v>
      </c>
      <c r="M6" s="26">
        <f t="shared" si="2"/>
        <v>14861.82</v>
      </c>
      <c r="N6" s="26">
        <f t="shared" si="2"/>
        <v>0</v>
      </c>
      <c r="O6" s="26">
        <f t="shared" si="2"/>
        <v>11355.84</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8648.74</v>
      </c>
      <c r="AD6" s="26">
        <f t="shared" ref="AD6:AS6" si="3">ROUND($A$3*AD5/$B$3,2)</f>
        <v>188.13</v>
      </c>
      <c r="AE6" s="26">
        <f t="shared" si="3"/>
        <v>0</v>
      </c>
      <c r="AF6" s="26">
        <f t="shared" si="3"/>
        <v>463.65</v>
      </c>
      <c r="AG6" s="26">
        <f t="shared" si="3"/>
        <v>0</v>
      </c>
      <c r="AH6" s="26">
        <f t="shared" si="3"/>
        <v>0</v>
      </c>
      <c r="AI6" s="26">
        <f t="shared" si="3"/>
        <v>0</v>
      </c>
      <c r="AJ6" s="26">
        <f t="shared" si="3"/>
        <v>0</v>
      </c>
      <c r="AK6" s="26">
        <f t="shared" si="3"/>
        <v>0</v>
      </c>
      <c r="AL6" s="26">
        <f t="shared" si="3"/>
        <v>105.61</v>
      </c>
      <c r="AM6" s="26">
        <f t="shared" si="3"/>
        <v>0</v>
      </c>
      <c r="AN6" s="26">
        <f t="shared" si="3"/>
        <v>7891.35</v>
      </c>
      <c r="AO6" s="26">
        <f t="shared" si="3"/>
        <v>0</v>
      </c>
      <c r="AP6" s="26">
        <f t="shared" si="3"/>
        <v>0</v>
      </c>
      <c r="AQ6" s="26">
        <f t="shared" si="3"/>
        <v>0</v>
      </c>
      <c r="AR6" s="26">
        <f t="shared" si="3"/>
        <v>0</v>
      </c>
      <c r="AS6" s="26">
        <f t="shared" si="3"/>
        <v>0</v>
      </c>
      <c r="AT6" s="32">
        <f>IF(C3="是",ROUND($A$3*AT5/$B$3,2),0)</f>
        <v>1302.8499999999999</v>
      </c>
      <c r="AU6" s="33"/>
      <c r="AV6" s="25" t="s">
        <v>134</v>
      </c>
      <c r="AW6" s="30"/>
      <c r="AX6" s="30"/>
      <c r="AY6" s="34">
        <f>IF(AY3&gt;0,AY3,ROUND($A$3*AZ5/$B$3,2))</f>
        <v>55947.67</v>
      </c>
      <c r="AZ6" s="26" t="s">
        <v>3</v>
      </c>
      <c r="BA6" s="26">
        <f>ROUND($AY$6*BA5/$AZ$5,2)</f>
        <v>47298.93</v>
      </c>
      <c r="BB6" s="26">
        <f>ROUND($AY$6*BB5/$AZ$5,2)</f>
        <v>13798.73</v>
      </c>
      <c r="BC6" s="26">
        <f t="shared" ref="BC6:BH6" si="4">ROUND($AY$6*BC5/$AZ$5,2)</f>
        <v>7282.55</v>
      </c>
      <c r="BD6" s="26">
        <f t="shared" si="4"/>
        <v>14861.82</v>
      </c>
      <c r="BE6" s="26">
        <f t="shared" si="4"/>
        <v>11355.84</v>
      </c>
      <c r="BF6" s="26">
        <f t="shared" si="4"/>
        <v>0</v>
      </c>
      <c r="BG6" s="26">
        <f t="shared" si="4"/>
        <v>0</v>
      </c>
      <c r="BH6" s="26">
        <f t="shared" si="4"/>
        <v>0</v>
      </c>
      <c r="BI6" s="26">
        <f t="shared" ref="BI6:BT6" si="5">ROUND($AY$6*BI5/$AZ$5,2)</f>
        <v>0</v>
      </c>
      <c r="BJ6" s="26">
        <f t="shared" si="5"/>
        <v>0</v>
      </c>
      <c r="BK6" s="26">
        <f t="shared" si="5"/>
        <v>0</v>
      </c>
      <c r="BL6" s="26">
        <f t="shared" si="5"/>
        <v>8648.74</v>
      </c>
      <c r="BM6" s="26">
        <f t="shared" si="5"/>
        <v>188.13</v>
      </c>
      <c r="BN6" s="26">
        <f t="shared" si="5"/>
        <v>463.65</v>
      </c>
      <c r="BO6" s="26">
        <f t="shared" si="5"/>
        <v>0</v>
      </c>
      <c r="BP6" s="26">
        <f t="shared" si="5"/>
        <v>0</v>
      </c>
      <c r="BQ6" s="26">
        <f t="shared" si="5"/>
        <v>105.61</v>
      </c>
      <c r="BR6" s="26">
        <f t="shared" si="5"/>
        <v>7891.35</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3"/>
      <c r="AT8" s="2324"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153</v>
      </c>
      <c r="I9" s="3039" t="s">
        <v>2966</v>
      </c>
      <c r="J9" s="50"/>
      <c r="K9" s="3039" t="s">
        <v>2966</v>
      </c>
      <c r="L9" s="50"/>
      <c r="M9" s="3039" t="s">
        <v>2968</v>
      </c>
      <c r="N9" s="50"/>
      <c r="O9" s="58" t="s">
        <v>2968</v>
      </c>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5"/>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2.75">
      <c r="A10" s="44"/>
      <c r="B10" s="44"/>
      <c r="C10" s="44"/>
      <c r="D10" s="44"/>
      <c r="E10" s="44"/>
      <c r="F10" s="44"/>
      <c r="G10" s="54"/>
      <c r="H10" s="61"/>
      <c r="I10" s="3039" t="s">
        <v>888</v>
      </c>
      <c r="J10" s="50"/>
      <c r="K10" s="3041" t="s">
        <v>888</v>
      </c>
      <c r="L10" s="50"/>
      <c r="M10" s="3041" t="s">
        <v>2969</v>
      </c>
      <c r="N10" s="50"/>
      <c r="O10" s="65" t="s">
        <v>2970</v>
      </c>
      <c r="P10" s="50"/>
      <c r="Q10" s="65"/>
      <c r="R10" s="50"/>
      <c r="S10" s="65"/>
      <c r="T10" s="50"/>
      <c r="U10" s="65"/>
      <c r="V10" s="50"/>
      <c r="W10" s="65"/>
      <c r="X10" s="50"/>
      <c r="Y10" s="65"/>
      <c r="Z10" s="50"/>
      <c r="AA10" s="65"/>
      <c r="AB10" s="50"/>
      <c r="AC10" s="54"/>
      <c r="AD10" s="2310" t="s">
        <v>2280</v>
      </c>
      <c r="AE10" s="2332"/>
      <c r="AF10" s="2310" t="s">
        <v>2280</v>
      </c>
      <c r="AG10" s="2332"/>
      <c r="AH10" s="2310" t="s">
        <v>2281</v>
      </c>
      <c r="AI10" s="2332"/>
      <c r="AJ10" s="25" t="s">
        <v>2293</v>
      </c>
      <c r="AK10" s="2329"/>
      <c r="AL10" s="2310" t="s">
        <v>2282</v>
      </c>
      <c r="AM10" s="2311"/>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0" t="s">
        <v>2932</v>
      </c>
      <c r="J11" s="70"/>
      <c r="K11" s="3040" t="s">
        <v>2967</v>
      </c>
      <c r="L11" s="70"/>
      <c r="M11" s="69" t="s">
        <v>34</v>
      </c>
      <c r="N11" s="70"/>
      <c r="O11" s="69" t="s">
        <v>2935</v>
      </c>
      <c r="P11" s="70"/>
      <c r="Q11" s="69"/>
      <c r="R11" s="70"/>
      <c r="S11" s="69"/>
      <c r="T11" s="70"/>
      <c r="U11" s="69"/>
      <c r="V11" s="70"/>
      <c r="W11" s="69"/>
      <c r="X11" s="70"/>
      <c r="Y11" s="69"/>
      <c r="Z11" s="70"/>
      <c r="AA11" s="69"/>
      <c r="AB11" s="70"/>
      <c r="AC11" s="54"/>
      <c r="AD11" s="2330" t="s">
        <v>2292</v>
      </c>
      <c r="AE11" s="1000"/>
      <c r="AF11" s="2330" t="s">
        <v>2292</v>
      </c>
      <c r="AG11" s="1000"/>
      <c r="AH11" s="2330" t="s">
        <v>2291</v>
      </c>
      <c r="AI11" s="2331"/>
      <c r="AJ11" s="2330" t="s">
        <v>2291</v>
      </c>
      <c r="AK11" s="2329"/>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4"/>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5"/>
      <c r="AU12" s="71"/>
      <c r="AV12" s="76"/>
      <c r="AW12" s="41"/>
      <c r="AX12" s="76"/>
      <c r="AY12" s="77"/>
      <c r="AZ12" s="61"/>
      <c r="BA12" s="66"/>
      <c r="BB12" s="52" t="str">
        <f>I11</f>
        <v>洋房住宅</v>
      </c>
      <c r="BC12" s="78" t="str">
        <f>K11</f>
        <v>低密度住宅</v>
      </c>
      <c r="BD12" s="78" t="str">
        <f>M11</f>
        <v>地下车库</v>
      </c>
      <c r="BE12" s="49" t="str">
        <f>O11</f>
        <v>地下仓储</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4"/>
      <c r="B13" s="3034"/>
      <c r="C13" s="3034"/>
      <c r="D13" s="3035" t="s">
        <v>1643</v>
      </c>
      <c r="E13" s="26">
        <f t="shared" ref="E13:E20" si="6">IF($C$3="是",ROUND($A$3*G13/$B$3,2),ROUND($A$3*(G13-AT13)/$B$3,2))</f>
        <v>57250.52</v>
      </c>
      <c r="F13" s="80"/>
      <c r="G13" s="81">
        <f t="shared" ref="G13:G20" si="7">H13+AC13+AT13</f>
        <v>168507.95000000004</v>
      </c>
      <c r="H13" s="32">
        <f t="shared" ref="H13:H20" si="8">SUMIF(I$12:AB$12,"总值",I13:AB13)</f>
        <v>139217.02000000002</v>
      </c>
      <c r="I13" s="3038">
        <f>4061*3+5665.57+5618*2+4103.41+2475.47*3</f>
        <v>40614.39</v>
      </c>
      <c r="J13" s="3038"/>
      <c r="K13" s="3038">
        <f>62049.45-I13</f>
        <v>21435.059999999998</v>
      </c>
      <c r="L13" s="3038"/>
      <c r="M13" s="3038">
        <f>47533.76-3790.33</f>
        <v>43743.43</v>
      </c>
      <c r="N13" s="82"/>
      <c r="O13" s="82">
        <v>33424.14</v>
      </c>
      <c r="P13" s="82"/>
      <c r="Q13" s="82"/>
      <c r="R13" s="82"/>
      <c r="S13" s="82"/>
      <c r="T13" s="82"/>
      <c r="U13" s="82"/>
      <c r="V13" s="82"/>
      <c r="W13" s="82"/>
      <c r="X13" s="82"/>
      <c r="Y13" s="82"/>
      <c r="Z13" s="82"/>
      <c r="AA13" s="82"/>
      <c r="AB13" s="82"/>
      <c r="AC13" s="26">
        <f t="shared" ref="AC13:AC20" si="9">SUMIF(AD$12:AS$12,"总值",AD13:AS13)</f>
        <v>25456.2</v>
      </c>
      <c r="AD13" s="3042">
        <v>553.72</v>
      </c>
      <c r="AE13" s="3042"/>
      <c r="AF13" s="3042">
        <f>332+1032.68</f>
        <v>1364.68</v>
      </c>
      <c r="AG13" s="3042"/>
      <c r="AH13" s="3042"/>
      <c r="AI13" s="3042"/>
      <c r="AJ13" s="3042"/>
      <c r="AK13" s="3042"/>
      <c r="AL13" s="3204">
        <f>355.25-44.4</f>
        <v>310.85000000000002</v>
      </c>
      <c r="AM13" s="3042"/>
      <c r="AN13" s="3042">
        <v>23226.95</v>
      </c>
      <c r="AO13" s="3042"/>
      <c r="AP13" s="3042"/>
      <c r="AQ13" s="3042"/>
      <c r="AR13" s="3042"/>
      <c r="AS13" s="3042"/>
      <c r="AT13" s="3043">
        <f>3790.33+44.4</f>
        <v>3834.73</v>
      </c>
      <c r="AU13" s="3044"/>
      <c r="AV13" s="17">
        <f t="shared" ref="AV13:AX20" si="10">A13</f>
        <v>0</v>
      </c>
      <c r="AW13" s="17">
        <f t="shared" si="10"/>
        <v>0</v>
      </c>
      <c r="AX13" s="17">
        <f t="shared" si="10"/>
        <v>0</v>
      </c>
      <c r="AY13" s="994">
        <f t="shared" ref="AY13:AY20" si="11">ROUND($AY$6*AZ13/$AZ$5,2)</f>
        <v>55947.67</v>
      </c>
      <c r="AZ13" s="26">
        <f t="shared" ref="AZ13:AZ20" si="12">BA13+BL13</f>
        <v>164673.22000000003</v>
      </c>
      <c r="BA13" s="26">
        <f t="shared" ref="BA13:BA20" si="13">SUM(BB13:BK13)</f>
        <v>139217.02000000002</v>
      </c>
      <c r="BB13" s="26">
        <f t="shared" ref="BB13:BB20" si="14">IF($D13="是",I13-J13,0)</f>
        <v>40614.39</v>
      </c>
      <c r="BC13" s="26">
        <f t="shared" ref="BC13:BC20" si="15">IF($D13="是",K13-L13,0)</f>
        <v>21435.059999999998</v>
      </c>
      <c r="BD13" s="26">
        <f t="shared" ref="BD13:BD20" si="16">IF($D13="是",M13-N13,0)</f>
        <v>43743.43</v>
      </c>
      <c r="BE13" s="26">
        <f t="shared" ref="BE13:BE20" si="17">IF($D13="是",O13-P13,0)</f>
        <v>33424.14</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25456.2</v>
      </c>
      <c r="BM13" s="26">
        <f t="shared" ref="BM13:BM20" si="25">IF($D13="是",AD13-AE13,0)</f>
        <v>553.72</v>
      </c>
      <c r="BN13" s="26">
        <f t="shared" ref="BN13:BN20" si="26">IF($D13="是",AF13-AG13,0)</f>
        <v>1364.68</v>
      </c>
      <c r="BO13" s="26">
        <f t="shared" ref="BO13:BO20" si="27">IF($D13="是",AH13-AI13,0)</f>
        <v>0</v>
      </c>
      <c r="BP13" s="26">
        <f t="shared" ref="BP13:BP20" si="28">IF($D13="是",AJ13-AK13,0)</f>
        <v>0</v>
      </c>
      <c r="BQ13" s="26">
        <f t="shared" ref="BQ13:BQ20" si="29">IF($D13="是",AL13-AM13,0)</f>
        <v>310.85000000000002</v>
      </c>
      <c r="BR13" s="26">
        <f t="shared" ref="BR13:BR20" si="30">IF($D13="是",AN13-AO13,0)</f>
        <v>23226.95</v>
      </c>
      <c r="BS13" s="26">
        <f t="shared" ref="BS13:BS20" si="31">IF($D13="是",AP13-AQ13,0)</f>
        <v>0</v>
      </c>
      <c r="BT13" s="35">
        <f t="shared" ref="BT13:BT20" si="32">IF($D13="是",AR13-AS13,0)</f>
        <v>0</v>
      </c>
    </row>
    <row r="14" spans="1:72" s="18" customFormat="1" ht="12.75">
      <c r="A14" s="3034"/>
      <c r="B14" s="3034"/>
      <c r="C14" s="3036"/>
      <c r="D14" s="3035"/>
      <c r="E14" s="26">
        <f t="shared" si="6"/>
        <v>0</v>
      </c>
      <c r="F14" s="80"/>
      <c r="G14" s="81">
        <f t="shared" si="7"/>
        <v>0</v>
      </c>
      <c r="H14" s="32">
        <f t="shared" si="8"/>
        <v>0</v>
      </c>
      <c r="I14" s="3038"/>
      <c r="J14" s="3038"/>
      <c r="K14" s="3038"/>
      <c r="L14" s="3038"/>
      <c r="M14" s="3038"/>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4"/>
      <c r="B15" s="3034"/>
      <c r="C15" s="3036"/>
      <c r="D15" s="3035"/>
      <c r="E15" s="26">
        <f t="shared" si="6"/>
        <v>0</v>
      </c>
      <c r="F15" s="80"/>
      <c r="G15" s="81">
        <f t="shared" si="7"/>
        <v>0</v>
      </c>
      <c r="H15" s="32">
        <f t="shared" si="8"/>
        <v>0</v>
      </c>
      <c r="I15" s="3038"/>
      <c r="J15" s="3038"/>
      <c r="K15" s="3038"/>
      <c r="L15" s="3038"/>
      <c r="M15" s="3038"/>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4"/>
      <c r="B16" s="3034"/>
      <c r="C16" s="3036"/>
      <c r="D16" s="3035"/>
      <c r="E16" s="26">
        <f t="shared" si="6"/>
        <v>0</v>
      </c>
      <c r="F16" s="80"/>
      <c r="G16" s="81">
        <f t="shared" si="7"/>
        <v>0</v>
      </c>
      <c r="H16" s="32">
        <f t="shared" si="8"/>
        <v>0</v>
      </c>
      <c r="I16" s="3038"/>
      <c r="J16" s="3038"/>
      <c r="K16" s="3038"/>
      <c r="L16" s="3038"/>
      <c r="M16" s="3038"/>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4"/>
      <c r="B17" s="3034"/>
      <c r="C17" s="3036"/>
      <c r="D17" s="3035"/>
      <c r="E17" s="26">
        <f t="shared" si="6"/>
        <v>0</v>
      </c>
      <c r="F17" s="80"/>
      <c r="G17" s="81">
        <f t="shared" si="7"/>
        <v>0</v>
      </c>
      <c r="H17" s="32">
        <f t="shared" si="8"/>
        <v>0</v>
      </c>
      <c r="I17" s="3038"/>
      <c r="J17" s="3038"/>
      <c r="K17" s="3038"/>
      <c r="L17" s="3038"/>
      <c r="M17" s="3038"/>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7"/>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39</v>
      </c>
      <c r="E1" s="3309" t="s">
        <v>40</v>
      </c>
      <c r="F1" s="3309"/>
      <c r="G1" s="3309"/>
      <c r="H1" s="3309"/>
      <c r="I1" s="3309"/>
      <c r="J1" s="3309"/>
      <c r="K1" s="3309"/>
      <c r="L1" s="3309"/>
      <c r="M1" s="3309"/>
    </row>
    <row r="2" spans="1:13" ht="27" customHeight="1">
      <c r="A2" s="3308"/>
      <c r="B2" s="3308"/>
      <c r="C2" s="3308"/>
      <c r="D2" s="3309"/>
      <c r="E2" s="3309" t="s">
        <v>23</v>
      </c>
      <c r="F2" s="3309" t="s">
        <v>24</v>
      </c>
      <c r="G2" s="3309"/>
      <c r="H2" s="3309"/>
      <c r="I2" s="3309"/>
      <c r="J2" s="3309" t="s">
        <v>25</v>
      </c>
      <c r="K2" s="3309"/>
      <c r="L2" s="3309"/>
      <c r="M2" s="3309"/>
    </row>
    <row r="3" spans="1:13" ht="28.5">
      <c r="A3" s="3308"/>
      <c r="B3" s="3308"/>
      <c r="C3" s="3308"/>
      <c r="D3" s="3309"/>
      <c r="E3" s="330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09" t="s">
        <v>41</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H37" sqref="H3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167</v>
      </c>
      <c r="B1" s="1980"/>
      <c r="C1" s="1980"/>
      <c r="D1" s="1980"/>
      <c r="E1" s="1980"/>
      <c r="F1" s="1980"/>
      <c r="G1" s="1980"/>
      <c r="H1" s="1980"/>
      <c r="I1" s="1980"/>
      <c r="J1" s="1980"/>
      <c r="K1" s="1980"/>
      <c r="L1" s="1980"/>
    </row>
    <row r="2" spans="1:16" ht="15">
      <c r="A2" s="3319" t="s">
        <v>168</v>
      </c>
      <c r="B2" s="3319"/>
      <c r="C2" s="3319"/>
      <c r="D2" s="1971" t="s">
        <v>169</v>
      </c>
      <c r="E2" s="105" t="s">
        <v>170</v>
      </c>
      <c r="F2" s="1980"/>
      <c r="G2" s="1196"/>
      <c r="H2" s="1197"/>
      <c r="I2" s="1198" t="s">
        <v>822</v>
      </c>
      <c r="J2" s="1980"/>
      <c r="K2" s="1980"/>
      <c r="L2" s="1980"/>
    </row>
    <row r="3" spans="1:16" ht="15.75" thickBot="1">
      <c r="A3" s="3320" t="s">
        <v>171</v>
      </c>
      <c r="B3" s="3320"/>
      <c r="C3" s="3320"/>
      <c r="D3" s="106">
        <f>'数据-基础表'!AY6</f>
        <v>55947.67</v>
      </c>
      <c r="E3" s="106">
        <f>'数据-基础表'!AZ5</f>
        <v>164673.22000000003</v>
      </c>
      <c r="F3" s="1980"/>
      <c r="G3" s="278" t="s">
        <v>823</v>
      </c>
      <c r="H3" s="273" t="s">
        <v>824</v>
      </c>
      <c r="I3" s="1972">
        <f>ROUND('数据-基础表'!B3/'数据-基础表'!A3,2)</f>
        <v>2.94</v>
      </c>
      <c r="J3" s="1980"/>
      <c r="K3" s="1980"/>
      <c r="L3" s="1980"/>
    </row>
    <row r="4" spans="1:16" ht="15">
      <c r="A4" s="3321"/>
      <c r="B4" s="3322"/>
      <c r="C4" s="3323"/>
      <c r="D4" s="107" t="s">
        <v>169</v>
      </c>
      <c r="E4" s="108" t="s">
        <v>170</v>
      </c>
      <c r="F4" s="1980"/>
      <c r="G4" s="1199"/>
      <c r="H4" s="273" t="s">
        <v>825</v>
      </c>
      <c r="I4" s="1972">
        <f>ROUND(SUMIF('数据-基础表'!I9:AS9,"地上",'数据-基础表'!I5:AS5)/'数据-基础表'!A3,2)</f>
        <v>1.1000000000000001</v>
      </c>
      <c r="J4" s="1980"/>
      <c r="K4" s="1980"/>
      <c r="L4" s="1980"/>
    </row>
    <row r="5" spans="1:16">
      <c r="A5" s="109" t="s">
        <v>172</v>
      </c>
      <c r="B5" s="3324" t="s">
        <v>195</v>
      </c>
      <c r="C5" s="3324"/>
      <c r="D5" s="110">
        <f>ROUND($D$3*E5/$E$3,2)</f>
        <v>21081.279999999999</v>
      </c>
      <c r="E5" s="111">
        <f>SUMIF('数据-基础表'!$11:$11,"住宅",'数据-基础表'!$5:$5)</f>
        <v>62049.45</v>
      </c>
      <c r="F5" s="1980"/>
      <c r="G5" s="278" t="s">
        <v>826</v>
      </c>
      <c r="H5" s="273" t="s">
        <v>824</v>
      </c>
      <c r="I5" s="1972">
        <f>ROUND(E31/D31,2)</f>
        <v>2.94</v>
      </c>
      <c r="J5" s="1980"/>
      <c r="K5" s="1980"/>
      <c r="L5" s="1980"/>
    </row>
    <row r="6" spans="1:16" ht="15" thickBot="1">
      <c r="A6" s="112"/>
      <c r="B6" s="3324" t="s">
        <v>173</v>
      </c>
      <c r="C6" s="3324"/>
      <c r="D6" s="110">
        <f>ROUND($D$3*E6/$E$3,2)</f>
        <v>34866.39</v>
      </c>
      <c r="E6" s="111">
        <f>E3-E5</f>
        <v>102623.77000000003</v>
      </c>
      <c r="F6" s="1980"/>
      <c r="G6" s="1199"/>
      <c r="H6" s="273" t="s">
        <v>825</v>
      </c>
      <c r="I6" s="1972">
        <f>ROUND(F31/D31,2)</f>
        <v>1.1200000000000001</v>
      </c>
      <c r="J6" s="1980"/>
      <c r="K6" s="1980"/>
      <c r="L6" s="1980"/>
    </row>
    <row r="7" spans="1:16" ht="15">
      <c r="A7" s="3316"/>
      <c r="B7" s="3317"/>
      <c r="C7" s="3318"/>
      <c r="D7" s="107" t="s">
        <v>169</v>
      </c>
      <c r="E7" s="113" t="s">
        <v>196</v>
      </c>
      <c r="F7" s="1980"/>
      <c r="G7" s="1154" t="s">
        <v>1610</v>
      </c>
      <c r="H7" s="1155"/>
      <c r="I7" s="1842"/>
      <c r="J7" s="1980"/>
      <c r="K7" s="1980"/>
      <c r="L7" s="1980"/>
    </row>
    <row r="8" spans="1:16">
      <c r="A8" s="109" t="s">
        <v>174</v>
      </c>
      <c r="B8" s="114" t="s">
        <v>175</v>
      </c>
      <c r="C8" s="110" t="s">
        <v>176</v>
      </c>
      <c r="D8" s="110">
        <f t="shared" ref="D8:D15" si="0">ROUND($D$3*E8/$E$3,2)</f>
        <v>21081.279999999999</v>
      </c>
      <c r="E8" s="115">
        <f>SUMIF('数据-基础表'!BB10:BK10,"地上",'数据-基础表'!BB5:BK5)</f>
        <v>62049.45</v>
      </c>
      <c r="F8" s="1980"/>
      <c r="G8" s="1982"/>
      <c r="H8" s="1982"/>
      <c r="I8" s="1980"/>
      <c r="J8" s="1980"/>
      <c r="K8" s="1980"/>
      <c r="L8" s="1980"/>
    </row>
    <row r="9" spans="1:16">
      <c r="A9" s="116"/>
      <c r="B9" s="117"/>
      <c r="C9" s="110" t="s">
        <v>177</v>
      </c>
      <c r="D9" s="110">
        <f t="shared" si="0"/>
        <v>0</v>
      </c>
      <c r="E9" s="118">
        <v>0</v>
      </c>
      <c r="F9" s="1980"/>
      <c r="G9" s="1982"/>
      <c r="H9" s="1982"/>
      <c r="I9" s="1980"/>
      <c r="J9" s="1980"/>
      <c r="K9" s="1980"/>
      <c r="L9" s="1980"/>
    </row>
    <row r="10" spans="1:16">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179</v>
      </c>
      <c r="D12" s="110">
        <f t="shared" si="0"/>
        <v>11355.84</v>
      </c>
      <c r="E12" s="115">
        <f>SUMPRODUCT(('数据-基础表'!BB10:BK10="地下")*('数据-基础表'!BB11:BK11="仓储")*('数据-基础表'!BB5:BK5))</f>
        <v>33424.14</v>
      </c>
      <c r="F12" s="1980"/>
      <c r="G12" s="1982"/>
      <c r="H12" s="1982"/>
      <c r="I12" s="1980"/>
      <c r="J12" s="1980"/>
      <c r="K12" s="1980"/>
      <c r="L12" s="1980"/>
    </row>
    <row r="13" spans="1:16">
      <c r="A13" s="116"/>
      <c r="B13" s="117"/>
      <c r="C13" s="2327" t="s">
        <v>2296</v>
      </c>
      <c r="D13" s="110">
        <f t="shared" si="0"/>
        <v>14861.82</v>
      </c>
      <c r="E13" s="115">
        <f>SUMPRODUCT(('数据-基础表'!BB10:BK10="地下")*('数据-基础表'!BB11:BK11="车库")*('数据-基础表'!BB5:BK5))</f>
        <v>43743.43</v>
      </c>
      <c r="F13" s="1980"/>
      <c r="G13" s="1982"/>
      <c r="H13" s="1982"/>
      <c r="I13" s="1980"/>
      <c r="J13" s="1980"/>
      <c r="K13" s="1980"/>
      <c r="L13" s="1980"/>
    </row>
    <row r="14" spans="1:16">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180</v>
      </c>
      <c r="D16" s="114">
        <f>SUM(D8:D15)</f>
        <v>47298.94</v>
      </c>
      <c r="E16" s="119">
        <f>SUM(E8:E15)</f>
        <v>139217.01999999999</v>
      </c>
      <c r="F16" s="1980"/>
      <c r="G16" s="1982"/>
      <c r="H16" s="966" t="s">
        <v>184</v>
      </c>
      <c r="I16" s="967"/>
      <c r="J16" s="1980"/>
      <c r="K16" s="3310" t="s">
        <v>2529</v>
      </c>
      <c r="L16" s="3311"/>
      <c r="M16" s="3311"/>
      <c r="N16" s="3311"/>
      <c r="O16" s="3311"/>
      <c r="P16" s="3312"/>
    </row>
    <row r="17" spans="1:19" ht="15">
      <c r="A17" s="120" t="s">
        <v>181</v>
      </c>
      <c r="B17" s="121" t="s">
        <v>182</v>
      </c>
      <c r="C17" s="2294" t="s">
        <v>2276</v>
      </c>
      <c r="D17" s="107" t="s">
        <v>169</v>
      </c>
      <c r="E17" s="123" t="s">
        <v>170</v>
      </c>
      <c r="F17" s="124"/>
      <c r="G17" s="1364"/>
      <c r="H17" s="968" t="s">
        <v>183</v>
      </c>
      <c r="I17" s="969" t="s">
        <v>2275</v>
      </c>
      <c r="J17" s="1980"/>
      <c r="K17" s="3313" t="s">
        <v>2530</v>
      </c>
      <c r="L17" s="3314"/>
      <c r="M17" s="3315"/>
      <c r="N17" s="3313" t="s">
        <v>2531</v>
      </c>
      <c r="O17" s="3314"/>
      <c r="P17" s="3315"/>
      <c r="R17" s="2295" t="s">
        <v>2274</v>
      </c>
      <c r="S17" s="143"/>
    </row>
    <row r="18" spans="1:19" ht="15">
      <c r="A18" s="116"/>
      <c r="B18" s="127"/>
      <c r="C18" s="128"/>
      <c r="D18" s="2662"/>
      <c r="E18" s="129" t="s">
        <v>185</v>
      </c>
      <c r="F18" s="130" t="s">
        <v>186</v>
      </c>
      <c r="G18" s="1365" t="s">
        <v>187</v>
      </c>
      <c r="H18" s="970" t="s">
        <v>188</v>
      </c>
      <c r="I18" s="971" t="s">
        <v>189</v>
      </c>
      <c r="J18" s="1980"/>
      <c r="K18" s="2625" t="s">
        <v>2532</v>
      </c>
      <c r="L18" s="2626" t="s">
        <v>2533</v>
      </c>
      <c r="M18" s="2627" t="s">
        <v>2534</v>
      </c>
      <c r="N18" s="2625" t="s">
        <v>2532</v>
      </c>
      <c r="O18" s="2626" t="s">
        <v>2533</v>
      </c>
      <c r="P18" s="2627" t="s">
        <v>2534</v>
      </c>
      <c r="R18" s="2296" t="s">
        <v>2272</v>
      </c>
      <c r="S18" s="2296" t="s">
        <v>2273</v>
      </c>
    </row>
    <row r="19" spans="1:19">
      <c r="A19" s="132"/>
      <c r="B19" s="114" t="s">
        <v>190</v>
      </c>
      <c r="C19" s="3045" t="s">
        <v>3071</v>
      </c>
      <c r="D19" s="110">
        <f t="shared" ref="D19:D26" si="1">ROUND($D$3*E19/$E$3,2)</f>
        <v>21081.279999999999</v>
      </c>
      <c r="E19" s="133">
        <f t="shared" ref="E19:E26" si="2">SUM(F19:G19)</f>
        <v>62049.45</v>
      </c>
      <c r="F19" s="134">
        <f>'数据-基础表'!I13+'数据-基础表'!K13</f>
        <v>62049.45</v>
      </c>
      <c r="G19" s="1366"/>
      <c r="H19" s="972">
        <f>ROUND($D$3*I19/$E$3,2)</f>
        <v>4216.05</v>
      </c>
      <c r="I19" s="115">
        <f>IF($I$17="自定义",P19,M19)</f>
        <v>12409.27</v>
      </c>
      <c r="J19" s="1980"/>
      <c r="K19" s="2628">
        <f t="shared" ref="K19:K26" si="3">ROUND(E$28*E19/E$27,2)</f>
        <v>10490.87</v>
      </c>
      <c r="L19" s="273">
        <f t="shared" ref="L19:L26" si="4">ROUND(IF(COUNTIF(C19,"*住宅*")&gt;0,E$29*E19/E$32,0),2)</f>
        <v>1918.4</v>
      </c>
      <c r="M19" s="2629">
        <f>K19+L19</f>
        <v>12409.27</v>
      </c>
      <c r="N19" s="2630"/>
      <c r="O19" s="2631"/>
      <c r="P19" s="2632">
        <f>N19+O19</f>
        <v>0</v>
      </c>
      <c r="R19" s="273">
        <f t="shared" ref="R19:S26" si="5">D19+H19</f>
        <v>25297.329999999998</v>
      </c>
      <c r="S19" s="2297">
        <f t="shared" si="5"/>
        <v>74458.720000000001</v>
      </c>
    </row>
    <row r="20" spans="1:19">
      <c r="A20" s="137"/>
      <c r="B20" s="114" t="s">
        <v>191</v>
      </c>
      <c r="C20" s="3045"/>
      <c r="D20" s="110">
        <f t="shared" si="1"/>
        <v>0</v>
      </c>
      <c r="E20" s="133">
        <f t="shared" si="2"/>
        <v>0</v>
      </c>
      <c r="F20" s="134"/>
      <c r="G20" s="1366"/>
      <c r="H20" s="972">
        <f t="shared" ref="H20:H26" si="6">ROUND($D$3*I20/$E$3,2)</f>
        <v>0</v>
      </c>
      <c r="I20" s="115">
        <f t="shared" ref="I20:I26" si="7">IF($I$17="自定义",P20,M20)</f>
        <v>0</v>
      </c>
      <c r="J20" s="1980"/>
      <c r="K20" s="2628">
        <f t="shared" si="3"/>
        <v>0</v>
      </c>
      <c r="L20" s="273">
        <f t="shared" si="4"/>
        <v>0</v>
      </c>
      <c r="M20" s="2629">
        <f t="shared" ref="M20:M26" si="8">K20+L20</f>
        <v>0</v>
      </c>
      <c r="N20" s="2630"/>
      <c r="O20" s="2631"/>
      <c r="P20" s="2632">
        <f t="shared" ref="P20:P26" si="9">N20+O20</f>
        <v>0</v>
      </c>
      <c r="R20" s="273">
        <f t="shared" si="5"/>
        <v>0</v>
      </c>
      <c r="S20" s="2297">
        <f t="shared" si="5"/>
        <v>0</v>
      </c>
    </row>
    <row r="21" spans="1:19">
      <c r="A21" s="137"/>
      <c r="B21" s="114" t="s">
        <v>191</v>
      </c>
      <c r="C21" s="3045" t="str">
        <f>定义!A4</f>
        <v>地下车库</v>
      </c>
      <c r="D21" s="110">
        <f t="shared" si="1"/>
        <v>14861.82</v>
      </c>
      <c r="E21" s="133">
        <f t="shared" si="2"/>
        <v>43743.43</v>
      </c>
      <c r="F21" s="134"/>
      <c r="G21" s="1366">
        <f>'数据-基础表'!M13</f>
        <v>43743.43</v>
      </c>
      <c r="H21" s="972">
        <f t="shared" si="6"/>
        <v>2512.73</v>
      </c>
      <c r="I21" s="115">
        <f t="shared" si="7"/>
        <v>7395.82</v>
      </c>
      <c r="J21" s="1980"/>
      <c r="K21" s="2628">
        <f t="shared" si="3"/>
        <v>7395.82</v>
      </c>
      <c r="L21" s="273">
        <f t="shared" si="4"/>
        <v>0</v>
      </c>
      <c r="M21" s="2629">
        <f t="shared" si="8"/>
        <v>7395.82</v>
      </c>
      <c r="N21" s="2630"/>
      <c r="O21" s="2631"/>
      <c r="P21" s="2632">
        <f t="shared" si="9"/>
        <v>0</v>
      </c>
      <c r="R21" s="273">
        <f t="shared" si="5"/>
        <v>17374.55</v>
      </c>
      <c r="S21" s="2297">
        <f t="shared" si="5"/>
        <v>51139.25</v>
      </c>
    </row>
    <row r="22" spans="1:19">
      <c r="A22" s="137"/>
      <c r="B22" s="114" t="s">
        <v>191</v>
      </c>
      <c r="C22" s="1363" t="str">
        <f>定义!A5</f>
        <v>地下仓储</v>
      </c>
      <c r="D22" s="110">
        <f t="shared" si="1"/>
        <v>11355.84</v>
      </c>
      <c r="E22" s="133">
        <f t="shared" si="2"/>
        <v>33424.14</v>
      </c>
      <c r="F22" s="139"/>
      <c r="G22" s="1367">
        <f>'数据-基础表'!O13</f>
        <v>33424.14</v>
      </c>
      <c r="H22" s="972">
        <f t="shared" si="6"/>
        <v>1919.96</v>
      </c>
      <c r="I22" s="115">
        <f t="shared" si="7"/>
        <v>5651.11</v>
      </c>
      <c r="J22" s="1980"/>
      <c r="K22" s="2628">
        <f t="shared" si="3"/>
        <v>5651.11</v>
      </c>
      <c r="L22" s="273">
        <f t="shared" si="4"/>
        <v>0</v>
      </c>
      <c r="M22" s="2629">
        <f t="shared" si="8"/>
        <v>5651.11</v>
      </c>
      <c r="N22" s="2630"/>
      <c r="O22" s="2631"/>
      <c r="P22" s="2632">
        <f t="shared" si="9"/>
        <v>0</v>
      </c>
      <c r="R22" s="273">
        <f t="shared" si="5"/>
        <v>13275.8</v>
      </c>
      <c r="S22" s="2297">
        <f t="shared" si="5"/>
        <v>39075.25</v>
      </c>
    </row>
    <row r="23" spans="1:19">
      <c r="A23" s="137"/>
      <c r="B23" s="114" t="s">
        <v>191</v>
      </c>
      <c r="C23" s="138"/>
      <c r="D23" s="110">
        <f>ROUND($D$3*E23/$E$3,2)</f>
        <v>0</v>
      </c>
      <c r="E23" s="133">
        <f>SUM(F23:G23)</f>
        <v>0</v>
      </c>
      <c r="F23" s="139"/>
      <c r="G23" s="1367"/>
      <c r="H23" s="972">
        <f>ROUND($D$3*I23/$E$3,2)</f>
        <v>0</v>
      </c>
      <c r="I23" s="115">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7"/>
      <c r="B24" s="114" t="s">
        <v>191</v>
      </c>
      <c r="C24" s="138"/>
      <c r="D24" s="110">
        <f>ROUND($D$3*E24/$E$3,2)</f>
        <v>0</v>
      </c>
      <c r="E24" s="133">
        <f>SUM(F24:G24)</f>
        <v>0</v>
      </c>
      <c r="F24" s="139"/>
      <c r="G24" s="1367"/>
      <c r="H24" s="972">
        <f>ROUND($D$3*I24/$E$3,2)</f>
        <v>0</v>
      </c>
      <c r="I24" s="115">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7"/>
      <c r="B25" s="114" t="s">
        <v>191</v>
      </c>
      <c r="C25" s="138"/>
      <c r="D25" s="110">
        <f t="shared" si="1"/>
        <v>0</v>
      </c>
      <c r="E25" s="133">
        <f t="shared" si="2"/>
        <v>0</v>
      </c>
      <c r="F25" s="139"/>
      <c r="G25" s="1367"/>
      <c r="H25" s="109">
        <f t="shared" si="6"/>
        <v>0</v>
      </c>
      <c r="I25" s="115">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7"/>
      <c r="B26" s="114" t="s">
        <v>191</v>
      </c>
      <c r="C26" s="141"/>
      <c r="D26" s="110">
        <f t="shared" si="1"/>
        <v>0</v>
      </c>
      <c r="E26" s="133">
        <f t="shared" si="2"/>
        <v>0</v>
      </c>
      <c r="F26" s="139"/>
      <c r="G26" s="1367"/>
      <c r="H26" s="109">
        <f t="shared" si="6"/>
        <v>0</v>
      </c>
      <c r="I26" s="115">
        <f t="shared" si="7"/>
        <v>0</v>
      </c>
      <c r="J26" s="1980"/>
      <c r="K26" s="2633">
        <f t="shared" si="3"/>
        <v>0</v>
      </c>
      <c r="L26" s="278">
        <f t="shared" si="4"/>
        <v>0</v>
      </c>
      <c r="M26" s="145">
        <f t="shared" si="8"/>
        <v>0</v>
      </c>
      <c r="N26" s="2634"/>
      <c r="O26" s="2635"/>
      <c r="P26" s="2636">
        <f t="shared" si="9"/>
        <v>0</v>
      </c>
      <c r="R26" s="273">
        <f t="shared" si="5"/>
        <v>0</v>
      </c>
      <c r="S26" s="2297">
        <f t="shared" si="5"/>
        <v>0</v>
      </c>
    </row>
    <row r="27" spans="1:19" ht="29.25" thickBot="1">
      <c r="A27" s="137"/>
      <c r="B27" s="110"/>
      <c r="C27" s="126" t="s">
        <v>180</v>
      </c>
      <c r="D27" s="133">
        <f>SUM(D19:D26)</f>
        <v>47298.94</v>
      </c>
      <c r="E27" s="142">
        <f>IF(SUM(E19:E26)='数据-基础表'!BA5,SUM(E19:E26),IF(F27="地上面积有误","面积有误","地下面积有误"))</f>
        <v>139217.02000000002</v>
      </c>
      <c r="F27" s="133">
        <f>IF(SUM(F19:F26)=E8,SUM(F19:F26),"地上面积有误")</f>
        <v>62049.45</v>
      </c>
      <c r="G27" s="111">
        <f>SUM(G19:G26)</f>
        <v>77167.570000000007</v>
      </c>
      <c r="H27" s="973">
        <f>SUM(H19:H26)</f>
        <v>8648.7400000000016</v>
      </c>
      <c r="I27" s="974">
        <f>SUM(I19:I26)</f>
        <v>25456.2</v>
      </c>
      <c r="J27" s="1980"/>
      <c r="K27" s="2637">
        <f>SUM(K19:K26)</f>
        <v>23537.800000000003</v>
      </c>
      <c r="L27" s="2638">
        <f>SUM(L19:L26)</f>
        <v>1918.4</v>
      </c>
      <c r="M27" s="2639">
        <f>SUM(M19:M26)</f>
        <v>25456.2</v>
      </c>
      <c r="N27" s="2637">
        <f t="shared" ref="N27:O27" si="10">SUM(N19:N26)</f>
        <v>0</v>
      </c>
      <c r="O27" s="2638">
        <f t="shared" si="10"/>
        <v>0</v>
      </c>
      <c r="P27" s="2640">
        <f>SUM(P19:P26)</f>
        <v>0</v>
      </c>
      <c r="R27" s="2301" t="str">
        <f>IF(SUM(R19:R26)=$D$3,SUM(R19:R26),SUM(R19:R26)&amp;"误差"&amp;ROUND(SUM(R19:R26)-$D$3,2))</f>
        <v>55947.68误差0.01</v>
      </c>
      <c r="S27" s="273">
        <f>IF(SUM(S19:S26)=$E$3,SUM(S19:S26),SUM(S19:S26)&amp;"误差"&amp;ROUND(SUM(S19:S26)-E3,2))</f>
        <v>164673.22</v>
      </c>
    </row>
    <row r="28" spans="1:19">
      <c r="A28" s="137"/>
      <c r="B28" s="114" t="s">
        <v>192</v>
      </c>
      <c r="C28" s="135" t="s">
        <v>193</v>
      </c>
      <c r="D28" s="110">
        <f>ROUND($D$3*E28/$E$3,2)</f>
        <v>7996.96</v>
      </c>
      <c r="E28" s="133">
        <f>SUM(F28:G28)</f>
        <v>23537.8</v>
      </c>
      <c r="F28" s="143">
        <f>'数据-基础表'!BQ5+'数据-基础表'!BS5</f>
        <v>310.85000000000002</v>
      </c>
      <c r="G28" s="144">
        <f>'数据-基础表'!BR5+'数据-基础表'!BT5</f>
        <v>23226.95</v>
      </c>
      <c r="H28" s="1980"/>
      <c r="I28" s="1980"/>
      <c r="J28" s="1980"/>
      <c r="K28" s="1980"/>
      <c r="L28" s="1980"/>
    </row>
    <row r="29" spans="1:19">
      <c r="A29" s="137"/>
      <c r="B29" s="114" t="s">
        <v>192</v>
      </c>
      <c r="C29" s="2309" t="s">
        <v>2283</v>
      </c>
      <c r="D29" s="110">
        <f>ROUND($D$3*E29/$E$3,2)</f>
        <v>651.78</v>
      </c>
      <c r="E29" s="133">
        <f>SUM(F29:G29)</f>
        <v>1918.4</v>
      </c>
      <c r="F29" s="143">
        <f>'数据-基础表'!BM5+'数据-基础表'!BO5</f>
        <v>553.72</v>
      </c>
      <c r="G29" s="145">
        <f>'数据-基础表'!BN5+'数据-基础表'!BP5</f>
        <v>1364.68</v>
      </c>
      <c r="H29" s="1980"/>
      <c r="I29" s="1980"/>
      <c r="J29" s="1980"/>
      <c r="K29" s="1980"/>
      <c r="L29" s="1980"/>
    </row>
    <row r="30" spans="1:19">
      <c r="A30" s="137"/>
      <c r="B30" s="110"/>
      <c r="C30" s="146" t="s">
        <v>180</v>
      </c>
      <c r="D30" s="133">
        <f>SUM(D28:D29)</f>
        <v>8648.74</v>
      </c>
      <c r="E30" s="133">
        <f>SUM(E28:E29)</f>
        <v>25456.2</v>
      </c>
      <c r="F30" s="133">
        <f>SUM(F28:F29)</f>
        <v>864.57</v>
      </c>
      <c r="G30" s="111">
        <f>SUM(G28:G29)</f>
        <v>24591.63</v>
      </c>
      <c r="H30" s="1980"/>
      <c r="I30" s="1980"/>
      <c r="J30" s="1980"/>
      <c r="K30" s="1980"/>
      <c r="L30" s="1980"/>
    </row>
    <row r="31" spans="1:19" ht="32.25" customHeight="1" thickBot="1">
      <c r="A31" s="1368"/>
      <c r="B31" s="1369" t="s">
        <v>194</v>
      </c>
      <c r="C31" s="2326" t="s">
        <v>2285</v>
      </c>
      <c r="D31" s="1370">
        <f>D27+D30</f>
        <v>55947.68</v>
      </c>
      <c r="E31" s="1370">
        <f>E27+E30</f>
        <v>164673.22000000003</v>
      </c>
      <c r="F31" s="1371">
        <f>F27+F30</f>
        <v>62914.02</v>
      </c>
      <c r="G31" s="1372">
        <f>G27+G30</f>
        <v>101759.20000000001</v>
      </c>
      <c r="H31" s="1980"/>
      <c r="I31" s="1980"/>
      <c r="J31" s="1980"/>
      <c r="K31" s="1980"/>
      <c r="L31" s="1980"/>
    </row>
    <row r="32" spans="1:19">
      <c r="A32" s="1980"/>
      <c r="B32" s="2359" t="s">
        <v>2284</v>
      </c>
      <c r="C32" s="2667"/>
      <c r="D32" s="1199"/>
      <c r="E32" s="1199">
        <f>SUMIF(C19:C26,"*住宅*",E19:E26)</f>
        <v>62049.45</v>
      </c>
      <c r="F32" s="1199"/>
      <c r="G32" s="1199"/>
    </row>
    <row r="33" spans="4:8">
      <c r="D33" s="1984"/>
    </row>
    <row r="36" spans="4:8">
      <c r="D36" s="1981">
        <f>D3+'[1]数据-汇总表'!$D$3</f>
        <v>122153.84</v>
      </c>
      <c r="E36" s="1981">
        <f>E3+'[1]数据-汇总表'!$E$3</f>
        <v>364299.10000000003</v>
      </c>
      <c r="H36" s="1981">
        <f>G21+G22+'[1]数据-汇总表'!$G$21+'[1]数据-汇总表'!$G$22</f>
        <v>179168.45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7"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8" t="s">
        <v>200</v>
      </c>
      <c r="B2" s="2334">
        <f>项目基本情况!D3</f>
        <v>43234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2287</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41" t="s">
        <v>2535</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2286</v>
      </c>
      <c r="AI5" s="170" t="s">
        <v>2255</v>
      </c>
      <c r="AJ5" s="170" t="s">
        <v>223</v>
      </c>
      <c r="AK5" s="158" t="s">
        <v>224</v>
      </c>
      <c r="AL5" s="158" t="s">
        <v>225</v>
      </c>
      <c r="AM5" s="171" t="s">
        <v>226</v>
      </c>
      <c r="AN5" s="2411" t="s">
        <v>2336</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2" t="s">
        <v>888</v>
      </c>
      <c r="D6" s="2304">
        <f>SUMIF(项目基本情况!D$15:I$15,C6,项目基本情况!D$18:I$18)</f>
        <v>70</v>
      </c>
      <c r="E6" s="2305">
        <f>IF(B6="","",SUMIF(项目基本情况!D$15:I$15,C6,项目基本情况!D$17:I$17))</f>
        <v>68461</v>
      </c>
      <c r="F6" s="173">
        <f>SUMIF(项目基本情况!D$15:I$15,C6,项目基本情况!D$19:I$19)</f>
        <v>69.11</v>
      </c>
      <c r="G6" s="174">
        <f>IF(ISERROR(ROUND(POWER(1+H6,D6-F6)*(POWER(1+H6,F6)-1)/(POWER(1+H6,D6)-1),3)),0,ROUND(POWER(1+H6,D6-F6)*(POWER(1+H6,F6)-1)/(POWER(1+H6,D6)-1),3))</f>
        <v>0.998</v>
      </c>
      <c r="H6" s="3205">
        <v>0.04</v>
      </c>
      <c r="I6" s="3046">
        <v>4.4999999999999998E-2</v>
      </c>
      <c r="J6" s="175">
        <v>8.5000000000000006E-2</v>
      </c>
      <c r="K6" s="178">
        <f>SUMIF('数据-汇总表'!C$19:C$33,'数据-取费表'!A6,'数据-汇总表'!E$19:E$33)</f>
        <v>62049.45</v>
      </c>
      <c r="L6" s="3047">
        <v>2500</v>
      </c>
      <c r="M6" s="176">
        <f t="shared" ref="M6:M14" si="0">ROUND(K6*L6/10000,0)</f>
        <v>15512</v>
      </c>
      <c r="N6" s="3048">
        <v>0</v>
      </c>
      <c r="O6" s="176">
        <f>IF($N$5="成新度","——",ROUND(M6*N6,0))</f>
        <v>0</v>
      </c>
      <c r="P6" s="177">
        <f>IF($N$5="成新度","——",M6-O6)</f>
        <v>15512</v>
      </c>
      <c r="Q6" s="3049">
        <v>0.1</v>
      </c>
      <c r="R6" s="178">
        <f>SUMIF('数据-汇总表'!C$19:C$33,A6,'数据-汇总表'!R$19:R$33)</f>
        <v>25297.329999999998</v>
      </c>
      <c r="S6" s="131">
        <f>IF('数据-汇总表'!$I$17="按面积比例",SUMIF('数据-汇总表'!C$19:C$33,A6,'数据-汇总表'!K$19:K$33),SUMIF('数据-汇总表'!C$19:C$33,A6,'数据-汇总表'!N$19:N$33))</f>
        <v>10490.87</v>
      </c>
      <c r="T6" s="2230">
        <f>IF($T$4="按面积比例",IF(ISERROR(ROUND($M$14*S6/S$16,0)),"0",ROUND($M$14*S6/S$16,0)),"需自行计算录入")</f>
        <v>2832</v>
      </c>
      <c r="U6" s="179"/>
      <c r="V6" s="180"/>
      <c r="W6" s="180"/>
      <c r="X6" s="2317"/>
      <c r="Y6" s="181"/>
      <c r="Z6" s="182"/>
      <c r="AA6" s="175"/>
      <c r="AB6" s="175"/>
      <c r="AC6" s="2320"/>
      <c r="AD6" s="183"/>
      <c r="AE6" s="970">
        <f ca="1">IF(AN6="",0,SUMIF(INDIRECT("'"&amp;AN6&amp;"'"&amp;"!E:E"),$AE$5,INDIRECT("'"&amp;AN6&amp;"'"&amp;"!F:F")))</f>
        <v>0</v>
      </c>
      <c r="AF6" s="140"/>
      <c r="AG6" s="1211">
        <f>IF(AF6="",0,AE6-AF6)</f>
        <v>0</v>
      </c>
      <c r="AH6" s="140"/>
      <c r="AI6" s="186"/>
      <c r="AJ6" s="187"/>
      <c r="AK6" s="188"/>
      <c r="AL6" s="189"/>
      <c r="AM6" s="3060"/>
      <c r="AN6" s="2412"/>
      <c r="AO6" s="1996"/>
      <c r="AP6" s="1202">
        <f>ROUND(1-1/(1+H6)^F6,3)</f>
        <v>0.93300000000000005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f>'数据-汇总表'!C20</f>
        <v>0</v>
      </c>
      <c r="B7" s="2333" t="str">
        <f t="shared" ref="B7:B13" si="1">IF(A7=0,"","经营性")</f>
        <v/>
      </c>
      <c r="C7" s="172" t="s">
        <v>888</v>
      </c>
      <c r="D7" s="2304">
        <f>SUMIF(项目基本情况!D$15:I$15,C7,项目基本情况!D$18:I$18)</f>
        <v>70</v>
      </c>
      <c r="E7" s="2305" t="str">
        <f>IF(B7="","",SUMIF(项目基本情况!D$15:I$15,C7,项目基本情况!D$17:I$17))</f>
        <v/>
      </c>
      <c r="F7" s="173">
        <f>SUMIF(项目基本情况!D$15:I$15,C7,项目基本情况!D$19:I$19)</f>
        <v>69.11</v>
      </c>
      <c r="G7" s="174">
        <f t="shared" ref="G7:G11" si="2">IF(ISERROR(ROUND(POWER(1+H7,D7-F7)*(POWER(1+H7,F7)-1)/(POWER(1+H7,D7)-1),3)),0,ROUND(POWER(1+H7,D7-F7)*(POWER(1+H7,F7)-1)/(POWER(1+H7,D7)-1),3))</f>
        <v>0.998</v>
      </c>
      <c r="H7" s="3205">
        <v>0.04</v>
      </c>
      <c r="I7" s="3046">
        <v>4.4999999999999998E-2</v>
      </c>
      <c r="J7" s="175">
        <v>8.5000000000000006E-2</v>
      </c>
      <c r="K7" s="178">
        <f>SUMIF('数据-汇总表'!C$19:C$33,'数据-取费表'!A7,'数据-汇总表'!E$19:E$33)</f>
        <v>0</v>
      </c>
      <c r="L7" s="3047">
        <f>L6</f>
        <v>2500</v>
      </c>
      <c r="M7" s="176">
        <f t="shared" si="0"/>
        <v>0</v>
      </c>
      <c r="N7" s="3048">
        <v>0</v>
      </c>
      <c r="O7" s="176">
        <f t="shared" ref="O7:O14" si="3">IF($N$5="成新度","——",ROUND(M7*N7,0))</f>
        <v>0</v>
      </c>
      <c r="P7" s="177">
        <f t="shared" ref="P7:P14" si="4">IF($N$5="成新度","——",M7-O7)</f>
        <v>0</v>
      </c>
      <c r="Q7" s="3049"/>
      <c r="R7" s="178">
        <f>SUMIF('数据-汇总表'!C$19:C$33,A7,'数据-汇总表'!R$19:R$33)</f>
        <v>0</v>
      </c>
      <c r="S7" s="131">
        <f>IF('数据-汇总表'!$I$17="按面积比例",SUMIF('数据-汇总表'!C$19:C$33,A7,'数据-汇总表'!K$19:K$33),SUMIF('数据-汇总表'!C$19:C$33,A7,'数据-汇总表'!N$19:N$33))</f>
        <v>0</v>
      </c>
      <c r="T7" s="2230">
        <f t="shared" ref="T7:T13" si="5">IF($T$4="按面积比例",IF(ISERROR(ROUND($M$14*S7/S$16,0)),"0",ROUND($M$14*S7/S$16,0)),"需自行计算录入")</f>
        <v>0</v>
      </c>
      <c r="U7" s="179"/>
      <c r="V7" s="180"/>
      <c r="W7" s="180"/>
      <c r="X7" s="2317"/>
      <c r="Y7" s="181"/>
      <c r="Z7" s="182"/>
      <c r="AA7" s="175"/>
      <c r="AB7" s="175"/>
      <c r="AC7" s="2320"/>
      <c r="AD7" s="183"/>
      <c r="AE7" s="970">
        <f t="shared" ref="AE7:AE13" ca="1" si="6">IF(AN7="",0,SUMIF(INDIRECT("'"&amp;AN7&amp;"'"&amp;"!E:E"),$AE$5,INDIRECT("'"&amp;AN7&amp;"'"&amp;"!F:F")))</f>
        <v>0</v>
      </c>
      <c r="AF7" s="140"/>
      <c r="AG7" s="1211">
        <f t="shared" ref="AG7:AG13" si="7">IF(AF7="",0,AE7-AF7)</f>
        <v>0</v>
      </c>
      <c r="AH7" s="140"/>
      <c r="AI7" s="186"/>
      <c r="AJ7" s="187"/>
      <c r="AK7" s="188"/>
      <c r="AL7" s="189"/>
      <c r="AM7" s="2410"/>
      <c r="AN7" s="2412"/>
      <c r="AO7" s="1996"/>
      <c r="AP7" s="1202">
        <f t="shared" ref="AP7:AP13" si="8">ROUND(1-1/(1+H7)^F7,3)</f>
        <v>0.93300000000000005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地下车库</v>
      </c>
      <c r="B8" s="2333" t="str">
        <f t="shared" si="1"/>
        <v>经营性</v>
      </c>
      <c r="C8" s="172" t="s">
        <v>2969</v>
      </c>
      <c r="D8" s="2304">
        <f>SUMIF(项目基本情况!D$15:I$15,C8,项目基本情况!D$18:I$18)</f>
        <v>50</v>
      </c>
      <c r="E8" s="2305">
        <f>IF(B8="","",SUMIF(项目基本情况!D$15:I$15,C8,项目基本情况!D$17:I$17))</f>
        <v>61156</v>
      </c>
      <c r="F8" s="173">
        <f>SUMIF(项目基本情况!D$15:I$15,C8,项目基本情况!D$19:I$19)</f>
        <v>49.1</v>
      </c>
      <c r="G8" s="174">
        <f t="shared" si="2"/>
        <v>0.995</v>
      </c>
      <c r="H8" s="3205">
        <v>4.4999999999999998E-2</v>
      </c>
      <c r="I8" s="3046">
        <v>0.05</v>
      </c>
      <c r="J8" s="175">
        <v>8.5000000000000006E-2</v>
      </c>
      <c r="K8" s="178">
        <f>SUMIF('数据-汇总表'!C$19:C$33,'数据-取费表'!A8,'数据-汇总表'!E$19:E$33)</f>
        <v>43743.43</v>
      </c>
      <c r="L8" s="3047">
        <v>2700</v>
      </c>
      <c r="M8" s="176">
        <f>ROUND(K8*L8/10000,0)</f>
        <v>11811</v>
      </c>
      <c r="N8" s="3048">
        <v>0</v>
      </c>
      <c r="O8" s="176">
        <f t="shared" si="3"/>
        <v>0</v>
      </c>
      <c r="P8" s="177">
        <f t="shared" si="4"/>
        <v>11811</v>
      </c>
      <c r="Q8" s="3049">
        <v>0.05</v>
      </c>
      <c r="R8" s="178">
        <f>SUMIF('数据-汇总表'!C$19:C$33,A8,'数据-汇总表'!R$19:R$33)</f>
        <v>17374.55</v>
      </c>
      <c r="S8" s="131">
        <f>IF('数据-汇总表'!$I$17="按面积比例",SUMIF('数据-汇总表'!C$19:C$33,A8,'数据-汇总表'!K$19:K$33),SUMIF('数据-汇总表'!C$19:C$33,A8,'数据-汇总表'!N$19:N$33))</f>
        <v>7395.82</v>
      </c>
      <c r="T8" s="2230">
        <f t="shared" si="5"/>
        <v>1997</v>
      </c>
      <c r="U8" s="3207">
        <v>1200</v>
      </c>
      <c r="V8" s="3208">
        <v>2.5000000000000001E-2</v>
      </c>
      <c r="W8" s="180">
        <v>0.1</v>
      </c>
      <c r="X8" s="2317"/>
      <c r="Y8" s="181">
        <v>1</v>
      </c>
      <c r="Z8" s="182"/>
      <c r="AA8" s="175"/>
      <c r="AB8" s="175"/>
      <c r="AC8" s="2320"/>
      <c r="AD8" s="183"/>
      <c r="AE8" s="970">
        <f t="shared" ca="1" si="6"/>
        <v>47.1</v>
      </c>
      <c r="AF8" s="140"/>
      <c r="AG8" s="1211">
        <f t="shared" si="7"/>
        <v>0</v>
      </c>
      <c r="AH8" s="140">
        <v>963</v>
      </c>
      <c r="AI8" s="186">
        <v>12</v>
      </c>
      <c r="AJ8" s="187"/>
      <c r="AK8" s="188">
        <v>1.4999999999999999E-2</v>
      </c>
      <c r="AL8" s="189">
        <v>1.5E-3</v>
      </c>
      <c r="AM8" s="2410">
        <v>0.01</v>
      </c>
      <c r="AN8" s="2412" t="s">
        <v>2938</v>
      </c>
      <c r="AO8" s="1996">
        <f>K8/35</f>
        <v>1249.8122857142857</v>
      </c>
      <c r="AP8" s="1202">
        <f t="shared" si="8"/>
        <v>0.88500000000000001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地下仓储</v>
      </c>
      <c r="B9" s="2333" t="str">
        <f t="shared" si="1"/>
        <v>经营性</v>
      </c>
      <c r="C9" s="172" t="s">
        <v>2970</v>
      </c>
      <c r="D9" s="2304">
        <f>SUMIF(项目基本情况!D$15:I$15,C9,项目基本情况!D$18:I$18)</f>
        <v>50</v>
      </c>
      <c r="E9" s="2305">
        <f>IF(B9="","",SUMIF(项目基本情况!D$15:I$15,C9,项目基本情况!D$17:I$17))</f>
        <v>61156</v>
      </c>
      <c r="F9" s="173">
        <f>SUMIF(项目基本情况!D$15:I$15,C9,项目基本情况!D$19:I$19)</f>
        <v>49.1</v>
      </c>
      <c r="G9" s="174">
        <f t="shared" si="2"/>
        <v>0.995</v>
      </c>
      <c r="H9" s="3206">
        <v>4.4999999999999998E-2</v>
      </c>
      <c r="I9" s="175">
        <v>0.05</v>
      </c>
      <c r="J9" s="175">
        <v>8.5000000000000006E-2</v>
      </c>
      <c r="K9" s="178">
        <f>SUMIF('数据-汇总表'!C$19:C$33,'数据-取费表'!A9,'数据-汇总表'!E$19:E$33)</f>
        <v>33424.14</v>
      </c>
      <c r="L9" s="192">
        <f>L8</f>
        <v>2700</v>
      </c>
      <c r="M9" s="176">
        <f t="shared" si="0"/>
        <v>9025</v>
      </c>
      <c r="N9" s="193">
        <v>0</v>
      </c>
      <c r="O9" s="176">
        <f t="shared" si="3"/>
        <v>0</v>
      </c>
      <c r="P9" s="177">
        <f t="shared" si="4"/>
        <v>9025</v>
      </c>
      <c r="Q9" s="191">
        <v>0.05</v>
      </c>
      <c r="R9" s="178">
        <f>SUMIF('数据-汇总表'!C$19:C$33,A9,'数据-汇总表'!R$19:R$33)</f>
        <v>13275.8</v>
      </c>
      <c r="S9" s="131">
        <f>IF('数据-汇总表'!$I$17="按面积比例",SUMIF('数据-汇总表'!C$19:C$33,A9,'数据-汇总表'!K$19:K$33),SUMIF('数据-汇总表'!C$19:C$33,A9,'数据-汇总表'!N$19:N$33))</f>
        <v>5651.11</v>
      </c>
      <c r="T9" s="2230">
        <f t="shared" si="5"/>
        <v>1526</v>
      </c>
      <c r="U9" s="3207">
        <v>1</v>
      </c>
      <c r="V9" s="3208">
        <v>2.5000000000000001E-2</v>
      </c>
      <c r="W9" s="180">
        <v>0.1</v>
      </c>
      <c r="X9" s="2317"/>
      <c r="Y9" s="181">
        <v>1</v>
      </c>
      <c r="Z9" s="182"/>
      <c r="AA9" s="175"/>
      <c r="AB9" s="175"/>
      <c r="AC9" s="2320"/>
      <c r="AD9" s="183"/>
      <c r="AE9" s="970">
        <f t="shared" ca="1" si="6"/>
        <v>47.1</v>
      </c>
      <c r="AF9" s="140"/>
      <c r="AG9" s="1211">
        <f t="shared" si="7"/>
        <v>0</v>
      </c>
      <c r="AH9" s="140"/>
      <c r="AI9" s="186">
        <v>365</v>
      </c>
      <c r="AJ9" s="187"/>
      <c r="AK9" s="188">
        <v>1.4999999999999999E-2</v>
      </c>
      <c r="AL9" s="189">
        <v>1.5E-3</v>
      </c>
      <c r="AM9" s="2410">
        <v>0.01</v>
      </c>
      <c r="AN9" s="2412" t="s">
        <v>2939</v>
      </c>
      <c r="AO9" s="1996"/>
      <c r="AP9" s="1202">
        <f t="shared" si="8"/>
        <v>0.88500000000000001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70">
        <f t="shared" ca="1" si="6"/>
        <v>0</v>
      </c>
      <c r="AF10" s="140"/>
      <c r="AG10" s="1211">
        <f t="shared" si="7"/>
        <v>0</v>
      </c>
      <c r="AH10" s="140"/>
      <c r="AI10" s="186"/>
      <c r="AJ10" s="187"/>
      <c r="AK10" s="188"/>
      <c r="AL10" s="189"/>
      <c r="AM10" s="2410"/>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4"/>
      <c r="AA11" s="175"/>
      <c r="AB11" s="175"/>
      <c r="AC11" s="2320"/>
      <c r="AD11" s="183"/>
      <c r="AE11" s="970">
        <f t="shared" ca="1" si="6"/>
        <v>0</v>
      </c>
      <c r="AF11" s="140"/>
      <c r="AG11" s="1211">
        <f t="shared" si="7"/>
        <v>0</v>
      </c>
      <c r="AH11" s="140"/>
      <c r="AI11" s="186"/>
      <c r="AJ11" s="187"/>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4"/>
      <c r="AA12" s="175"/>
      <c r="AB12" s="175"/>
      <c r="AC12" s="2320"/>
      <c r="AD12" s="183"/>
      <c r="AE12" s="970">
        <f t="shared" ca="1" si="6"/>
        <v>0</v>
      </c>
      <c r="AF12" s="140"/>
      <c r="AG12" s="1211">
        <f t="shared" si="7"/>
        <v>0</v>
      </c>
      <c r="AH12" s="140"/>
      <c r="AI12" s="186"/>
      <c r="AJ12" s="187"/>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70">
        <f t="shared" ca="1" si="6"/>
        <v>0</v>
      </c>
      <c r="AF13" s="140"/>
      <c r="AG13" s="1211">
        <f t="shared" si="7"/>
        <v>0</v>
      </c>
      <c r="AH13" s="140"/>
      <c r="AI13" s="186"/>
      <c r="AJ13" s="187"/>
      <c r="AK13" s="188"/>
      <c r="AL13" s="189"/>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2277</v>
      </c>
      <c r="B14" s="2302" t="s">
        <v>1644</v>
      </c>
      <c r="C14" s="2303" t="s">
        <v>2277</v>
      </c>
      <c r="D14" s="2304"/>
      <c r="E14" s="2305"/>
      <c r="F14" s="173"/>
      <c r="G14" s="174"/>
      <c r="H14" s="2306"/>
      <c r="I14" s="2306"/>
      <c r="J14" s="2306"/>
      <c r="K14" s="178">
        <f>SUMIF('数据-汇总表'!C$19:C$33,'数据-取费表'!A14,'数据-汇总表'!E$19:E$33)</f>
        <v>23537.8</v>
      </c>
      <c r="L14" s="192">
        <f>L9</f>
        <v>2700</v>
      </c>
      <c r="M14" s="176">
        <f t="shared" si="0"/>
        <v>6355</v>
      </c>
      <c r="N14" s="193">
        <v>0</v>
      </c>
      <c r="O14" s="176">
        <f t="shared" si="3"/>
        <v>0</v>
      </c>
      <c r="P14" s="177">
        <f t="shared" si="4"/>
        <v>6355</v>
      </c>
      <c r="Q14" s="2314"/>
      <c r="R14" s="178"/>
      <c r="S14" s="131"/>
      <c r="T14" s="2313"/>
      <c r="U14" s="972"/>
      <c r="V14" s="2316"/>
      <c r="W14" s="2316"/>
      <c r="X14" s="2317"/>
      <c r="Y14" s="2318"/>
      <c r="Z14" s="135"/>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2279</v>
      </c>
      <c r="B15" s="2302" t="s">
        <v>1644</v>
      </c>
      <c r="C15" s="2303" t="s">
        <v>2278</v>
      </c>
      <c r="D15" s="2304"/>
      <c r="E15" s="2305"/>
      <c r="F15" s="173"/>
      <c r="G15" s="174"/>
      <c r="H15" s="2306"/>
      <c r="I15" s="2306"/>
      <c r="J15" s="2306"/>
      <c r="K15" s="178">
        <f>SUMIF('数据-汇总表'!C$19:C$33,'数据-取费表'!A15,'数据-汇总表'!E$19:E$33)</f>
        <v>1918.4</v>
      </c>
      <c r="L15" s="2312"/>
      <c r="M15" s="176"/>
      <c r="N15" s="2315"/>
      <c r="O15" s="176"/>
      <c r="P15" s="177"/>
      <c r="Q15" s="2314"/>
      <c r="R15" s="178"/>
      <c r="S15" s="131"/>
      <c r="T15" s="2313"/>
      <c r="U15" s="972"/>
      <c r="V15" s="2316"/>
      <c r="W15" s="2316"/>
      <c r="X15" s="2317"/>
      <c r="Y15" s="2318"/>
      <c r="Z15" s="135"/>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227</v>
      </c>
      <c r="B16" s="198"/>
      <c r="C16" s="199"/>
      <c r="D16" s="200"/>
      <c r="E16" s="198"/>
      <c r="F16" s="198"/>
      <c r="G16" s="201">
        <f>ROUND(SUMPRODUCT(G6:G13,K6:K13)/SUMPRODUCT((G6:G13&gt;0)*(K6:K13)),3)</f>
        <v>0.996</v>
      </c>
      <c r="H16" s="202">
        <f>ROUND(SUMPRODUCT(H6:H13,K6:K13)/SUMPRODUCT((H6:H13&gt;0)*(K6:K13)),3)</f>
        <v>4.2999999999999997E-2</v>
      </c>
      <c r="I16" s="203"/>
      <c r="J16" s="203"/>
      <c r="K16" s="204">
        <f>SUM(K6:K15)</f>
        <v>164673.22</v>
      </c>
      <c r="L16" s="205">
        <f>ROUND(M16*10000/SUM(K6:K14),0)</f>
        <v>2624</v>
      </c>
      <c r="M16" s="205">
        <f>SUM(M6:M14)</f>
        <v>42703</v>
      </c>
      <c r="N16" s="206">
        <f>ROUND(SUMPRODUCT(M6:M14,N6:N14)/M16,3)</f>
        <v>0</v>
      </c>
      <c r="O16" s="205">
        <f>SUM(O6:O14)</f>
        <v>0</v>
      </c>
      <c r="P16" s="205">
        <f>SUM(P6:P14)</f>
        <v>42703</v>
      </c>
      <c r="Q16" s="207">
        <f>ROUND(SUMPRODUCT(Q6:Q13,K6:K13)/SUMPRODUCT((Q6:Q13&gt;0)*(K6:K13)),2)</f>
        <v>7.0000000000000007E-2</v>
      </c>
      <c r="R16" s="2307">
        <f>SUM(R6:R13)</f>
        <v>55947.679999999993</v>
      </c>
      <c r="S16" s="208">
        <f>SUM(S6:S13)</f>
        <v>23537.800000000003</v>
      </c>
      <c r="T16" s="209">
        <f>IF(SUMIF(T6:T13,"&lt;9E307")=M14,SUMIF(T6:T13,"&lt;9E307"),"有误，请检查")</f>
        <v>6355</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0.90600000000000003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2300</v>
      </c>
      <c r="B27" s="226">
        <v>160</v>
      </c>
      <c r="C27" s="2363" t="s">
        <v>2304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2301</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2299</v>
      </c>
      <c r="B29" s="231">
        <v>0</v>
      </c>
      <c r="C29" s="1550"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238</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239</v>
      </c>
      <c r="B31" s="229">
        <f>B30-B32</f>
        <v>120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240</v>
      </c>
      <c r="B32" s="1375">
        <v>80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243</v>
      </c>
      <c r="B33" s="1376">
        <v>0.03</v>
      </c>
      <c r="C33" s="2361" t="s">
        <v>2853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232">
        <v>0.05</v>
      </c>
      <c r="C34" s="2361" t="s">
        <v>2854</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1" t="s">
        <v>2855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1" t="s">
        <v>2857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1" t="s">
        <v>2857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2419</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2420</v>
      </c>
      <c r="B40" s="2501">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61" t="s">
        <v>2858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3" t="s">
        <v>2859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3" t="s">
        <v>2860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95" t="s">
        <v>2861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245">
        <v>0.03</v>
      </c>
      <c r="C48" s="3096" t="s">
        <v>2862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96" t="s">
        <v>2863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258</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3209" t="s">
        <v>1373</v>
      </c>
      <c r="C53" s="3097" t="s">
        <v>2864</v>
      </c>
      <c r="D53" s="3098" t="s">
        <v>2865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2866</v>
      </c>
      <c r="B54" s="185"/>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2867</v>
      </c>
      <c r="B55" s="185"/>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2868</v>
      </c>
      <c r="B56" s="185"/>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2869</v>
      </c>
      <c r="B57" s="185"/>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2870</v>
      </c>
      <c r="B58" s="185">
        <v>3</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2871</v>
      </c>
      <c r="B59" s="185"/>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2872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2873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2874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2875</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25" t="s">
        <v>1628</v>
      </c>
      <c r="B1" s="3326"/>
      <c r="C1" s="3326"/>
      <c r="D1" s="3326"/>
      <c r="E1" s="3326"/>
      <c r="F1" s="3326"/>
      <c r="G1" s="3326"/>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67.5">
      <c r="A3" s="1225" t="s">
        <v>1631</v>
      </c>
      <c r="B3" s="1226" t="s">
        <v>1618</v>
      </c>
      <c r="C3" s="3185" t="s">
        <v>2973</v>
      </c>
      <c r="D3" s="2005"/>
      <c r="E3" s="1227" t="s">
        <v>1631</v>
      </c>
      <c r="F3" s="1228" t="s">
        <v>1619</v>
      </c>
      <c r="G3" s="3105"/>
      <c r="H3" s="2004"/>
      <c r="I3" s="2004"/>
      <c r="J3" s="2004"/>
      <c r="K3" s="2004"/>
      <c r="L3" s="2004"/>
      <c r="M3" s="2004"/>
      <c r="N3" s="2004"/>
      <c r="O3" s="2004"/>
      <c r="P3" s="2004"/>
      <c r="Q3" s="2004"/>
      <c r="R3" s="2004"/>
    </row>
    <row r="4" spans="1:18" ht="14.25">
      <c r="A4" s="1227"/>
      <c r="B4" s="1229" t="s">
        <v>1632</v>
      </c>
      <c r="C4" s="3102"/>
      <c r="D4" s="2005"/>
      <c r="E4" s="1230"/>
      <c r="F4" s="1231" t="s">
        <v>1633</v>
      </c>
      <c r="G4" s="3103"/>
      <c r="H4" s="2004"/>
      <c r="I4" s="2004"/>
      <c r="J4" s="2004"/>
      <c r="K4" s="2004"/>
      <c r="L4" s="2004"/>
      <c r="M4" s="2004"/>
      <c r="N4" s="2004"/>
      <c r="O4" s="2004"/>
      <c r="P4" s="2004"/>
      <c r="Q4" s="2004"/>
      <c r="R4" s="2004"/>
    </row>
    <row r="5" spans="1:18" ht="14.25">
      <c r="A5" s="1227"/>
      <c r="B5" s="1229" t="s">
        <v>1634</v>
      </c>
      <c r="C5" s="3102"/>
      <c r="D5" s="2005"/>
      <c r="E5" s="1230"/>
      <c r="F5" s="1229" t="s">
        <v>2509</v>
      </c>
      <c r="G5" s="3103"/>
      <c r="H5" s="2004"/>
      <c r="I5" s="2004"/>
      <c r="J5" s="2004"/>
      <c r="K5" s="2004"/>
      <c r="L5" s="2004"/>
      <c r="M5" s="2004"/>
      <c r="N5" s="2004"/>
      <c r="O5" s="2004"/>
      <c r="P5" s="2004"/>
      <c r="Q5" s="2004"/>
      <c r="R5" s="2004"/>
    </row>
    <row r="6" spans="1:18" ht="54">
      <c r="A6" s="1227"/>
      <c r="B6" s="1229" t="s">
        <v>1620</v>
      </c>
      <c r="C6" s="3186" t="s">
        <v>2974</v>
      </c>
      <c r="D6" s="2005"/>
      <c r="E6" s="1230"/>
      <c r="F6" s="1229" t="s">
        <v>2510</v>
      </c>
      <c r="G6" s="3103"/>
      <c r="H6" s="2004"/>
      <c r="I6" s="2004"/>
      <c r="J6" s="2004"/>
      <c r="K6" s="2004"/>
      <c r="L6" s="2004"/>
      <c r="M6" s="2004"/>
      <c r="N6" s="2004"/>
      <c r="O6" s="2004"/>
      <c r="P6" s="2004"/>
      <c r="Q6" s="2004"/>
      <c r="R6" s="2004"/>
    </row>
    <row r="7" spans="1:18" ht="27.75" thickBot="1">
      <c r="A7" s="1227"/>
      <c r="B7" s="1229" t="s">
        <v>2509</v>
      </c>
      <c r="C7" s="3186" t="s">
        <v>2975</v>
      </c>
      <c r="D7" s="2006"/>
      <c r="E7" s="1232"/>
      <c r="F7" s="1233" t="s">
        <v>1635</v>
      </c>
      <c r="G7" s="3106"/>
      <c r="H7" s="2004"/>
      <c r="I7" s="2004"/>
      <c r="J7" s="2004"/>
      <c r="K7" s="2004"/>
      <c r="L7" s="2004"/>
      <c r="M7" s="2004"/>
      <c r="N7" s="2004"/>
      <c r="O7" s="2004"/>
      <c r="P7" s="2004"/>
      <c r="Q7" s="2004"/>
      <c r="R7" s="2004"/>
    </row>
    <row r="8" spans="1:18" ht="27">
      <c r="A8" s="1227"/>
      <c r="B8" s="1229" t="s">
        <v>2510</v>
      </c>
      <c r="C8" s="3186" t="s">
        <v>2976</v>
      </c>
      <c r="D8" s="2006"/>
      <c r="E8" s="2006"/>
      <c r="F8" s="1551"/>
      <c r="G8" s="1551"/>
      <c r="H8" s="2004"/>
      <c r="I8" s="2004"/>
      <c r="J8" s="2004"/>
      <c r="K8" s="2004"/>
      <c r="L8" s="2004"/>
      <c r="M8" s="2004"/>
      <c r="N8" s="2004"/>
      <c r="O8" s="2004"/>
      <c r="P8" s="2004"/>
      <c r="Q8" s="2004"/>
      <c r="R8" s="2004"/>
    </row>
    <row r="9" spans="1:18" ht="40.5">
      <c r="A9" s="1227"/>
      <c r="B9" s="1229" t="s">
        <v>1621</v>
      </c>
      <c r="C9" s="3187" t="s">
        <v>2977</v>
      </c>
      <c r="D9" s="2005"/>
      <c r="E9" s="2006"/>
      <c r="F9" s="1551"/>
      <c r="G9" s="1551"/>
      <c r="H9" s="2004"/>
      <c r="I9" s="2004"/>
      <c r="J9" s="2004"/>
      <c r="K9" s="2004"/>
      <c r="L9" s="2004"/>
      <c r="M9" s="2004"/>
      <c r="N9" s="2004"/>
      <c r="O9" s="2004"/>
      <c r="P9" s="2004"/>
      <c r="Q9" s="2004"/>
      <c r="R9" s="2004"/>
    </row>
    <row r="10" spans="1:18" s="2012" customFormat="1" ht="15" thickBot="1">
      <c r="A10" s="1234"/>
      <c r="B10" s="1235" t="s">
        <v>1636</v>
      </c>
      <c r="C10" s="3104" t="s">
        <v>2983</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1637</v>
      </c>
      <c r="B13" s="2598"/>
      <c r="C13" s="2598"/>
      <c r="D13" s="1222"/>
      <c r="E13" s="2598"/>
      <c r="F13" s="2598"/>
      <c r="G13" s="2598"/>
    </row>
    <row r="14" spans="1:18" ht="14.25" thickBot="1">
      <c r="A14" s="1236"/>
      <c r="B14" s="1237"/>
      <c r="C14" s="1238" t="s">
        <v>1629</v>
      </c>
      <c r="D14" s="2005"/>
      <c r="E14" s="1239"/>
      <c r="F14" s="1239"/>
      <c r="G14" s="1221" t="s">
        <v>1630</v>
      </c>
    </row>
    <row r="15" spans="1:18" ht="67.5">
      <c r="A15" s="2608" t="s">
        <v>1622</v>
      </c>
      <c r="B15" s="1240" t="s">
        <v>1618</v>
      </c>
      <c r="C15" s="1241" t="str">
        <f>C3</f>
        <v>估价对象周边居住用地比例一般、居住小区规模和社区发展完善程度一般，综合评价居住社区成熟度一般</v>
      </c>
      <c r="D15" s="2005"/>
      <c r="E15" s="2605" t="s">
        <v>1623</v>
      </c>
      <c r="F15" s="1240" t="s">
        <v>1638</v>
      </c>
      <c r="G15" s="1242">
        <f>G3</f>
        <v>0</v>
      </c>
    </row>
    <row r="16" spans="1:18">
      <c r="A16" s="2609"/>
      <c r="B16" s="1243" t="s">
        <v>1632</v>
      </c>
      <c r="C16" s="1244">
        <f>C4</f>
        <v>0</v>
      </c>
      <c r="D16" s="2005"/>
      <c r="E16" s="2606"/>
      <c r="F16" s="1245" t="s">
        <v>1633</v>
      </c>
      <c r="G16" s="1003">
        <f>G4</f>
        <v>0</v>
      </c>
    </row>
    <row r="17" spans="1:7" ht="14.25">
      <c r="A17" s="2609"/>
      <c r="B17" s="1243" t="s">
        <v>1634</v>
      </c>
      <c r="C17" s="1244">
        <f>C5</f>
        <v>0</v>
      </c>
      <c r="D17" s="2006"/>
      <c r="E17" s="2606"/>
      <c r="F17" s="1245" t="s">
        <v>1639</v>
      </c>
      <c r="G17" s="2814"/>
    </row>
    <row r="18" spans="1:7" ht="54">
      <c r="A18" s="2609"/>
      <c r="B18" s="1245" t="s">
        <v>1620</v>
      </c>
      <c r="C18" s="1003" t="str">
        <f>C6</f>
        <v>估价对象周边道路状况较好、公共交通通达情况较好、停车便捷程度较好，综合评价交通便捷度较好</v>
      </c>
      <c r="D18" s="2006"/>
      <c r="E18" s="2606"/>
      <c r="F18" s="1245" t="s">
        <v>1635</v>
      </c>
      <c r="G18" s="1003">
        <f>G7</f>
        <v>0</v>
      </c>
    </row>
    <row r="19" spans="1:7">
      <c r="A19" s="2609"/>
      <c r="B19" s="1245" t="s">
        <v>1624</v>
      </c>
      <c r="C19" s="3184" t="s">
        <v>2971</v>
      </c>
      <c r="D19" s="2005"/>
      <c r="E19" s="2606"/>
      <c r="F19" s="1229" t="s">
        <v>2509</v>
      </c>
      <c r="G19" s="1003">
        <f>G5</f>
        <v>0</v>
      </c>
    </row>
    <row r="20" spans="1:7" ht="40.5">
      <c r="A20" s="2609"/>
      <c r="B20" s="1245" t="s">
        <v>1625</v>
      </c>
      <c r="C20" s="1244" t="str">
        <f>C9</f>
        <v>区域自然环境及人文环境较好；综合评价环境状况较好</v>
      </c>
      <c r="D20" s="2006"/>
      <c r="E20" s="2606"/>
      <c r="F20" s="1229" t="s">
        <v>2510</v>
      </c>
      <c r="G20" s="1003">
        <f>G6</f>
        <v>0</v>
      </c>
    </row>
    <row r="21" spans="1:7" ht="27">
      <c r="A21" s="2609"/>
      <c r="B21" s="1229" t="s">
        <v>2509</v>
      </c>
      <c r="C21" s="1003" t="str">
        <f>C7</f>
        <v>估价对象所在区域公共配套设施齐备情况一般</v>
      </c>
      <c r="D21" s="2005"/>
      <c r="E21" s="2606"/>
      <c r="F21" s="1245" t="s">
        <v>1626</v>
      </c>
      <c r="G21" s="3107"/>
    </row>
    <row r="22" spans="1:7" ht="27">
      <c r="A22" s="2609"/>
      <c r="B22" s="1229" t="s">
        <v>2510</v>
      </c>
      <c r="C22" s="1003" t="str">
        <f>C8</f>
        <v>估价对象所在区域基础设施水平好</v>
      </c>
      <c r="D22" s="2005"/>
      <c r="E22" s="2606"/>
      <c r="F22" s="1245" t="s">
        <v>1636</v>
      </c>
      <c r="G22" s="2814"/>
    </row>
    <row r="23" spans="1:7" ht="15" thickBot="1">
      <c r="A23" s="2609"/>
      <c r="B23" s="1245" t="s">
        <v>1626</v>
      </c>
      <c r="C23" s="3107" t="s">
        <v>2972</v>
      </c>
      <c r="E23" s="2607"/>
      <c r="F23" s="1246" t="s">
        <v>1640</v>
      </c>
      <c r="G23" s="3108"/>
    </row>
    <row r="24" spans="1:7" ht="14.25" thickBot="1">
      <c r="A24" s="2610"/>
      <c r="B24" s="1246" t="s">
        <v>1627</v>
      </c>
      <c r="C24" s="1247" t="str">
        <f>C10</f>
        <v>城市主干道-泉湖西路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4" sqref="G14:G15"/>
    </sheetView>
  </sheetViews>
  <sheetFormatPr defaultColWidth="14.625" defaultRowHeight="13.5"/>
  <cols>
    <col min="1" max="1" width="24.375" customWidth="1"/>
  </cols>
  <sheetData>
    <row r="1" spans="1:9" ht="16.5">
      <c r="A1" s="3066" t="s">
        <v>2806</v>
      </c>
      <c r="B1" s="3066">
        <f>SUM(B14:B23)</f>
        <v>364299.10000000003</v>
      </c>
      <c r="C1" s="3067"/>
      <c r="D1" s="3067"/>
      <c r="E1" s="3067"/>
      <c r="F1" s="3067"/>
    </row>
    <row r="2" spans="1:9" ht="16.5">
      <c r="A2" s="3066" t="s">
        <v>2807</v>
      </c>
      <c r="B2" s="3066">
        <f>SUM(C14:C23)</f>
        <v>122153.84</v>
      </c>
      <c r="C2" s="3067"/>
      <c r="D2" s="3067"/>
      <c r="E2" s="3067"/>
      <c r="F2" s="3067"/>
    </row>
    <row r="3" spans="1:9" ht="16.5">
      <c r="A3" s="3066" t="s">
        <v>2808</v>
      </c>
      <c r="B3" s="3068">
        <f>项目基本情况!D3</f>
        <v>43234</v>
      </c>
      <c r="C3" s="3067"/>
      <c r="D3" s="3067"/>
      <c r="E3" s="3067"/>
      <c r="F3" s="3067"/>
    </row>
    <row r="4" spans="1:9" ht="33">
      <c r="A4" s="3066" t="s">
        <v>2809</v>
      </c>
      <c r="B4" s="3066" t="s">
        <v>2810</v>
      </c>
      <c r="C4" s="3066" t="s">
        <v>2811</v>
      </c>
      <c r="D4" s="3066" t="s">
        <v>2812</v>
      </c>
      <c r="E4" s="3067"/>
      <c r="F4" s="3067"/>
    </row>
    <row r="5" spans="1:9" ht="16.5">
      <c r="A5" s="3066" t="s">
        <v>2813</v>
      </c>
      <c r="B5" s="3066">
        <f ca="1">SUM(D14:D23)</f>
        <v>377107</v>
      </c>
      <c r="C5" s="3066">
        <f ca="1">ROUND(B5*10000/$B$1,0)</f>
        <v>10352</v>
      </c>
      <c r="D5" s="3066">
        <f ca="1">ROUND(B5*10000/$B$2,0)</f>
        <v>30871</v>
      </c>
      <c r="E5" s="3067"/>
      <c r="F5" s="3067"/>
    </row>
    <row r="6" spans="1:9" ht="16.5">
      <c r="A6" s="3066" t="s">
        <v>2814</v>
      </c>
      <c r="B6" s="3066">
        <f ca="1">SUM(G14:G23)</f>
        <v>358274</v>
      </c>
      <c r="C6" s="3066">
        <f t="shared" ref="C6:C8" ca="1" si="0">ROUND(B6*10000/$B$1,0)</f>
        <v>9835</v>
      </c>
      <c r="D6" s="3066">
        <f t="shared" ref="D6:D8" ca="1" si="1">ROUND(B6*10000/$B$2,0)</f>
        <v>29330</v>
      </c>
      <c r="E6" s="3067"/>
      <c r="F6" s="3067"/>
    </row>
    <row r="7" spans="1:9" ht="16.5">
      <c r="A7" s="3066" t="s">
        <v>2815</v>
      </c>
      <c r="B7" s="3066">
        <f>SUM(H14:H23)</f>
        <v>0</v>
      </c>
      <c r="C7" s="3066">
        <f t="shared" si="0"/>
        <v>0</v>
      </c>
      <c r="D7" s="3066">
        <f t="shared" si="1"/>
        <v>0</v>
      </c>
      <c r="E7" s="3067"/>
      <c r="F7" s="3067"/>
    </row>
    <row r="8" spans="1:9" ht="16.5">
      <c r="A8" s="3066" t="s">
        <v>2816</v>
      </c>
      <c r="B8" s="3066">
        <f>SUM(I14:I23)</f>
        <v>0</v>
      </c>
      <c r="C8" s="3066">
        <f t="shared" si="0"/>
        <v>0</v>
      </c>
      <c r="D8" s="3066">
        <f t="shared" si="1"/>
        <v>0</v>
      </c>
      <c r="E8" s="3067"/>
      <c r="F8" s="3067"/>
    </row>
    <row r="9" spans="1:9" ht="16.5">
      <c r="A9" s="3066" t="s">
        <v>2817</v>
      </c>
      <c r="B9" s="3069"/>
      <c r="C9" s="3067"/>
      <c r="D9" s="3067"/>
      <c r="E9" s="3067"/>
      <c r="F9" s="3067"/>
    </row>
    <row r="10" spans="1:9" ht="16.5">
      <c r="A10" s="3066" t="s">
        <v>2818</v>
      </c>
      <c r="B10" s="3069"/>
      <c r="C10" s="3067"/>
      <c r="D10" s="3067"/>
      <c r="E10" s="3067"/>
      <c r="F10" s="3067"/>
    </row>
    <row r="11" spans="1:9" ht="16.5">
      <c r="A11" s="3066" t="s">
        <v>2835</v>
      </c>
      <c r="B11" s="3069"/>
      <c r="C11" s="3067"/>
      <c r="D11" s="3067"/>
      <c r="E11" s="3067"/>
      <c r="F11" s="3067"/>
    </row>
    <row r="12" spans="1:9" ht="16.5">
      <c r="A12" s="3067"/>
      <c r="B12" s="3067"/>
      <c r="C12" s="3067"/>
      <c r="D12" s="3067"/>
      <c r="E12" s="3067"/>
      <c r="F12" s="3067"/>
    </row>
    <row r="13" spans="1:9" ht="33">
      <c r="A13" s="3072" t="s">
        <v>2834</v>
      </c>
      <c r="B13" s="3070" t="s">
        <v>2806</v>
      </c>
      <c r="C13" s="3070" t="s">
        <v>2807</v>
      </c>
      <c r="D13" s="3070" t="s">
        <v>2819</v>
      </c>
      <c r="E13" s="3066" t="s">
        <v>2833</v>
      </c>
      <c r="F13" s="3066" t="s">
        <v>2812</v>
      </c>
      <c r="G13" s="3070" t="s">
        <v>2820</v>
      </c>
      <c r="H13" s="3070" t="s">
        <v>2821</v>
      </c>
      <c r="I13" s="3070" t="s">
        <v>2822</v>
      </c>
    </row>
    <row r="14" spans="1:9" ht="16.5">
      <c r="A14" s="3073" t="s">
        <v>2832</v>
      </c>
      <c r="B14" s="3070">
        <f>结果表!L38</f>
        <v>164673.22000000003</v>
      </c>
      <c r="C14" s="3070">
        <f>结果表!K38</f>
        <v>55947.67</v>
      </c>
      <c r="D14" s="3070">
        <f ca="1">结果表!C42</f>
        <v>174713</v>
      </c>
      <c r="E14" s="3070">
        <f ca="1">ROUND(D14*10000/B14,0)</f>
        <v>10610</v>
      </c>
      <c r="F14" s="3070">
        <f ca="1">ROUND(D14*10000/C14,0)</f>
        <v>31228</v>
      </c>
      <c r="G14" s="3070">
        <f ca="1">结果表!C44</f>
        <v>166632</v>
      </c>
      <c r="H14" s="3070" t="str">
        <f>结果表!C45</f>
        <v>——</v>
      </c>
      <c r="I14" s="3070" t="str">
        <f>结果表!C46</f>
        <v>——</v>
      </c>
    </row>
    <row r="15" spans="1:9" ht="16.5">
      <c r="A15" s="3073" t="s">
        <v>2823</v>
      </c>
      <c r="B15" s="3074">
        <f>[2]结果表!$L$38</f>
        <v>199625.88</v>
      </c>
      <c r="C15" s="3074">
        <f>[2]结果表!$K$38</f>
        <v>66206.17</v>
      </c>
      <c r="D15" s="3074">
        <f ca="1">[3]结果表!$G$19</f>
        <v>202394</v>
      </c>
      <c r="E15" s="3070">
        <f t="shared" ref="E15:E23" ca="1" si="2">ROUND(D15*10000/B15,0)</f>
        <v>10139</v>
      </c>
      <c r="F15" s="3070">
        <f t="shared" ref="F15:F23" ca="1" si="3">ROUND(D15*10000/C15,0)</f>
        <v>30570</v>
      </c>
      <c r="G15" s="3071">
        <f ca="1">[3]结果表!$C$44</f>
        <v>191642</v>
      </c>
      <c r="H15" s="3071"/>
      <c r="I15" s="3074"/>
    </row>
    <row r="16" spans="1:9" ht="16.5">
      <c r="A16" s="3073" t="s">
        <v>2824</v>
      </c>
      <c r="B16" s="3074"/>
      <c r="C16" s="3074"/>
      <c r="D16" s="3074"/>
      <c r="E16" s="3070" t="e">
        <f t="shared" si="2"/>
        <v>#DIV/0!</v>
      </c>
      <c r="F16" s="3070" t="e">
        <f t="shared" si="3"/>
        <v>#DIV/0!</v>
      </c>
      <c r="G16" s="3071"/>
      <c r="H16" s="3071"/>
      <c r="I16" s="3074"/>
    </row>
    <row r="17" spans="1:9" ht="16.5">
      <c r="A17" s="3073" t="s">
        <v>2825</v>
      </c>
      <c r="B17" s="3074"/>
      <c r="C17" s="3074"/>
      <c r="D17" s="3074"/>
      <c r="E17" s="3070" t="e">
        <f t="shared" si="2"/>
        <v>#DIV/0!</v>
      </c>
      <c r="F17" s="3070" t="e">
        <f t="shared" si="3"/>
        <v>#DIV/0!</v>
      </c>
      <c r="G17" s="3071"/>
      <c r="H17" s="3071"/>
      <c r="I17" s="3074"/>
    </row>
    <row r="18" spans="1:9" ht="16.5">
      <c r="A18" s="3073" t="s">
        <v>2826</v>
      </c>
      <c r="B18" s="3074"/>
      <c r="C18" s="3074"/>
      <c r="D18" s="3074"/>
      <c r="E18" s="3070" t="e">
        <f t="shared" si="2"/>
        <v>#DIV/0!</v>
      </c>
      <c r="F18" s="3070" t="e">
        <f t="shared" si="3"/>
        <v>#DIV/0!</v>
      </c>
      <c r="G18" s="3074"/>
      <c r="H18" s="3074"/>
      <c r="I18" s="3074"/>
    </row>
    <row r="19" spans="1:9" ht="16.5">
      <c r="A19" s="3073" t="s">
        <v>2827</v>
      </c>
      <c r="B19" s="3074"/>
      <c r="C19" s="3074"/>
      <c r="D19" s="3074"/>
      <c r="E19" s="3070" t="e">
        <f t="shared" si="2"/>
        <v>#DIV/0!</v>
      </c>
      <c r="F19" s="3070" t="e">
        <f t="shared" si="3"/>
        <v>#DIV/0!</v>
      </c>
      <c r="G19" s="3074"/>
      <c r="H19" s="3074"/>
      <c r="I19" s="3074"/>
    </row>
    <row r="20" spans="1:9" ht="16.5">
      <c r="A20" s="3073" t="s">
        <v>2828</v>
      </c>
      <c r="B20" s="3074"/>
      <c r="C20" s="3074"/>
      <c r="D20" s="3074"/>
      <c r="E20" s="3070" t="e">
        <f t="shared" si="2"/>
        <v>#DIV/0!</v>
      </c>
      <c r="F20" s="3070" t="e">
        <f t="shared" si="3"/>
        <v>#DIV/0!</v>
      </c>
      <c r="G20" s="3074"/>
      <c r="H20" s="3074"/>
      <c r="I20" s="3074"/>
    </row>
    <row r="21" spans="1:9" ht="16.5">
      <c r="A21" s="3073" t="s">
        <v>2829</v>
      </c>
      <c r="B21" s="3074"/>
      <c r="C21" s="3074"/>
      <c r="D21" s="3074"/>
      <c r="E21" s="3070" t="e">
        <f t="shared" si="2"/>
        <v>#DIV/0!</v>
      </c>
      <c r="F21" s="3070" t="e">
        <f t="shared" si="3"/>
        <v>#DIV/0!</v>
      </c>
      <c r="G21" s="3074"/>
      <c r="H21" s="3074"/>
      <c r="I21" s="3074"/>
    </row>
    <row r="22" spans="1:9" ht="16.5">
      <c r="A22" s="3073" t="s">
        <v>2830</v>
      </c>
      <c r="B22" s="3074"/>
      <c r="C22" s="3074"/>
      <c r="D22" s="3074"/>
      <c r="E22" s="3070" t="e">
        <f t="shared" si="2"/>
        <v>#DIV/0!</v>
      </c>
      <c r="F22" s="3070" t="e">
        <f t="shared" si="3"/>
        <v>#DIV/0!</v>
      </c>
      <c r="G22" s="3074"/>
      <c r="H22" s="3074"/>
      <c r="I22" s="3074"/>
    </row>
    <row r="23" spans="1:9" ht="16.5">
      <c r="A23" s="3073" t="s">
        <v>2831</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4" sqref="F2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2018</v>
      </c>
      <c r="B1" s="1773"/>
      <c r="C1" s="1801" t="s">
        <v>2019</v>
      </c>
      <c r="D1" s="1802"/>
      <c r="E1" s="1801" t="s">
        <v>2020</v>
      </c>
      <c r="F1" s="1803"/>
      <c r="G1" s="309"/>
      <c r="H1" s="309"/>
      <c r="I1" s="309"/>
      <c r="J1" s="2025"/>
      <c r="K1" s="2025"/>
      <c r="L1" s="2025"/>
      <c r="M1" s="2025"/>
      <c r="N1" s="2025"/>
      <c r="O1" s="2025"/>
      <c r="P1" s="2025"/>
      <c r="Q1" s="2025"/>
      <c r="R1" s="2025"/>
      <c r="S1" s="2025"/>
      <c r="T1" s="2025"/>
      <c r="U1" s="2025"/>
      <c r="V1" s="2025"/>
    </row>
    <row r="2" spans="1:22" ht="21.75" customHeight="1" thickBot="1">
      <c r="A2" s="3372" t="str">
        <f>项目基本情况!K2</f>
        <v>北京市丰台区王佐镇怪村0024出让国有建设用地使用权</v>
      </c>
      <c r="B2" s="3373"/>
      <c r="C2" s="3374"/>
      <c r="D2" s="3374"/>
      <c r="E2" s="3374"/>
      <c r="F2" s="3374"/>
      <c r="G2" s="3373"/>
      <c r="H2" s="3373"/>
      <c r="I2" s="3375"/>
      <c r="J2" s="2026"/>
      <c r="K2" s="2025"/>
      <c r="L2" s="2025"/>
      <c r="M2" s="2025"/>
      <c r="N2" s="2025"/>
      <c r="O2" s="2025"/>
      <c r="P2" s="2025"/>
      <c r="Q2" s="2025"/>
      <c r="R2" s="2025"/>
      <c r="S2" s="2025"/>
      <c r="T2" s="2025"/>
      <c r="U2" s="2025"/>
      <c r="V2" s="2025"/>
    </row>
    <row r="3" spans="1:22" ht="14.25">
      <c r="A3" s="3383" t="s">
        <v>263</v>
      </c>
      <c r="B3" s="3384"/>
      <c r="C3" s="3384"/>
      <c r="D3" s="3384"/>
      <c r="E3" s="3384"/>
      <c r="F3" s="3384"/>
      <c r="G3" s="3384"/>
      <c r="H3" s="3384"/>
      <c r="I3" s="3384"/>
      <c r="J3" s="2026"/>
      <c r="K3" s="2025"/>
      <c r="L3" s="2025"/>
      <c r="M3" s="2025"/>
      <c r="N3" s="2025"/>
      <c r="O3" s="2025"/>
      <c r="P3" s="2025"/>
      <c r="Q3" s="2025"/>
      <c r="R3" s="2025"/>
      <c r="S3" s="2025"/>
      <c r="T3" s="2025"/>
      <c r="U3" s="2025"/>
      <c r="V3" s="2025"/>
    </row>
    <row r="4" spans="1:22" ht="14.25">
      <c r="A4" s="256" t="s">
        <v>264</v>
      </c>
      <c r="B4" s="257" t="s">
        <v>265</v>
      </c>
      <c r="C4" s="258" t="s">
        <v>2937</v>
      </c>
      <c r="D4" s="258" t="s">
        <v>3064</v>
      </c>
      <c r="E4" s="3347" t="s">
        <v>266</v>
      </c>
      <c r="F4" s="3389"/>
      <c r="G4" s="3389"/>
      <c r="H4" s="3389"/>
      <c r="I4" s="3348"/>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76" t="s">
        <v>267</v>
      </c>
      <c r="B5" s="3377">
        <v>25</v>
      </c>
      <c r="C5" s="3385"/>
      <c r="D5" s="3388"/>
      <c r="E5" s="259" t="s">
        <v>268</v>
      </c>
      <c r="F5" s="260"/>
      <c r="G5" s="260"/>
      <c r="H5" s="260"/>
      <c r="I5" s="261"/>
      <c r="J5" s="2026"/>
      <c r="K5" s="2025"/>
      <c r="L5" s="2025"/>
      <c r="M5" s="2025"/>
      <c r="N5" s="2025"/>
      <c r="O5" s="2025"/>
      <c r="P5" s="2025"/>
      <c r="Q5" s="2025"/>
      <c r="R5" s="2025"/>
      <c r="S5" s="2025"/>
      <c r="T5" s="2025"/>
      <c r="U5" s="2025"/>
      <c r="V5" s="2025"/>
    </row>
    <row r="6" spans="1:22" ht="14.25">
      <c r="A6" s="3376"/>
      <c r="B6" s="3377"/>
      <c r="C6" s="3386"/>
      <c r="D6" s="3388"/>
      <c r="E6" s="259" t="s">
        <v>269</v>
      </c>
      <c r="F6" s="260"/>
      <c r="G6" s="260"/>
      <c r="H6" s="260"/>
      <c r="I6" s="261"/>
      <c r="J6" s="2026"/>
      <c r="K6" s="2025"/>
      <c r="L6" s="2025"/>
      <c r="M6" s="2025"/>
      <c r="N6" s="2025"/>
      <c r="O6" s="2025"/>
      <c r="P6" s="2025"/>
      <c r="Q6" s="2025"/>
      <c r="R6" s="2025"/>
      <c r="S6" s="2025"/>
      <c r="T6" s="2025"/>
      <c r="U6" s="2025"/>
      <c r="V6" s="2025"/>
    </row>
    <row r="7" spans="1:22" ht="14.25">
      <c r="A7" s="3376"/>
      <c r="B7" s="3377"/>
      <c r="C7" s="3387"/>
      <c r="D7" s="3388"/>
      <c r="E7" s="259" t="s">
        <v>270</v>
      </c>
      <c r="F7" s="260"/>
      <c r="G7" s="260"/>
      <c r="H7" s="260"/>
      <c r="I7" s="261"/>
      <c r="J7" s="2026"/>
      <c r="K7" s="2025"/>
      <c r="L7" s="2025"/>
      <c r="M7" s="2025"/>
      <c r="N7" s="2025"/>
      <c r="O7" s="2025"/>
      <c r="P7" s="2025"/>
      <c r="Q7" s="2025"/>
      <c r="R7" s="2025"/>
      <c r="S7" s="2025"/>
      <c r="T7" s="2025"/>
      <c r="U7" s="2025"/>
      <c r="V7" s="2025"/>
    </row>
    <row r="8" spans="1:22" ht="14.25">
      <c r="A8" s="3376" t="s">
        <v>271</v>
      </c>
      <c r="B8" s="3377">
        <v>15</v>
      </c>
      <c r="C8" s="3385"/>
      <c r="D8" s="3388"/>
      <c r="E8" s="259" t="s">
        <v>272</v>
      </c>
      <c r="F8" s="260"/>
      <c r="G8" s="260"/>
      <c r="H8" s="260"/>
      <c r="I8" s="261"/>
      <c r="J8" s="2026"/>
      <c r="K8" s="2025"/>
      <c r="L8" s="2025"/>
      <c r="M8" s="2025"/>
      <c r="N8" s="2025"/>
      <c r="O8" s="2025"/>
      <c r="P8" s="2025"/>
      <c r="Q8" s="2025"/>
      <c r="R8" s="2025"/>
      <c r="S8" s="2025"/>
      <c r="T8" s="2025"/>
      <c r="U8" s="2025"/>
      <c r="V8" s="2025"/>
    </row>
    <row r="9" spans="1:22" ht="14.25">
      <c r="A9" s="3376"/>
      <c r="B9" s="3377"/>
      <c r="C9" s="3387"/>
      <c r="D9" s="3388"/>
      <c r="E9" s="259" t="s">
        <v>273</v>
      </c>
      <c r="F9" s="260"/>
      <c r="G9" s="260"/>
      <c r="H9" s="260"/>
      <c r="I9" s="261"/>
      <c r="J9" s="2026"/>
      <c r="K9" s="2025"/>
      <c r="L9" s="2025"/>
      <c r="M9" s="2025"/>
      <c r="N9" s="2025"/>
      <c r="O9" s="2025"/>
      <c r="P9" s="2025"/>
      <c r="Q9" s="2025"/>
      <c r="R9" s="2025"/>
      <c r="S9" s="2025"/>
      <c r="T9" s="2025"/>
      <c r="U9" s="2025"/>
      <c r="V9" s="2025"/>
    </row>
    <row r="10" spans="1:22" ht="14.25">
      <c r="A10" s="3376" t="s">
        <v>274</v>
      </c>
      <c r="B10" s="3377">
        <v>15</v>
      </c>
      <c r="C10" s="3385"/>
      <c r="D10" s="3388"/>
      <c r="E10" s="259" t="s">
        <v>275</v>
      </c>
      <c r="F10" s="260"/>
      <c r="G10" s="260"/>
      <c r="H10" s="260"/>
      <c r="I10" s="261"/>
      <c r="J10" s="2026"/>
      <c r="K10" s="2025"/>
      <c r="L10" s="2025"/>
      <c r="M10" s="2025"/>
      <c r="N10" s="2025"/>
      <c r="O10" s="2025"/>
      <c r="P10" s="2025"/>
      <c r="Q10" s="2025"/>
      <c r="R10" s="2025"/>
      <c r="S10" s="2025"/>
      <c r="T10" s="2025"/>
      <c r="U10" s="2025"/>
      <c r="V10" s="2025"/>
    </row>
    <row r="11" spans="1:22" ht="14.25">
      <c r="A11" s="3376"/>
      <c r="B11" s="3377"/>
      <c r="C11" s="3387"/>
      <c r="D11" s="3388"/>
      <c r="E11" s="259" t="s">
        <v>276</v>
      </c>
      <c r="F11" s="260"/>
      <c r="G11" s="260"/>
      <c r="H11" s="260"/>
      <c r="I11" s="261"/>
      <c r="J11" s="2026"/>
      <c r="K11" s="2025"/>
      <c r="L11" s="2025"/>
      <c r="M11" s="2025"/>
      <c r="N11" s="2025"/>
      <c r="O11" s="2025"/>
      <c r="P11" s="2025"/>
      <c r="Q11" s="2025"/>
      <c r="R11" s="2025"/>
      <c r="S11" s="2025"/>
      <c r="T11" s="2025"/>
      <c r="U11" s="2025"/>
      <c r="V11" s="2025"/>
    </row>
    <row r="12" spans="1:22" ht="14.25">
      <c r="A12" s="3376" t="s">
        <v>277</v>
      </c>
      <c r="B12" s="3377">
        <v>15</v>
      </c>
      <c r="C12" s="3385"/>
      <c r="D12" s="3388"/>
      <c r="E12" s="259" t="s">
        <v>278</v>
      </c>
      <c r="F12" s="260"/>
      <c r="G12" s="260"/>
      <c r="H12" s="260"/>
      <c r="I12" s="261"/>
      <c r="J12" s="2026"/>
      <c r="K12" s="2025"/>
      <c r="L12" s="2025"/>
      <c r="M12" s="2025"/>
      <c r="N12" s="2025"/>
      <c r="O12" s="2025"/>
      <c r="P12" s="2025"/>
      <c r="Q12" s="2025"/>
      <c r="R12" s="2025"/>
      <c r="S12" s="2025"/>
      <c r="T12" s="2025"/>
      <c r="U12" s="2025"/>
      <c r="V12" s="2025"/>
    </row>
    <row r="13" spans="1:22" ht="14.25">
      <c r="A13" s="3376"/>
      <c r="B13" s="3377"/>
      <c r="C13" s="3387"/>
      <c r="D13" s="3388"/>
      <c r="E13" s="259" t="s">
        <v>279</v>
      </c>
      <c r="F13" s="260"/>
      <c r="G13" s="260"/>
      <c r="H13" s="260"/>
      <c r="I13" s="261"/>
      <c r="J13" s="2026"/>
      <c r="K13" s="2025"/>
      <c r="L13" s="2025"/>
      <c r="M13" s="2025"/>
      <c r="N13" s="2025"/>
      <c r="O13" s="2025"/>
      <c r="P13" s="2025"/>
      <c r="Q13" s="2025"/>
      <c r="R13" s="2025"/>
      <c r="S13" s="2025"/>
      <c r="T13" s="2025"/>
      <c r="U13" s="2025"/>
      <c r="V13" s="2025"/>
    </row>
    <row r="14" spans="1:22" ht="14.25">
      <c r="A14" s="3376" t="s">
        <v>280</v>
      </c>
      <c r="B14" s="3377">
        <v>30</v>
      </c>
      <c r="C14" s="3385">
        <v>5</v>
      </c>
      <c r="D14" s="3388">
        <v>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376"/>
      <c r="B15" s="3377"/>
      <c r="C15" s="3386"/>
      <c r="D15" s="3388"/>
      <c r="E15" s="259" t="s">
        <v>282</v>
      </c>
      <c r="F15" s="260"/>
      <c r="G15" s="260"/>
      <c r="H15" s="260"/>
      <c r="I15" s="261"/>
      <c r="J15" s="2026"/>
      <c r="K15" s="2025"/>
      <c r="L15" s="2025"/>
      <c r="M15" s="2025"/>
      <c r="N15" s="2025"/>
      <c r="O15" s="2025"/>
      <c r="P15" s="2025"/>
      <c r="Q15" s="2025"/>
      <c r="R15" s="2025"/>
      <c r="S15" s="2025"/>
      <c r="T15" s="2025"/>
      <c r="U15" s="2025"/>
      <c r="V15" s="2025"/>
    </row>
    <row r="16" spans="1:22" ht="14.25">
      <c r="A16" s="3376"/>
      <c r="B16" s="3377"/>
      <c r="C16" s="3387"/>
      <c r="D16" s="3388"/>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3"/>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172788</v>
      </c>
      <c r="D19" s="269">
        <f ca="1">SUMIF(INDIRECT("'"&amp;D4&amp;"'"&amp;"!A:A"),结果表!B19,INDIRECT("'"&amp;D4&amp;"'"&amp;"!B:B"))</f>
        <v>176637</v>
      </c>
      <c r="E19" s="266" t="s">
        <v>288</v>
      </c>
      <c r="F19" s="267" t="s">
        <v>287</v>
      </c>
      <c r="G19" s="270">
        <f ca="1">ROUND(C19*$C$18+D19*$D$18,0)</f>
        <v>174713</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10493</v>
      </c>
      <c r="D20" s="275">
        <f ca="1">SUMIF(INDIRECT("'"&amp;D4&amp;"'"&amp;"!A:A"),结果表!B20,INDIRECT("'"&amp;D4&amp;"'"&amp;"!B:B"))</f>
        <v>10727</v>
      </c>
      <c r="E20" s="272"/>
      <c r="F20" s="273" t="s">
        <v>290</v>
      </c>
      <c r="G20" s="276">
        <f ca="1">ROUND(C20*$C$18+D20*$D$18,0)</f>
        <v>10610</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30884</v>
      </c>
      <c r="D21" s="150">
        <f ca="1">SUMIF(INDIRECT("'"&amp;D4&amp;"'"&amp;"!A:A"),结果表!B21,INDIRECT("'"&amp;D4&amp;"'"&amp;"!B:B"))</f>
        <v>31572</v>
      </c>
      <c r="E21" s="272"/>
      <c r="F21" s="278" t="s">
        <v>292</v>
      </c>
      <c r="G21" s="280">
        <f ca="1">ROUND(C21*$C$18+D21*$D$18,0)</f>
        <v>31228</v>
      </c>
      <c r="H21" s="1249" t="s">
        <v>291</v>
      </c>
      <c r="I21" s="309"/>
      <c r="J21" s="2025"/>
      <c r="K21" s="2025"/>
      <c r="L21" s="2025"/>
      <c r="M21" s="2025"/>
      <c r="N21" s="2025"/>
      <c r="O21" s="2025"/>
      <c r="P21" s="2025"/>
      <c r="Q21" s="2025"/>
      <c r="R21" s="2025"/>
      <c r="S21" s="2025"/>
      <c r="T21" s="2025"/>
      <c r="U21" s="2025"/>
      <c r="V21" s="2025"/>
    </row>
    <row r="22" spans="1:26" ht="15.75" thickBot="1">
      <c r="A22" s="125" t="s">
        <v>293</v>
      </c>
      <c r="B22" s="1250"/>
      <c r="C22" s="1251"/>
      <c r="D22" s="281">
        <f ca="1">IF(C19&lt;D19,D19/C19-1,C19/D19-1)</f>
        <v>2.2275852489756165E-2</v>
      </c>
      <c r="E22" s="282"/>
      <c r="F22" s="283"/>
      <c r="G22" s="284">
        <f ca="1">ROUND(G19/('数据-汇总表'!D3/666.67),0)</f>
        <v>2082</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49" t="s">
        <v>295</v>
      </c>
      <c r="B24" s="267" t="s">
        <v>287</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91"/>
      <c r="B25" s="1319" t="s">
        <v>296</v>
      </c>
      <c r="C25" s="288">
        <f>IF(B30=0,0,C30)</f>
        <v>0</v>
      </c>
      <c r="D25" s="289"/>
      <c r="E25" s="309"/>
      <c r="F25" s="309"/>
      <c r="G25" s="309"/>
      <c r="H25" s="309"/>
      <c r="I25" s="309"/>
      <c r="J25" s="2025"/>
      <c r="K25" s="1253" t="str">
        <f ca="1">项目基本情况!B16&amp;"国有建设用地使用权价格："&amp;O38&amp;"万元"</f>
        <v>出让国有建设用地使用权价格：174713万元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大写金额：人民币壹拾柒亿肆仟柒佰壹拾叁万元整</v>
      </c>
      <c r="L26" s="1250"/>
      <c r="M26" s="1250"/>
      <c r="N26" s="1250"/>
      <c r="O26" s="1249"/>
      <c r="P26" s="2025"/>
      <c r="Q26" s="2025"/>
      <c r="R26" s="2025"/>
      <c r="S26" s="2025"/>
      <c r="T26" s="2025"/>
      <c r="U26" s="2025"/>
      <c r="V26" s="2025"/>
      <c r="W26" s="290"/>
      <c r="X26" s="290"/>
      <c r="Y26" s="290"/>
      <c r="Z26" s="290"/>
    </row>
    <row r="27" spans="1:26" ht="18">
      <c r="A27" s="291"/>
      <c r="B27" s="292"/>
      <c r="C27" s="292"/>
      <c r="D27" s="3200">
        <f ca="1">C32/'数据-汇总表'!F31*10000</f>
        <v>27770.121826581741</v>
      </c>
      <c r="E27" s="309"/>
      <c r="F27" s="309"/>
      <c r="G27" s="309"/>
      <c r="H27" s="309"/>
      <c r="I27" s="309"/>
      <c r="J27" s="2025"/>
      <c r="K27" s="1256" t="str">
        <f ca="1">"单位面积地价："&amp;M38&amp;"元/平方米"</f>
        <v>单位面积地价：31228元/平方米</v>
      </c>
      <c r="L27" s="1250"/>
      <c r="M27" s="1250"/>
      <c r="N27" s="1250"/>
      <c r="O27" s="1249"/>
      <c r="P27" s="2025"/>
      <c r="Q27" s="2025"/>
      <c r="R27" s="2025"/>
      <c r="S27" s="2025"/>
      <c r="T27" s="2025"/>
      <c r="U27" s="2025"/>
      <c r="V27" s="2025"/>
    </row>
    <row r="28" spans="1:26" ht="18.75" customHeight="1">
      <c r="A28" s="291"/>
      <c r="B28" s="292"/>
      <c r="C28" s="292"/>
      <c r="D28" s="293">
        <f ca="1">G19/'剩余法-待开发'!C6</f>
        <v>0.59233178961072419</v>
      </c>
      <c r="E28" s="309"/>
      <c r="F28" s="309"/>
      <c r="G28" s="309"/>
      <c r="H28" s="309"/>
      <c r="I28" s="309"/>
      <c r="J28" s="2025"/>
      <c r="K28" s="1256" t="str">
        <f ca="1">"楼面地价："&amp;N38&amp;"元/平方米"</f>
        <v>楼面地价：10610元/平方米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抵押价格：166632万元</v>
      </c>
      <c r="L29" s="1250"/>
      <c r="M29" s="1250"/>
      <c r="N29" s="1250"/>
      <c r="O29" s="1249"/>
      <c r="P29" s="2025"/>
      <c r="V29" s="2025"/>
    </row>
    <row r="30" spans="1:26" ht="18.75" thickBot="1">
      <c r="A30" s="3156" t="s">
        <v>301</v>
      </c>
      <c r="B30" s="307">
        <v>1</v>
      </c>
      <c r="C30" s="308"/>
      <c r="D30" s="308"/>
      <c r="E30" s="3157" t="s">
        <v>2921</v>
      </c>
      <c r="F30" s="309"/>
      <c r="G30" s="309"/>
      <c r="H30" s="309"/>
      <c r="I30" s="309"/>
      <c r="J30" s="2025"/>
      <c r="K30" s="1256" t="str">
        <f ca="1">IF(K29="——","——","大写金额：人民币"&amp;NUMBERSTRING(INT(O39*10000),2)&amp;"元整")</f>
        <v>大写金额：人民币壹拾陆亿陆仟陆佰叁拾贰万元整</v>
      </c>
      <c r="L30" s="1250"/>
      <c r="M30" s="1250"/>
      <c r="N30" s="1250"/>
      <c r="O30" s="1249"/>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302</v>
      </c>
      <c r="B32" s="1379" t="s">
        <v>1650</v>
      </c>
      <c r="C32" s="1380">
        <f ca="1">G19-C24</f>
        <v>174713</v>
      </c>
      <c r="D32" s="1381" t="s">
        <v>1651</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305</v>
      </c>
      <c r="B33" s="1382" t="s">
        <v>1652</v>
      </c>
      <c r="C33" s="262">
        <f ca="1">ROUND(C32*10000/'数据-汇总表'!E3,0)</f>
        <v>10610</v>
      </c>
      <c r="D33" s="1383" t="s">
        <v>1653</v>
      </c>
      <c r="E33" s="3349"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4" t="s">
        <v>1654</v>
      </c>
      <c r="C34" s="262">
        <f ca="1">ROUND(C32*10000/'数据-汇总表'!D3,0)</f>
        <v>31228</v>
      </c>
      <c r="D34" s="1385" t="s">
        <v>1653</v>
      </c>
      <c r="E34" s="3350"/>
      <c r="F34" s="126" t="s">
        <v>306</v>
      </c>
      <c r="G34" s="297"/>
      <c r="H34" s="104"/>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6"/>
      <c r="C35" s="1387">
        <f ca="1">ROUND(C32/('数据-汇总表'!D3/666.67),0)</f>
        <v>2082</v>
      </c>
      <c r="D35" s="1388" t="s">
        <v>1655</v>
      </c>
      <c r="E35" s="3351"/>
      <c r="F35" s="299" t="s">
        <v>307</v>
      </c>
      <c r="G35" s="980">
        <f>E37+E38</f>
        <v>8081</v>
      </c>
      <c r="H35" s="979" t="s">
        <v>308</v>
      </c>
      <c r="I35" s="309"/>
      <c r="J35" s="2025"/>
      <c r="K35" s="3355" t="s">
        <v>315</v>
      </c>
      <c r="L35" s="3355" t="s">
        <v>316</v>
      </c>
      <c r="M35" s="1262" t="s">
        <v>317</v>
      </c>
      <c r="N35" s="3355" t="s">
        <v>318</v>
      </c>
      <c r="O35" s="3355" t="s">
        <v>319</v>
      </c>
      <c r="P35" s="2025"/>
      <c r="V35" s="2025"/>
    </row>
    <row r="36" spans="1:26" ht="16.5" customHeight="1">
      <c r="A36" s="301" t="s">
        <v>309</v>
      </c>
      <c r="B36" s="302" t="s">
        <v>298</v>
      </c>
      <c r="C36" s="303" t="s">
        <v>310</v>
      </c>
      <c r="D36" s="303" t="s">
        <v>311</v>
      </c>
      <c r="E36" s="304" t="s">
        <v>312</v>
      </c>
      <c r="F36" s="309"/>
      <c r="G36" s="309"/>
      <c r="H36" s="309"/>
      <c r="I36" s="309"/>
      <c r="J36" s="2027"/>
      <c r="K36" s="3356"/>
      <c r="L36" s="3356"/>
      <c r="M36" s="1264" t="s">
        <v>320</v>
      </c>
      <c r="N36" s="3356"/>
      <c r="O36" s="3356"/>
      <c r="P36" s="2025"/>
      <c r="V36" s="2025"/>
    </row>
    <row r="37" spans="1:26" ht="16.5" customHeight="1" thickBot="1">
      <c r="A37" s="1258" t="s">
        <v>313</v>
      </c>
      <c r="B37" s="305">
        <f>'数据-汇总表'!E21</f>
        <v>43743.43</v>
      </c>
      <c r="C37" s="292">
        <f>23681*0.15*0.25</f>
        <v>888.03750000000002</v>
      </c>
      <c r="D37" s="292">
        <v>1.0305</v>
      </c>
      <c r="E37" s="293">
        <f>ROUND(B37*C37*D37/10000,)</f>
        <v>4003</v>
      </c>
      <c r="F37" s="309"/>
      <c r="G37" s="309"/>
      <c r="H37" s="309"/>
      <c r="I37" s="309"/>
      <c r="J37" s="2027"/>
      <c r="K37" s="3357"/>
      <c r="L37" s="3357"/>
      <c r="M37" s="1265"/>
      <c r="N37" s="3357"/>
      <c r="O37" s="3357"/>
      <c r="P37" s="2025"/>
      <c r="V37" s="2025"/>
    </row>
    <row r="38" spans="1:26" ht="16.5" customHeight="1" thickBot="1">
      <c r="A38" s="1258" t="s">
        <v>314</v>
      </c>
      <c r="B38" s="305">
        <f>'数据-汇总表'!G22</f>
        <v>33424.14</v>
      </c>
      <c r="C38" s="292">
        <f>23681*0.2*0.25</f>
        <v>1184.05</v>
      </c>
      <c r="D38" s="292">
        <v>1.0305</v>
      </c>
      <c r="E38" s="293">
        <f>ROUND(B38*C38*D38/10000,)</f>
        <v>4078</v>
      </c>
      <c r="F38" s="309"/>
      <c r="G38" s="309"/>
      <c r="H38" s="309"/>
      <c r="I38" s="309"/>
      <c r="J38" s="2027"/>
      <c r="K38" s="1266">
        <f>'数据-汇总表'!D3</f>
        <v>55947.67</v>
      </c>
      <c r="L38" s="1267">
        <f>'数据-汇总表'!E3</f>
        <v>164673.22000000003</v>
      </c>
      <c r="M38" s="1267">
        <f ca="1">C34</f>
        <v>31228</v>
      </c>
      <c r="N38" s="1267">
        <f ca="1">C33</f>
        <v>10610</v>
      </c>
      <c r="O38" s="1268">
        <f ca="1">C32</f>
        <v>174713</v>
      </c>
      <c r="P38" s="2025"/>
      <c r="V38" s="2025"/>
    </row>
    <row r="39" spans="1:26" ht="16.5" customHeight="1" thickBot="1">
      <c r="A39" s="1263"/>
      <c r="B39" s="306"/>
      <c r="C39" s="307"/>
      <c r="D39" s="307"/>
      <c r="E39" s="308"/>
      <c r="F39" s="309"/>
      <c r="G39" s="309"/>
      <c r="H39" s="309"/>
      <c r="I39" s="309"/>
      <c r="J39" s="2027"/>
      <c r="K39" s="3332" t="str">
        <f>MID(A44,3,LEN(A44)-2)</f>
        <v>抵押价格</v>
      </c>
      <c r="L39" s="3333"/>
      <c r="M39" s="3333"/>
      <c r="N39" s="3334"/>
      <c r="O39" s="1390">
        <f ca="1">C44</f>
        <v>166632</v>
      </c>
      <c r="P39" s="2025"/>
      <c r="V39" s="2025"/>
    </row>
    <row r="40" spans="1:26" ht="19.5" thickBot="1">
      <c r="A40" s="103" t="s">
        <v>838</v>
      </c>
      <c r="B40" s="309"/>
      <c r="C40" s="309"/>
      <c r="D40" s="309"/>
      <c r="E40" s="309"/>
      <c r="F40" s="309"/>
      <c r="G40" s="309"/>
      <c r="H40" s="309"/>
      <c r="I40" s="309"/>
      <c r="J40" s="2027"/>
      <c r="K40" s="3332" t="str">
        <f t="shared" ref="K40:K41" si="0">MID(A45,3,LEN(A45)-2)</f>
        <v/>
      </c>
      <c r="L40" s="3333"/>
      <c r="M40" s="3333"/>
      <c r="N40" s="3334"/>
      <c r="O40" s="1390" t="str">
        <f>C45</f>
        <v>——</v>
      </c>
      <c r="P40" s="2025"/>
      <c r="V40" s="2025"/>
    </row>
    <row r="41" spans="1:26" ht="16.5" thickBot="1">
      <c r="A41" s="310" t="s">
        <v>321</v>
      </c>
      <c r="B41" s="311"/>
      <c r="C41" s="312" t="s">
        <v>322</v>
      </c>
      <c r="D41" s="313" t="s">
        <v>323</v>
      </c>
      <c r="E41" s="313" t="s">
        <v>324</v>
      </c>
      <c r="F41" s="314" t="s">
        <v>325</v>
      </c>
      <c r="G41" s="309"/>
      <c r="H41" s="309"/>
      <c r="I41" s="309"/>
      <c r="J41" s="2027"/>
      <c r="K41" s="3332" t="str">
        <f t="shared" si="0"/>
        <v/>
      </c>
      <c r="L41" s="3333"/>
      <c r="M41" s="3333"/>
      <c r="N41" s="3334"/>
      <c r="O41" s="1390" t="str">
        <f>C46</f>
        <v>——</v>
      </c>
      <c r="P41" s="2025"/>
      <c r="V41" s="2025"/>
    </row>
    <row r="42" spans="1:26" ht="29.25">
      <c r="A42" s="3392" t="s">
        <v>2030</v>
      </c>
      <c r="B42" s="3393"/>
      <c r="C42" s="262">
        <f ca="1">C32</f>
        <v>174713</v>
      </c>
      <c r="D42" s="315">
        <f ca="1">C33</f>
        <v>10610</v>
      </c>
      <c r="E42" s="315">
        <f ca="1">C34</f>
        <v>31228</v>
      </c>
      <c r="F42" s="316">
        <f ca="1">C35</f>
        <v>2082</v>
      </c>
      <c r="G42" s="309"/>
      <c r="H42" s="309"/>
      <c r="I42" s="317"/>
      <c r="J42" s="2027"/>
      <c r="K42" s="1269" t="s">
        <v>326</v>
      </c>
      <c r="L42" s="2044" t="s">
        <v>327</v>
      </c>
      <c r="M42" s="1270" t="s">
        <v>328</v>
      </c>
      <c r="N42" s="2045" t="s">
        <v>329</v>
      </c>
      <c r="O42" s="2046" t="s">
        <v>330</v>
      </c>
      <c r="P42" s="2025"/>
      <c r="V42" s="2025"/>
    </row>
    <row r="43" spans="1:26" ht="30">
      <c r="A43" s="3402" t="s">
        <v>2692</v>
      </c>
      <c r="B43" s="3403"/>
      <c r="C43" s="262">
        <f>IF(H33="正常操作",G33+G34+G35,G34+G35)</f>
        <v>8081</v>
      </c>
      <c r="D43" s="315" t="s">
        <v>42</v>
      </c>
      <c r="E43" s="315" t="s">
        <v>43</v>
      </c>
      <c r="F43" s="316" t="s">
        <v>43</v>
      </c>
      <c r="G43" s="2887" t="s">
        <v>917</v>
      </c>
      <c r="H43" s="309"/>
      <c r="I43" s="317"/>
      <c r="J43" s="2027"/>
      <c r="K43" s="1271" t="str">
        <f>C4</f>
        <v>比较法-住宅、综合</v>
      </c>
      <c r="L43" s="1272">
        <f ca="1">IF(L42="估价结果/万元",C19,C20)</f>
        <v>172788</v>
      </c>
      <c r="M43" s="1273">
        <f>C18</f>
        <v>0.5</v>
      </c>
      <c r="N43" s="1274">
        <f ca="1">IF(N42="测算结果/万元",G19,G20)</f>
        <v>174713</v>
      </c>
      <c r="O43" s="1275">
        <f ca="1">IF(O42="最终结果/万元",C32,C33)</f>
        <v>174713</v>
      </c>
      <c r="P43" s="2025"/>
      <c r="V43" s="2025"/>
    </row>
    <row r="44" spans="1:26" ht="30.75" thickBot="1">
      <c r="A44" s="3392" t="str">
        <f>IF(OR(项目基本情况!E8="抵押价格",项目基本情况!E8="已注销及未注销"),"3.抵押价格","——")</f>
        <v>3.抵押价格</v>
      </c>
      <c r="B44" s="3393"/>
      <c r="C44" s="262">
        <f ca="1">IF(A44="——","——",C42-C43)</f>
        <v>166632</v>
      </c>
      <c r="D44" s="315">
        <f ca="1">ROUND(C44*10000/'数据-汇总表'!E3,0)</f>
        <v>10119</v>
      </c>
      <c r="E44" s="315">
        <f ca="1">ROUND(C44*10000/'数据-汇总表'!D3,0)</f>
        <v>29784</v>
      </c>
      <c r="F44" s="316">
        <f ca="1">ROUND(C44/('数据-汇总表'!D3/666.67),0)</f>
        <v>1986</v>
      </c>
      <c r="G44" s="309"/>
      <c r="H44" s="309"/>
      <c r="I44" s="317"/>
      <c r="J44" s="2027"/>
      <c r="K44" s="1276" t="str">
        <f>D4</f>
        <v>剩余法-待开发</v>
      </c>
      <c r="L44" s="1277">
        <f ca="1">IF(L42="估价结果/万元",D19,D20)</f>
        <v>176637</v>
      </c>
      <c r="M44" s="1278">
        <f>D18</f>
        <v>0.5</v>
      </c>
      <c r="N44" s="1279"/>
      <c r="O44" s="1280"/>
      <c r="P44" s="2025"/>
      <c r="V44" s="2025"/>
    </row>
    <row r="45" spans="1:26" ht="15">
      <c r="A45" s="3397" t="str">
        <f>IF(项目基本情况!E8="已注销及未注销","4.抵押担保权已注销时的抵押价格",IF(项目基本情况!E8="已注销","3.抵押担保权已注销时的抵押价格","——"))</f>
        <v>——</v>
      </c>
      <c r="B45" s="3398"/>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94" t="str">
        <f>IF(项目基本情况!E9="抵押净值",IF(A45="——","4.抵押净值","5.抵押净值"),"——")</f>
        <v>——</v>
      </c>
      <c r="B46" s="3395"/>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本次评估估价师知悉的法定优先受偿款为人民币8081万元整。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60" t="s">
        <v>339</v>
      </c>
      <c r="B63" s="3361"/>
      <c r="C63" s="3362"/>
      <c r="D63" s="339">
        <f ca="1">ROUND(C42*F63,0)</f>
        <v>104828</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99" t="s">
        <v>343</v>
      </c>
      <c r="B64" s="3400"/>
      <c r="C64" s="3400"/>
      <c r="D64" s="3400"/>
      <c r="E64" s="3400"/>
      <c r="F64" s="3400"/>
      <c r="G64" s="3401"/>
      <c r="H64" s="1286"/>
      <c r="I64" s="946"/>
      <c r="J64" s="1987"/>
      <c r="K64" s="1559" t="s">
        <v>342</v>
      </c>
      <c r="L64" s="11"/>
      <c r="M64" s="11"/>
      <c r="N64" s="11"/>
      <c r="O64" s="11"/>
      <c r="P64" s="309"/>
      <c r="Q64" s="2025"/>
      <c r="R64" s="2025"/>
      <c r="S64" s="2025"/>
      <c r="T64" s="2025"/>
      <c r="U64" s="2025"/>
      <c r="V64" s="2025"/>
    </row>
    <row r="65" spans="1:22" ht="12" customHeight="1">
      <c r="A65" s="342" t="s">
        <v>345</v>
      </c>
      <c r="B65" s="343"/>
      <c r="C65" s="344"/>
      <c r="D65" s="345" t="s">
        <v>346</v>
      </c>
      <c r="E65" s="52"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396" t="s">
        <v>351</v>
      </c>
      <c r="B66" s="3367"/>
      <c r="C66" s="3367"/>
      <c r="D66" s="259">
        <f ca="1">IF(H66="情况1",0,IF(H66="情况2",D70,IF(H66="情况3",D71,IF(H66="情况4",D72))))</f>
        <v>5591</v>
      </c>
      <c r="E66" s="991" t="str">
        <f>IF(H66="情况4","(销售额-原购置价)×税（费）率","销售额×税（费）率")</f>
        <v>销售额×税（费）率</v>
      </c>
      <c r="F66" s="348">
        <f>IF(H66="情况1","免征",'数据-取费表'!B41)</f>
        <v>5.6000000000000001E-2</v>
      </c>
      <c r="G66" s="349" t="s">
        <v>352</v>
      </c>
      <c r="H66" s="190" t="s">
        <v>353</v>
      </c>
      <c r="I66" s="1286"/>
      <c r="J66" s="2031"/>
      <c r="K66" s="1289">
        <v>1</v>
      </c>
      <c r="L66" s="3336" t="s">
        <v>350</v>
      </c>
      <c r="M66" s="3337"/>
      <c r="N66" s="2479"/>
      <c r="O66" s="2480"/>
      <c r="P66" s="2481"/>
      <c r="Q66" s="2025"/>
      <c r="R66" s="2025"/>
      <c r="S66" s="2025"/>
      <c r="T66" s="2025"/>
      <c r="U66" s="2025"/>
      <c r="V66" s="2025"/>
    </row>
    <row r="67" spans="1:22" ht="25.5" customHeight="1">
      <c r="A67" s="350" t="s">
        <v>355</v>
      </c>
      <c r="B67" s="3379" t="s">
        <v>356</v>
      </c>
      <c r="C67" s="3379"/>
      <c r="D67" s="351">
        <v>0</v>
      </c>
      <c r="E67" s="40" t="s">
        <v>357</v>
      </c>
      <c r="F67" s="61" t="s">
        <v>20</v>
      </c>
      <c r="G67" s="3363"/>
      <c r="H67" s="309"/>
      <c r="I67" s="1290"/>
      <c r="J67" s="2032"/>
      <c r="K67" s="1973">
        <v>2</v>
      </c>
      <c r="L67" s="3335" t="s">
        <v>354</v>
      </c>
      <c r="M67" s="3335"/>
      <c r="N67" s="1323">
        <f>'数据-取费表'!B2</f>
        <v>43234</v>
      </c>
      <c r="O67" s="1323"/>
      <c r="P67" s="1323"/>
      <c r="Q67" s="2025"/>
      <c r="R67" s="2025"/>
      <c r="S67" s="2025"/>
      <c r="T67" s="2025"/>
      <c r="U67" s="2025"/>
      <c r="V67" s="2025"/>
    </row>
    <row r="68" spans="1:22" ht="25.5" customHeight="1">
      <c r="A68" s="352"/>
      <c r="B68" s="3379" t="s">
        <v>359</v>
      </c>
      <c r="C68" s="3379"/>
      <c r="D68" s="353"/>
      <c r="E68" s="76"/>
      <c r="F68" s="354"/>
      <c r="G68" s="3364"/>
      <c r="H68" s="309"/>
      <c r="I68" s="1290"/>
      <c r="J68" s="2032"/>
      <c r="K68" s="1973">
        <v>3</v>
      </c>
      <c r="L68" s="3335" t="s">
        <v>358</v>
      </c>
      <c r="M68" s="3335"/>
      <c r="N68" s="1291">
        <f ca="1">C42</f>
        <v>174713</v>
      </c>
      <c r="O68" s="1291"/>
      <c r="P68" s="1291"/>
      <c r="Q68" s="2025"/>
      <c r="R68" s="2025"/>
      <c r="S68" s="2025"/>
      <c r="T68" s="2025"/>
      <c r="U68" s="2025"/>
      <c r="V68" s="2025"/>
    </row>
    <row r="69" spans="1:22" ht="12" customHeight="1">
      <c r="A69" s="355"/>
      <c r="B69" s="3379" t="s">
        <v>360</v>
      </c>
      <c r="C69" s="3379"/>
      <c r="D69" s="356"/>
      <c r="E69" s="72"/>
      <c r="F69" s="354"/>
      <c r="G69" s="3365"/>
      <c r="H69" s="309"/>
      <c r="I69" s="1290"/>
      <c r="J69" s="2032"/>
      <c r="K69" s="1292">
        <v>4</v>
      </c>
      <c r="L69" s="3341" t="s">
        <v>2845</v>
      </c>
      <c r="M69" s="3342"/>
      <c r="N69" s="1293">
        <f ca="1">C44</f>
        <v>166632</v>
      </c>
      <c r="O69" s="1293"/>
      <c r="P69" s="1293"/>
      <c r="Q69" s="2025"/>
      <c r="R69" s="2025"/>
      <c r="S69" s="2025"/>
      <c r="T69" s="2025"/>
      <c r="U69" s="2025"/>
      <c r="V69" s="2025"/>
    </row>
    <row r="70" spans="1:22" ht="24" customHeight="1">
      <c r="A70" s="357" t="s">
        <v>361</v>
      </c>
      <c r="B70" s="3379" t="s">
        <v>362</v>
      </c>
      <c r="C70" s="3379"/>
      <c r="D70" s="356">
        <f ca="1">ROUND(D63*'数据-取费表'!B41/(1+'数据-取费表'!C42),0)</f>
        <v>5591</v>
      </c>
      <c r="E70" s="17" t="s">
        <v>363</v>
      </c>
      <c r="F70" s="358">
        <f>'数据-取费表'!B41</f>
        <v>5.6000000000000001E-2</v>
      </c>
      <c r="G70" s="359"/>
      <c r="H70" s="309"/>
      <c r="I70" s="1290"/>
      <c r="J70" s="2032"/>
      <c r="K70" s="3083"/>
      <c r="L70" s="3084"/>
      <c r="M70" s="3084"/>
      <c r="N70" s="3085" t="s">
        <v>2850</v>
      </c>
      <c r="O70" s="3084"/>
      <c r="P70" s="3086"/>
      <c r="Q70" s="2025"/>
      <c r="R70" s="2025"/>
      <c r="S70" s="2025"/>
      <c r="T70" s="2025"/>
      <c r="U70" s="2025"/>
      <c r="V70" s="2025"/>
    </row>
    <row r="71" spans="1:22" ht="12" customHeight="1">
      <c r="A71" s="357" t="s">
        <v>369</v>
      </c>
      <c r="B71" s="3378" t="s">
        <v>370</v>
      </c>
      <c r="C71" s="3390"/>
      <c r="D71" s="356">
        <f ca="1">ROUND(D63*'数据-取费表'!B41/(1+'数据-取费表'!C42),0)</f>
        <v>5591</v>
      </c>
      <c r="E71" s="17" t="s">
        <v>363</v>
      </c>
      <c r="F71" s="358">
        <f>'数据-取费表'!B41</f>
        <v>5.6000000000000001E-2</v>
      </c>
      <c r="G71" s="359"/>
      <c r="H71" s="309"/>
      <c r="I71" s="1290"/>
      <c r="J71" s="2032"/>
      <c r="K71" s="3082" t="s">
        <v>364</v>
      </c>
      <c r="L71" s="3343" t="s">
        <v>365</v>
      </c>
      <c r="M71" s="3343"/>
      <c r="N71" s="3082" t="s">
        <v>366</v>
      </c>
      <c r="O71" s="3082" t="s">
        <v>367</v>
      </c>
      <c r="P71" s="3082" t="s">
        <v>368</v>
      </c>
      <c r="Q71" s="2025"/>
      <c r="R71" s="2025"/>
      <c r="S71" s="2025"/>
      <c r="T71" s="2025"/>
      <c r="U71" s="2025"/>
      <c r="V71" s="2025"/>
    </row>
    <row r="72" spans="1:22" ht="12" customHeight="1">
      <c r="A72" s="357" t="s">
        <v>372</v>
      </c>
      <c r="B72" s="3378" t="s">
        <v>373</v>
      </c>
      <c r="C72" s="3390"/>
      <c r="D72" s="356">
        <f ca="1">C86</f>
        <v>5479</v>
      </c>
      <c r="E72" s="72" t="s">
        <v>374</v>
      </c>
      <c r="F72" s="358">
        <f>'数据-取费表'!B41</f>
        <v>5.6000000000000001E-2</v>
      </c>
      <c r="G72" s="359"/>
      <c r="H72" s="1296"/>
      <c r="I72" s="1290"/>
      <c r="J72" s="2032"/>
      <c r="K72" s="1973">
        <v>1</v>
      </c>
      <c r="L72" s="3340" t="s">
        <v>371</v>
      </c>
      <c r="M72" s="3340"/>
      <c r="N72" s="1294">
        <f ca="1">D66</f>
        <v>5591</v>
      </c>
      <c r="O72" s="1856" t="str">
        <f>E66</f>
        <v>销售额×税（费）率</v>
      </c>
      <c r="P72" s="1295">
        <f>F66</f>
        <v>5.6000000000000001E-2</v>
      </c>
      <c r="Q72" s="2025"/>
      <c r="R72" s="2025"/>
      <c r="S72" s="2025"/>
      <c r="T72" s="2025"/>
      <c r="U72" s="2025"/>
      <c r="V72" s="2025"/>
    </row>
    <row r="73" spans="1:22" ht="24" customHeight="1">
      <c r="A73" s="3366" t="s">
        <v>376</v>
      </c>
      <c r="B73" s="3367"/>
      <c r="C73" s="3367"/>
      <c r="D73" s="360">
        <f>IF(H73="个人住宅",0,ROUND(D63*I73,0))</f>
        <v>0</v>
      </c>
      <c r="E73" s="17" t="s">
        <v>377</v>
      </c>
      <c r="F73" s="358" t="str">
        <f>IF(H73="正常",I73,"免征")</f>
        <v>免征</v>
      </c>
      <c r="G73" s="359"/>
      <c r="H73" s="190" t="s">
        <v>2418</v>
      </c>
      <c r="I73" s="358">
        <f>'数据-取费表'!B49</f>
        <v>5.0000000000000001E-4</v>
      </c>
      <c r="J73" s="2032"/>
      <c r="K73" s="1973">
        <v>2</v>
      </c>
      <c r="L73" s="3340" t="s">
        <v>375</v>
      </c>
      <c r="M73" s="3340"/>
      <c r="N73" s="1294">
        <f t="shared" ref="N73:P74" si="1">D73</f>
        <v>0</v>
      </c>
      <c r="O73" s="1856" t="str">
        <f t="shared" si="1"/>
        <v>销售额×税（费）率</v>
      </c>
      <c r="P73" s="1295" t="str">
        <f t="shared" si="1"/>
        <v>免征</v>
      </c>
      <c r="Q73" s="2025"/>
      <c r="R73" s="2025"/>
      <c r="S73" s="2025"/>
      <c r="T73" s="2025"/>
      <c r="U73" s="2025"/>
      <c r="V73" s="2025"/>
    </row>
    <row r="74" spans="1:22" ht="24.75">
      <c r="A74" s="3366" t="s">
        <v>380</v>
      </c>
      <c r="B74" s="3367"/>
      <c r="C74" s="3367"/>
      <c r="D74" s="360">
        <f ca="1">IF(H74="个人住宅",D75,D76)</f>
        <v>58677</v>
      </c>
      <c r="E74" s="17" t="s">
        <v>381</v>
      </c>
      <c r="F74" s="358" t="str">
        <f>IF(H74="正常",F76,"免征")</f>
        <v>——</v>
      </c>
      <c r="G74" s="981" t="s">
        <v>382</v>
      </c>
      <c r="H74" s="361" t="s">
        <v>378</v>
      </c>
      <c r="I74" s="41"/>
      <c r="J74" s="2032"/>
      <c r="K74" s="1973">
        <v>3</v>
      </c>
      <c r="L74" s="3340" t="s">
        <v>379</v>
      </c>
      <c r="M74" s="3340"/>
      <c r="N74" s="1294">
        <f t="shared" ca="1" si="1"/>
        <v>58677</v>
      </c>
      <c r="O74" s="1856" t="str">
        <f t="shared" si="1"/>
        <v>增值额×税（费）率</v>
      </c>
      <c r="P74" s="1297" t="str">
        <f t="shared" si="1"/>
        <v>——</v>
      </c>
      <c r="Q74" s="2025"/>
      <c r="R74" s="2025"/>
      <c r="S74" s="2025"/>
      <c r="T74" s="2025"/>
      <c r="U74" s="2025"/>
      <c r="V74" s="2025"/>
    </row>
    <row r="75" spans="1:22" ht="24">
      <c r="A75" s="357" t="s">
        <v>383</v>
      </c>
      <c r="B75" s="3347" t="s">
        <v>384</v>
      </c>
      <c r="C75" s="3348"/>
      <c r="D75" s="362">
        <v>0</v>
      </c>
      <c r="E75" s="40" t="s">
        <v>385</v>
      </c>
      <c r="F75" s="363"/>
      <c r="G75" s="359"/>
      <c r="H75" s="41"/>
      <c r="I75" s="41"/>
      <c r="J75" s="2032"/>
      <c r="K75" s="3075">
        <f>IF(H77="非个人房产","",4)</f>
        <v>4</v>
      </c>
      <c r="L75" s="3340" t="str">
        <f>IF(H77="非个人房产","——","个人所得税")</f>
        <v>个人所得税</v>
      </c>
      <c r="M75" s="3340"/>
      <c r="N75" s="1298">
        <f ca="1">D77</f>
        <v>1048</v>
      </c>
      <c r="O75" s="1869" t="str">
        <f>E77</f>
        <v>销售额×税（费）率</v>
      </c>
      <c r="P75" s="1299">
        <f>F77</f>
        <v>0.01</v>
      </c>
      <c r="Q75" s="2025"/>
      <c r="R75" s="2025"/>
      <c r="S75" s="2025"/>
      <c r="T75" s="2025"/>
      <c r="U75" s="2025"/>
      <c r="V75" s="2025"/>
    </row>
    <row r="76" spans="1:22" ht="24.75">
      <c r="A76" s="357" t="s">
        <v>361</v>
      </c>
      <c r="B76" s="3347" t="s">
        <v>387</v>
      </c>
      <c r="C76" s="3389"/>
      <c r="D76" s="360">
        <f ca="1">IF(H76="转让取得",C99,C115)</f>
        <v>58677</v>
      </c>
      <c r="E76" s="17" t="s">
        <v>388</v>
      </c>
      <c r="F76" s="52" t="s">
        <v>20</v>
      </c>
      <c r="G76" s="359"/>
      <c r="H76" s="361" t="s">
        <v>389</v>
      </c>
      <c r="I76" s="41"/>
      <c r="J76" s="2032"/>
      <c r="K76" s="3075" t="str">
        <f>IF(项目基本情况!K6="上海银行",IF(K75="",4,K75+1),"")</f>
        <v/>
      </c>
      <c r="L76" s="3328" t="str">
        <f>IF(项目基本情况!K6="上海银行","其他处置费用","")</f>
        <v/>
      </c>
      <c r="M76" s="3329"/>
      <c r="N76" s="1294" t="str">
        <f>IF(项目基本情况!K6="上海银行",N89,"")</f>
        <v/>
      </c>
      <c r="O76" s="3330" t="str">
        <f>IF(项目基本情况!K6="上海银行","包含处置中涉及的律师、诉讼、拍卖、评估等费用","")</f>
        <v/>
      </c>
      <c r="P76" s="3331"/>
      <c r="Q76" s="2025"/>
      <c r="R76" s="2025"/>
      <c r="S76" s="2025"/>
      <c r="T76" s="2025"/>
      <c r="U76" s="2025"/>
      <c r="V76" s="2025"/>
    </row>
    <row r="77" spans="1:22" ht="26.25" thickBot="1">
      <c r="A77" s="3358" t="s">
        <v>391</v>
      </c>
      <c r="B77" s="3359"/>
      <c r="C77" s="3359"/>
      <c r="D77" s="364">
        <f ca="1">IF(H77="非个人房产","——",IF(H77="个人住宅",0,ROUND(D63*I77,0)))</f>
        <v>1048</v>
      </c>
      <c r="E77" s="365" t="str">
        <f>IF(H77="非个人房产","——","销售额×税（费）率")</f>
        <v>销售额×税（费）率</v>
      </c>
      <c r="F77" s="366">
        <f>IF(H77="非个人房产","——",IF(H77="个人住宅","免征",I77))</f>
        <v>0.01</v>
      </c>
      <c r="G77" s="982" t="s">
        <v>382</v>
      </c>
      <c r="H77" s="361" t="s">
        <v>2846</v>
      </c>
      <c r="I77" s="367">
        <v>0.01</v>
      </c>
      <c r="J77" s="2032"/>
      <c r="K77" s="3354">
        <f>IF(AND(K75="",K76=""),4,IF(项目基本情况!K6="上海银行",K76+1,K75+1))</f>
        <v>5</v>
      </c>
      <c r="L77" s="3340" t="s">
        <v>2847</v>
      </c>
      <c r="M77" s="3081" t="s">
        <v>386</v>
      </c>
      <c r="N77" s="1300"/>
      <c r="O77" s="1301">
        <f ca="1">SUMIF(N72:N76,"&lt;9e307")</f>
        <v>65316</v>
      </c>
      <c r="P77" s="1302"/>
      <c r="Q77" s="3079">
        <f ca="1">O77/N69</f>
        <v>0.39197753132651592</v>
      </c>
      <c r="R77" s="2025"/>
      <c r="S77" s="2025"/>
      <c r="T77" s="2025"/>
      <c r="U77" s="2025"/>
      <c r="V77" s="2025"/>
    </row>
    <row r="78" spans="1:22" ht="12" customHeight="1">
      <c r="A78" s="1303"/>
      <c r="B78" s="309"/>
      <c r="C78" s="309"/>
      <c r="D78" s="309"/>
      <c r="E78" s="41"/>
      <c r="F78" s="41"/>
      <c r="G78" s="41"/>
      <c r="H78" s="1001"/>
      <c r="I78" s="309"/>
      <c r="J78" s="2032"/>
      <c r="K78" s="3354"/>
      <c r="L78" s="3340"/>
      <c r="M78" s="3081" t="s">
        <v>390</v>
      </c>
      <c r="N78" s="1300"/>
      <c r="O78" s="1301" t="str">
        <f ca="1">NUMBERSTRING(INT(O77*10000),2)&amp;"元整"</f>
        <v>陆亿伍仟叁佰壹拾陆万元整</v>
      </c>
      <c r="P78" s="1302"/>
      <c r="Q78" s="2025"/>
      <c r="R78" s="2025"/>
      <c r="S78" s="2025"/>
      <c r="T78" s="2025"/>
      <c r="U78" s="2025"/>
      <c r="V78" s="2025"/>
    </row>
    <row r="79" spans="1:22" ht="13.5" thickBot="1">
      <c r="A79" s="3344" t="s">
        <v>392</v>
      </c>
      <c r="B79" s="3344"/>
      <c r="C79" s="3344"/>
      <c r="D79" s="3344"/>
      <c r="E79" s="3344"/>
      <c r="F79" s="41"/>
      <c r="G79" s="41"/>
      <c r="H79" s="1001"/>
      <c r="I79" s="309"/>
      <c r="J79" s="2032"/>
      <c r="K79" s="3338">
        <f>K77+1</f>
        <v>6</v>
      </c>
      <c r="L79" s="3340" t="s">
        <v>2848</v>
      </c>
      <c r="M79" s="3081" t="s">
        <v>386</v>
      </c>
      <c r="N79" s="1300"/>
      <c r="O79" s="1301">
        <f ca="1">N69-O77</f>
        <v>101316</v>
      </c>
      <c r="P79" s="1302"/>
      <c r="Q79" s="2025"/>
      <c r="R79" s="2025"/>
      <c r="S79" s="2025"/>
      <c r="T79" s="2025"/>
      <c r="U79" s="2025"/>
      <c r="V79" s="2025"/>
    </row>
    <row r="80" spans="1:22" ht="25.5">
      <c r="A80" s="3345" t="s">
        <v>393</v>
      </c>
      <c r="B80" s="3346"/>
      <c r="C80" s="992"/>
      <c r="D80" s="992" t="s">
        <v>394</v>
      </c>
      <c r="E80" s="368" t="s">
        <v>395</v>
      </c>
      <c r="F80" s="41"/>
      <c r="G80" s="41"/>
      <c r="H80" s="1001"/>
      <c r="I80" s="309"/>
      <c r="J80" s="2025"/>
      <c r="K80" s="3339"/>
      <c r="L80" s="3340"/>
      <c r="M80" s="3081" t="s">
        <v>390</v>
      </c>
      <c r="N80" s="1300"/>
      <c r="O80" s="1301" t="str">
        <f ca="1">NUMBERSTRING(INT(O79*10000),2)&amp;"元整"</f>
        <v>壹拾亿壹仟叁佰壹拾陆万元整</v>
      </c>
      <c r="P80" s="1302"/>
      <c r="Q80" s="2025"/>
      <c r="R80" s="2025"/>
      <c r="S80" s="2025"/>
      <c r="T80" s="2025"/>
      <c r="U80" s="2025"/>
      <c r="V80" s="2025"/>
    </row>
    <row r="81" spans="1:26" ht="13.5" thickBot="1">
      <c r="A81" s="379" t="s">
        <v>1785</v>
      </c>
      <c r="B81" s="369" t="s">
        <v>396</v>
      </c>
      <c r="C81" s="370">
        <f ca="1">ROUND((C82+C83)/(1+'数据-取费表'!C42),0)</f>
        <v>99836</v>
      </c>
      <c r="D81" s="371"/>
      <c r="E81" s="372"/>
      <c r="F81" s="41"/>
      <c r="G81" s="41"/>
      <c r="H81" s="1001"/>
      <c r="I81" s="309"/>
      <c r="J81" s="2025"/>
      <c r="K81" s="3075">
        <f>K79+1</f>
        <v>7</v>
      </c>
      <c r="L81" s="3352" t="s">
        <v>2849</v>
      </c>
      <c r="M81" s="3353"/>
      <c r="N81" s="1304"/>
      <c r="O81" s="1305">
        <f ca="1">ROUND(O79*10000/'数据-汇总表'!E3,0)</f>
        <v>6153</v>
      </c>
      <c r="P81" s="1306"/>
      <c r="Q81" s="2025"/>
      <c r="R81" s="2025"/>
      <c r="S81" s="2025"/>
      <c r="T81" s="2025"/>
      <c r="U81" s="2025"/>
      <c r="V81" s="2025"/>
    </row>
    <row r="82" spans="1:26" ht="13.5" thickTop="1">
      <c r="A82" s="373" t="s">
        <v>1786</v>
      </c>
      <c r="B82" s="374" t="s">
        <v>397</v>
      </c>
      <c r="C82" s="375">
        <f ca="1">D63</f>
        <v>104828</v>
      </c>
      <c r="D82" s="376" t="s">
        <v>18</v>
      </c>
      <c r="E82" s="377"/>
      <c r="F82" s="41"/>
      <c r="G82" s="41"/>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1"/>
      <c r="G83" s="41"/>
      <c r="H83" s="1001"/>
      <c r="I83" s="309"/>
      <c r="J83" s="2025"/>
      <c r="K83" s="3327" t="s">
        <v>2836</v>
      </c>
      <c r="L83" s="3087" t="s">
        <v>2837</v>
      </c>
      <c r="M83" s="3077">
        <f ca="1">IF(N69&gt;10000,N69*0.5%,IF(AND(N69&gt;1000,N69&lt;=10000),N69*1%,IF(AND(N69&gt;100,N69&lt;=1000),N69*3%,IF(AND(N69&gt;10,N69&lt;=100),N69*5%,N69*8%))))</f>
        <v>833.16</v>
      </c>
      <c r="N83" s="52">
        <f ca="1">ROUND(M83,1)</f>
        <v>833.2</v>
      </c>
      <c r="O83" s="3080"/>
      <c r="P83" s="2025"/>
      <c r="Q83" s="2025"/>
      <c r="R83" s="2025"/>
      <c r="S83" s="2025"/>
      <c r="T83" s="2025"/>
      <c r="U83" s="2025"/>
      <c r="V83" s="2025"/>
    </row>
    <row r="84" spans="1:26" ht="12.75">
      <c r="A84" s="379" t="s">
        <v>1788</v>
      </c>
      <c r="B84" s="380" t="s">
        <v>399</v>
      </c>
      <c r="C84" s="381">
        <v>2000</v>
      </c>
      <c r="D84" s="382" t="s">
        <v>18</v>
      </c>
      <c r="E84" s="3121" t="s">
        <v>2894</v>
      </c>
      <c r="F84" s="41"/>
      <c r="G84" s="41"/>
      <c r="H84" s="1001"/>
      <c r="I84" s="309"/>
      <c r="J84" s="2025"/>
      <c r="K84" s="3327"/>
      <c r="L84" s="3087" t="s">
        <v>2838</v>
      </c>
      <c r="M84" s="3077">
        <f ca="1">IF(N69&gt;2000,N69*0.5%,IF(AND(N69&gt;1000,N69&lt;=2000),N69*0.6%,IF(AND(N69&gt;500,N69&lt;=1000),N69*0.7%,IF(AND(N69&gt;200,N69&lt;=500),N69*0.8%,IF(AND(N69&gt;100,N69&lt;=200),N69*0.9%,IF(AND(N69&gt;50,N69&lt;=100),N69*1%,IF(AND(N69&gt;20,N69&lt;=50),N69*1.5%,IF(AND(N69&gt;10,N69&lt;=20),N69*2%,IF(AND(N69&gt;1,N69&lt;=10),N69*2.5%)))))))))</f>
        <v>833.16</v>
      </c>
      <c r="N84" s="52">
        <f t="shared" ref="N84:N85" ca="1" si="2">ROUND(M84,1)</f>
        <v>833.2</v>
      </c>
      <c r="O84" s="2025" t="s">
        <v>2839</v>
      </c>
      <c r="P84" s="2025"/>
      <c r="Q84" s="2025"/>
      <c r="R84" s="2025"/>
      <c r="S84" s="2025"/>
      <c r="T84" s="2025"/>
      <c r="U84" s="2025"/>
      <c r="V84" s="2025"/>
    </row>
    <row r="85" spans="1:26" ht="12.75">
      <c r="A85" s="379" t="s">
        <v>1789</v>
      </c>
      <c r="B85" s="380" t="s">
        <v>400</v>
      </c>
      <c r="C85" s="383">
        <f ca="1">C81-C84</f>
        <v>97836</v>
      </c>
      <c r="D85" s="376" t="s">
        <v>18</v>
      </c>
      <c r="E85" s="377"/>
      <c r="F85" s="41"/>
      <c r="G85" s="41"/>
      <c r="H85" s="1001"/>
      <c r="I85" s="309"/>
      <c r="J85" s="2025"/>
      <c r="K85" s="3327"/>
      <c r="L85" s="3087" t="s">
        <v>2840</v>
      </c>
      <c r="M85" s="3077">
        <f ca="1">IF(N69&gt;1000,N69*0.1%,IF(AND(N69&gt;500,N69&lt;=1000),N69*0.5%,IF(AND(N69&gt;50,N69&lt;=500),N69*1%,IF(AND(N69&gt;1,N69&lt;=50),N69*1.5%))))</f>
        <v>166.63200000000001</v>
      </c>
      <c r="N85" s="52">
        <f t="shared" ca="1" si="2"/>
        <v>166.6</v>
      </c>
      <c r="O85" s="2025" t="s">
        <v>2839</v>
      </c>
      <c r="P85" s="2025"/>
      <c r="Q85" s="2025"/>
      <c r="R85" s="2025"/>
      <c r="S85" s="2025"/>
      <c r="T85" s="2025"/>
      <c r="U85" s="2025"/>
      <c r="V85" s="2025"/>
    </row>
    <row r="86" spans="1:26" ht="13.5" thickBot="1">
      <c r="A86" s="384" t="s">
        <v>1790</v>
      </c>
      <c r="B86" s="385" t="s">
        <v>401</v>
      </c>
      <c r="C86" s="386">
        <f ca="1">IF(C85&lt;=0,0,ROUND(C85*D86,0))</f>
        <v>5479</v>
      </c>
      <c r="D86" s="387">
        <f>'数据-取费表'!B41</f>
        <v>5.6000000000000001E-2</v>
      </c>
      <c r="E86" s="388"/>
      <c r="F86" s="41"/>
      <c r="G86" s="41"/>
      <c r="H86" s="1001"/>
      <c r="I86" s="309"/>
      <c r="J86" s="2025"/>
      <c r="K86" s="3327"/>
      <c r="L86" s="3087" t="s">
        <v>2841</v>
      </c>
      <c r="M86" s="3077">
        <f ca="1">N69*0.5%</f>
        <v>833.16</v>
      </c>
      <c r="N86" s="52">
        <f ca="1">IF(M86&gt;0.5,0.5,ROUND(M86,0))</f>
        <v>0.5</v>
      </c>
      <c r="O86" s="2025" t="s">
        <v>2842</v>
      </c>
      <c r="P86" s="2025"/>
      <c r="Q86" s="2025"/>
      <c r="R86" s="2025"/>
      <c r="S86" s="2025"/>
      <c r="T86" s="2025"/>
      <c r="U86" s="2025"/>
      <c r="V86" s="2025"/>
    </row>
    <row r="87" spans="1:26" s="1252" customFormat="1" ht="14.25" customHeight="1">
      <c r="A87" s="1307"/>
      <c r="B87" s="1308"/>
      <c r="C87" s="1309"/>
      <c r="D87" s="1310"/>
      <c r="E87" s="1311"/>
      <c r="F87" s="41"/>
      <c r="G87" s="41"/>
      <c r="H87" s="1001"/>
      <c r="I87" s="309"/>
      <c r="J87" s="2025"/>
      <c r="K87" s="3327"/>
      <c r="L87" s="3087" t="s">
        <v>2843</v>
      </c>
      <c r="M87" s="3077">
        <f ca="1">IF(N69&gt;=10000,(8.25+(N69-10000)*0.01%),IF(AND(N69&gt;=8000,N69&lt;10000),(7.85+(N69-8000)*0.02%),IF(AND(N69&gt;=5000,N69&lt;8000),(6.65+(N69-5000)*0.04%),IF(AND(N69&gt;=2000,N69&lt;5000),(4.25+(PN69-2000)*0.08%),IF(AND(N69&gt;=1000,N69&lt;2000),(2.75+(N69-1000)*0.15%),IF(AND(N69&gt;=100,N69&lt;1000),(0.5+(N69-100)*0.25%),IF(AND(N69&gt;0,N69&lt;100),N69*0.5%)))))))</f>
        <v>23.913200000000003</v>
      </c>
      <c r="N87" s="52">
        <f ca="1">ROUND(M87*0.9,1)</f>
        <v>21.5</v>
      </c>
      <c r="O87" s="3080"/>
      <c r="P87" s="309"/>
      <c r="Q87" s="2025"/>
      <c r="R87" s="2025"/>
      <c r="S87" s="2025"/>
      <c r="T87" s="2025"/>
      <c r="U87" s="2025"/>
      <c r="V87" s="2025"/>
      <c r="W87" s="290"/>
      <c r="X87" s="290"/>
      <c r="Y87" s="290"/>
      <c r="Z87" s="290"/>
    </row>
    <row r="88" spans="1:26" s="1312" customFormat="1" ht="15" thickBot="1">
      <c r="A88" s="3381" t="s">
        <v>402</v>
      </c>
      <c r="B88" s="3382"/>
      <c r="C88" s="3382"/>
      <c r="D88" s="3382"/>
      <c r="E88" s="3382"/>
      <c r="F88" s="3382"/>
      <c r="G88" s="3382"/>
      <c r="H88" s="3382"/>
      <c r="I88" s="1313"/>
      <c r="J88" s="2033"/>
      <c r="K88" s="3327"/>
      <c r="L88" s="3087" t="s">
        <v>2844</v>
      </c>
      <c r="M88" s="3077">
        <f ca="1">IF(N69&gt;10000,N69*0.5%,IF(AND(N69&gt;5000,N69&lt;=10000),N69*1%,IF(AND(N69&gt;1000,N69&lt;=5000),N69*2%,IF(AND(N69&gt;200,N69&lt;=1000),N69*3%,N69*5%))))</f>
        <v>833.16</v>
      </c>
      <c r="N88" s="52">
        <f ca="1">ROUND(M88,1)</f>
        <v>833.2</v>
      </c>
      <c r="O88" s="3080"/>
      <c r="P88" s="11"/>
      <c r="Q88" s="2030"/>
      <c r="R88" s="2030"/>
      <c r="S88" s="2030"/>
      <c r="T88" s="2030"/>
      <c r="U88" s="2030"/>
      <c r="V88" s="2030"/>
      <c r="W88" s="2034"/>
      <c r="X88" s="2034"/>
      <c r="Y88" s="2034"/>
      <c r="Z88" s="2034"/>
    </row>
    <row r="89" spans="1:26" s="1312" customFormat="1" ht="14.25">
      <c r="A89" s="3345" t="s">
        <v>393</v>
      </c>
      <c r="B89" s="3346"/>
      <c r="C89" s="992"/>
      <c r="D89" s="992" t="s">
        <v>394</v>
      </c>
      <c r="E89" s="389" t="s">
        <v>403</v>
      </c>
      <c r="F89" s="390"/>
      <c r="G89" s="390"/>
      <c r="H89" s="391"/>
      <c r="I89" s="1314"/>
      <c r="J89" s="2035"/>
      <c r="K89" s="3327"/>
      <c r="L89" s="3087" t="s">
        <v>26</v>
      </c>
      <c r="M89" s="3078"/>
      <c r="N89" s="52">
        <f ca="1">ROUND(SUM(N83:N88),0)</f>
        <v>2688</v>
      </c>
      <c r="O89" s="3088">
        <f ca="1">N89/N69</f>
        <v>1.6131355321906956E-2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99836</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3160</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378" t="s">
        <v>412</v>
      </c>
      <c r="F94" s="3379"/>
      <c r="G94" s="3379"/>
      <c r="H94" s="3380"/>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5" t="s">
        <v>414</v>
      </c>
      <c r="F95" s="401"/>
      <c r="G95" s="402" t="s">
        <v>2392</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599</v>
      </c>
      <c r="D96" s="404">
        <f>'数据-取费表'!B43</f>
        <v>6.000000000000001E-3</v>
      </c>
      <c r="E96" s="3368" t="s">
        <v>2391</v>
      </c>
      <c r="F96" s="3369"/>
      <c r="G96" s="3369"/>
      <c r="H96" s="3370"/>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1797</v>
      </c>
      <c r="B97" s="380" t="s">
        <v>416</v>
      </c>
      <c r="C97" s="383">
        <f ca="1">C90-C91</f>
        <v>96676</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1798</v>
      </c>
      <c r="B98" s="380" t="s">
        <v>417</v>
      </c>
      <c r="C98" s="405">
        <f ca="1">IF(C97&lt;=0,0,C97/C91)</f>
        <v>30.593670886075948</v>
      </c>
      <c r="D98" s="376"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1799</v>
      </c>
      <c r="B99" s="385" t="s">
        <v>418</v>
      </c>
      <c r="C99" s="406">
        <f ca="1">ROUND(IF(C97&lt;=0,0,IF(C98&gt;=200%,C97*60%-C91*35%,IF(C98&gt;=100%,C97*50%-C91*15%,IF(C98&gt;=50%,C97*40%-C91*5%,IF(C98&lt;50%,C97*30%,0))))),0)</f>
        <v>56900</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81" t="s">
        <v>419</v>
      </c>
      <c r="B101" s="3382"/>
      <c r="C101" s="3382"/>
      <c r="D101" s="3382"/>
      <c r="E101" s="3382"/>
      <c r="F101" s="3382"/>
      <c r="G101" s="3382"/>
      <c r="H101" s="3382"/>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45" t="s">
        <v>393</v>
      </c>
      <c r="B102" s="3346"/>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99836</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1289</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1800</v>
      </c>
      <c r="B109" s="374" t="s">
        <v>426</v>
      </c>
      <c r="C109" s="403">
        <f>IF(H109="——",IF(F1="现房",'剩余法-现房'!C18,'剩余法-待开发'!C18),I109)</f>
        <v>55</v>
      </c>
      <c r="D109" s="404"/>
      <c r="E109" s="3371" t="s">
        <v>427</v>
      </c>
      <c r="F109" s="3369"/>
      <c r="G109" s="3369"/>
      <c r="H109" s="1938" t="s">
        <v>2242</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1801</v>
      </c>
      <c r="B110" s="374" t="s">
        <v>428</v>
      </c>
      <c r="C110" s="403">
        <f>ROUND((C105+C108+C109)*D110,0)</f>
        <v>63</v>
      </c>
      <c r="D110" s="404">
        <v>0.1</v>
      </c>
      <c r="E110" s="3371" t="s">
        <v>429</v>
      </c>
      <c r="F110" s="3369"/>
      <c r="G110" s="3369"/>
      <c r="H110" s="3370"/>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1802</v>
      </c>
      <c r="B111" s="374" t="s">
        <v>415</v>
      </c>
      <c r="C111" s="403">
        <f ca="1">ROUND(D63*D111/(1+'数据-取费表'!C42),0)</f>
        <v>599</v>
      </c>
      <c r="D111" s="404">
        <f>'数据-取费表'!B43</f>
        <v>6.000000000000001E-3</v>
      </c>
      <c r="E111" s="3368" t="s">
        <v>2391</v>
      </c>
      <c r="F111" s="3369"/>
      <c r="G111" s="3369"/>
      <c r="H111" s="3370"/>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1803</v>
      </c>
      <c r="B112" s="374" t="s">
        <v>430</v>
      </c>
      <c r="C112" s="403">
        <f>ROUND(C108*D112,0)</f>
        <v>0</v>
      </c>
      <c r="D112" s="404">
        <v>0.2</v>
      </c>
      <c r="E112" s="3371" t="s">
        <v>2416</v>
      </c>
      <c r="F112" s="3369"/>
      <c r="G112" s="3369"/>
      <c r="H112" s="3370"/>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1797</v>
      </c>
      <c r="B113" s="380" t="s">
        <v>416</v>
      </c>
      <c r="C113" s="383">
        <f ca="1">ROUND(C103-C104,0)</f>
        <v>98547</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1798</v>
      </c>
      <c r="B114" s="380" t="s">
        <v>417</v>
      </c>
      <c r="C114" s="405">
        <f ca="1">IF(C113&lt;=0,0,C113/C104)</f>
        <v>76.4522885958107</v>
      </c>
      <c r="D114" s="376"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1799</v>
      </c>
      <c r="B115" s="385" t="s">
        <v>418</v>
      </c>
      <c r="C115" s="406">
        <f ca="1">ROUND(IF(C113&lt;=0,0,IF(C114&gt;=200%,C113*60%-C104*35%,IF(C114&gt;=100%,C113*50%-C104*15%,IF(C114&gt;=50%,C113*40%-C104*5%,IF(C114&lt;50%,C113*30%,0))))),0)</f>
        <v>58677</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17" sqref="M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432</v>
      </c>
      <c r="B2" s="506">
        <f>F68</f>
        <v>172788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1646</v>
      </c>
      <c r="B3" s="508">
        <f>ROUND(B2*10000/'数据-汇总表'!E3,0)</f>
        <v>10493</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4" customFormat="1" ht="28.5" customHeight="1">
      <c r="A4" s="509" t="s">
        <v>485</v>
      </c>
      <c r="B4" s="425">
        <f>IF(B48="单位面积地价",C50,ROUND(B2*10000/'数据-汇总表'!D3,0))</f>
        <v>30884</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2059</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486</v>
      </c>
      <c r="B6" s="511"/>
      <c r="C6" s="3426" t="s">
        <v>487</v>
      </c>
      <c r="D6" s="3427"/>
      <c r="E6" s="3426" t="s">
        <v>488</v>
      </c>
      <c r="F6" s="3427"/>
      <c r="G6" s="3426" t="s">
        <v>489</v>
      </c>
      <c r="H6" s="3427"/>
      <c r="I6" s="3426" t="s">
        <v>490</v>
      </c>
      <c r="J6" s="3427"/>
      <c r="K6" s="512" t="s">
        <v>491</v>
      </c>
      <c r="L6" s="2130"/>
      <c r="M6" s="2129"/>
      <c r="N6" s="2129"/>
      <c r="O6" s="2131"/>
      <c r="P6" s="3428" t="s">
        <v>492</v>
      </c>
      <c r="Q6" s="3429"/>
      <c r="R6" s="3414" t="s">
        <v>488</v>
      </c>
      <c r="S6" s="3415"/>
      <c r="T6" s="3414" t="s">
        <v>489</v>
      </c>
      <c r="U6" s="3415"/>
      <c r="V6" s="3434" t="s">
        <v>490</v>
      </c>
      <c r="W6" s="3434"/>
      <c r="X6" s="1565"/>
      <c r="Y6" s="3414" t="s">
        <v>492</v>
      </c>
      <c r="Z6" s="3415"/>
      <c r="AA6" s="3409" t="s">
        <v>488</v>
      </c>
      <c r="AB6" s="3410" t="s">
        <v>489</v>
      </c>
      <c r="AC6" s="3409" t="s">
        <v>490</v>
      </c>
    </row>
    <row r="7" spans="1:30" ht="72.75" customHeight="1">
      <c r="A7" s="513"/>
      <c r="B7" s="514"/>
      <c r="C7" s="3439" t="str">
        <f>项目基本情况!F10</f>
        <v>丰台区王佐镇怪村0024</v>
      </c>
      <c r="D7" s="3438"/>
      <c r="E7" s="3437" t="str">
        <f>土地及现房案例!C7</f>
        <v>北京市石景山区五里坨建设组团二1601-053地块等F3其他类多功能用地、R2二类居住用地、A334基础教育用地</v>
      </c>
      <c r="F7" s="3438"/>
      <c r="G7" s="3437" t="str">
        <f>土地及现房案例!C8</f>
        <v>北京市石景山区五里坨建设组团一(1601-029)等地块R2二类居住用地、F1住宅混合公建用地、F3其他类多功能用地、B4综合性商业金融服务业用地、A334基础教育用地</v>
      </c>
      <c r="H7" s="3438"/>
      <c r="I7" s="3437" t="str">
        <f>土地及现房案例!C12</f>
        <v>门头沟区潭柘寺镇MC01-0003-6009、6008、0057、0086、0120、6016、6015地块</v>
      </c>
      <c r="J7" s="3438"/>
      <c r="K7" s="512"/>
      <c r="L7" s="2130"/>
      <c r="M7" s="2129"/>
      <c r="N7" s="2129"/>
      <c r="O7" s="2131"/>
      <c r="P7" s="3430"/>
      <c r="Q7" s="3431"/>
      <c r="R7" s="3416"/>
      <c r="S7" s="3417"/>
      <c r="T7" s="3416"/>
      <c r="U7" s="3417"/>
      <c r="V7" s="3434"/>
      <c r="W7" s="3434"/>
      <c r="X7" s="1565"/>
      <c r="Y7" s="3416"/>
      <c r="Z7" s="3417"/>
      <c r="AA7" s="3410"/>
      <c r="AB7" s="3410"/>
      <c r="AC7" s="3410"/>
    </row>
    <row r="8" spans="1:30" ht="21" thickBot="1">
      <c r="A8" s="513"/>
      <c r="B8" s="514"/>
      <c r="C8" s="3440" t="s">
        <v>3069</v>
      </c>
      <c r="D8" s="3441"/>
      <c r="E8" s="3440" t="s">
        <v>3069</v>
      </c>
      <c r="F8" s="3441"/>
      <c r="G8" s="3435" t="s">
        <v>3069</v>
      </c>
      <c r="H8" s="3436"/>
      <c r="I8" s="3435" t="s">
        <v>3069</v>
      </c>
      <c r="J8" s="3436"/>
      <c r="K8" s="512" t="s">
        <v>493</v>
      </c>
      <c r="L8" s="2130"/>
      <c r="M8" s="2129"/>
      <c r="N8" s="2129"/>
      <c r="O8" s="2131"/>
      <c r="P8" s="3432"/>
      <c r="Q8" s="3433"/>
      <c r="R8" s="3416"/>
      <c r="S8" s="3417"/>
      <c r="T8" s="3418"/>
      <c r="U8" s="3419"/>
      <c r="V8" s="3434"/>
      <c r="W8" s="3434"/>
      <c r="X8" s="1565"/>
      <c r="Y8" s="3418"/>
      <c r="Z8" s="3419"/>
      <c r="AA8" s="3411"/>
      <c r="AB8" s="3411"/>
      <c r="AC8" s="3411"/>
    </row>
    <row r="9" spans="1:30" s="1218" customFormat="1" ht="21" thickBot="1">
      <c r="A9" s="2933"/>
      <c r="B9" s="2940" t="s">
        <v>494</v>
      </c>
      <c r="C9" s="2932">
        <f>'数据-取费表'!B2</f>
        <v>43234</v>
      </c>
      <c r="D9" s="518">
        <v>100</v>
      </c>
      <c r="E9" s="519" t="str">
        <f>土地及现房案例!I7</f>
        <v>2017-11-14</v>
      </c>
      <c r="F9" s="520">
        <f>SUMIF(72:72,YEAR(E9)&amp;"-"&amp;INT((MONTH(E9)+2)/3),73:73)</f>
        <v>98</v>
      </c>
      <c r="G9" s="521" t="str">
        <f>土地及现房案例!I8</f>
        <v>2017-11-07</v>
      </c>
      <c r="H9" s="518">
        <f>SUMIF(72:72,YEAR(G9)&amp;"-"&amp;INT((MONTH(G9)+2)/3),73:73)</f>
        <v>98</v>
      </c>
      <c r="I9" s="521" t="str">
        <f>土地及现房案例!I12</f>
        <v>2017-01-19</v>
      </c>
      <c r="J9" s="518">
        <f>SUMIF(72:72,YEAR(I9)&amp;"-"&amp;INT((MONTH(I9)+2)/3),73:73)</f>
        <v>95</v>
      </c>
      <c r="K9" s="522"/>
      <c r="L9" s="2132"/>
      <c r="M9" s="2129"/>
      <c r="N9" s="2129"/>
      <c r="O9" s="2133"/>
      <c r="P9" s="3412" t="s">
        <v>495</v>
      </c>
      <c r="Q9" s="3421"/>
      <c r="R9" s="1566" t="s">
        <v>8</v>
      </c>
      <c r="S9" s="1567">
        <f t="shared" ref="S9:S17" si="0">F9</f>
        <v>98</v>
      </c>
      <c r="T9" s="1566" t="s">
        <v>8</v>
      </c>
      <c r="U9" s="1567">
        <f t="shared" ref="U9:U17" si="1">H9</f>
        <v>98</v>
      </c>
      <c r="V9" s="1566" t="s">
        <v>8</v>
      </c>
      <c r="W9" s="1567">
        <f t="shared" ref="W9:W17" si="2">J9</f>
        <v>95</v>
      </c>
      <c r="X9" s="1568"/>
      <c r="Y9" s="3412" t="s">
        <v>495</v>
      </c>
      <c r="Z9" s="3413"/>
      <c r="AA9" s="1569">
        <f>D9/F9</f>
        <v>1.0204081632653061</v>
      </c>
      <c r="AB9" s="1569">
        <f>D9/H9</f>
        <v>1.0204081632653061</v>
      </c>
      <c r="AC9" s="1569">
        <f>D9/J9</f>
        <v>1.0526315789473684</v>
      </c>
    </row>
    <row r="10" spans="1:30" s="1218" customFormat="1" ht="21" thickBot="1">
      <c r="A10" s="2934"/>
      <c r="B10" s="2941"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412" t="s">
        <v>498</v>
      </c>
      <c r="Q10" s="3413"/>
      <c r="R10" s="1566" t="s">
        <v>8</v>
      </c>
      <c r="S10" s="1567">
        <f t="shared" si="0"/>
        <v>100</v>
      </c>
      <c r="T10" s="1566" t="s">
        <v>8</v>
      </c>
      <c r="U10" s="1567">
        <f t="shared" si="1"/>
        <v>100</v>
      </c>
      <c r="V10" s="1566" t="s">
        <v>8</v>
      </c>
      <c r="W10" s="1567">
        <f t="shared" si="2"/>
        <v>100</v>
      </c>
      <c r="X10" s="1568"/>
      <c r="Y10" s="3412" t="s">
        <v>498</v>
      </c>
      <c r="Z10" s="3413"/>
      <c r="AA10" s="1569">
        <f t="shared" ref="AA10:AA47" si="3">D10/F10</f>
        <v>1</v>
      </c>
      <c r="AB10" s="1569">
        <f t="shared" ref="AB10:AB47" si="4">D10/H10</f>
        <v>1</v>
      </c>
      <c r="AC10" s="1569">
        <f t="shared" ref="AC10:AC47" si="5">D10/J10</f>
        <v>1</v>
      </c>
    </row>
    <row r="11" spans="1:30" s="1218" customFormat="1" ht="20.25">
      <c r="A11" s="2935"/>
      <c r="B11" s="2942" t="s">
        <v>2718</v>
      </c>
      <c r="C11" s="2929" t="s">
        <v>888</v>
      </c>
      <c r="D11" s="252">
        <v>100</v>
      </c>
      <c r="E11" s="2929" t="s">
        <v>888</v>
      </c>
      <c r="F11" s="252">
        <f>SUMIF(77:77,E11,78:78)-SUMIF(77:77,C11,78:78)+100</f>
        <v>100</v>
      </c>
      <c r="G11" s="2929" t="s">
        <v>888</v>
      </c>
      <c r="H11" s="252">
        <f>SUMIF(77:77,G11,78:78)-SUMIF(77:77,C11,78:78)+100</f>
        <v>100</v>
      </c>
      <c r="I11" s="2929" t="s">
        <v>888</v>
      </c>
      <c r="J11" s="252">
        <f>SUMIF(77:77,I11,78:78)-SUMIF(77:77,C11,78:78)+100</f>
        <v>100</v>
      </c>
      <c r="K11" s="522"/>
      <c r="L11" s="2132"/>
      <c r="M11" s="2129"/>
      <c r="N11" s="2129"/>
      <c r="O11" s="2134"/>
      <c r="P11" s="3420" t="s">
        <v>500</v>
      </c>
      <c r="Q11" s="1149" t="str">
        <f t="shared" ref="Q11:Q17" si="6">B11</f>
        <v>用途</v>
      </c>
      <c r="R11" s="1566" t="s">
        <v>8</v>
      </c>
      <c r="S11" s="1567">
        <f t="shared" si="0"/>
        <v>100</v>
      </c>
      <c r="T11" s="1566" t="s">
        <v>8</v>
      </c>
      <c r="U11" s="1567">
        <f t="shared" si="1"/>
        <v>100</v>
      </c>
      <c r="V11" s="1566" t="s">
        <v>8</v>
      </c>
      <c r="W11" s="1567">
        <f t="shared" si="2"/>
        <v>100</v>
      </c>
      <c r="X11" s="1568"/>
      <c r="Y11" s="3377" t="s">
        <v>501</v>
      </c>
      <c r="Z11" s="1148" t="str">
        <f t="shared" ref="Z11:Z17" si="7">Q11</f>
        <v>用途</v>
      </c>
      <c r="AA11" s="1569">
        <f t="shared" si="3"/>
        <v>1</v>
      </c>
      <c r="AB11" s="1569">
        <f t="shared" si="4"/>
        <v>1</v>
      </c>
      <c r="AC11" s="1569">
        <f t="shared" si="5"/>
        <v>1</v>
      </c>
    </row>
    <row r="12" spans="1:30" s="1336" customFormat="1" ht="27">
      <c r="A12" s="2936"/>
      <c r="B12" s="2941" t="s">
        <v>2719</v>
      </c>
      <c r="C12" s="908">
        <f>项目基本情况!D19</f>
        <v>69.11</v>
      </c>
      <c r="D12" s="253">
        <v>100</v>
      </c>
      <c r="E12" s="527" t="s">
        <v>3034</v>
      </c>
      <c r="F12" s="253">
        <f>ROUND(100/'数据-取费表'!G16,0)</f>
        <v>100</v>
      </c>
      <c r="G12" s="528" t="s">
        <v>3034</v>
      </c>
      <c r="H12" s="253">
        <f>ROUND(100/'数据-取费表'!G16,0)</f>
        <v>100</v>
      </c>
      <c r="I12" s="528" t="s">
        <v>3034</v>
      </c>
      <c r="J12" s="253">
        <f>ROUND(100/'数据-取费表'!G16,0)</f>
        <v>100</v>
      </c>
      <c r="K12" s="529"/>
      <c r="L12" s="2135"/>
      <c r="M12" s="2129"/>
      <c r="N12" s="2129"/>
      <c r="O12" s="2136"/>
      <c r="P12" s="3420"/>
      <c r="Q12" s="1149" t="str">
        <f t="shared" si="6"/>
        <v>土地使用年限（年）</v>
      </c>
      <c r="R12" s="1566" t="s">
        <v>8</v>
      </c>
      <c r="S12" s="1567">
        <f t="shared" si="0"/>
        <v>100</v>
      </c>
      <c r="T12" s="1566" t="s">
        <v>8</v>
      </c>
      <c r="U12" s="1567">
        <f t="shared" si="1"/>
        <v>100</v>
      </c>
      <c r="V12" s="1566" t="s">
        <v>8</v>
      </c>
      <c r="W12" s="1567">
        <f t="shared" si="2"/>
        <v>100</v>
      </c>
      <c r="X12" s="1568"/>
      <c r="Y12" s="3377"/>
      <c r="Z12" s="1148" t="str">
        <f t="shared" si="7"/>
        <v>土地使用年限（年）</v>
      </c>
      <c r="AA12" s="1569">
        <f t="shared" si="3"/>
        <v>1</v>
      </c>
      <c r="AB12" s="1569">
        <f t="shared" si="4"/>
        <v>1</v>
      </c>
      <c r="AC12" s="1569">
        <f t="shared" si="5"/>
        <v>1</v>
      </c>
    </row>
    <row r="13" spans="1:30" ht="20.25">
      <c r="A13" s="2937"/>
      <c r="B13" s="2941" t="s">
        <v>2720</v>
      </c>
      <c r="C13" s="532">
        <f>'数据-汇总表'!I4</f>
        <v>1.1000000000000001</v>
      </c>
      <c r="D13" s="253">
        <v>100</v>
      </c>
      <c r="E13" s="531">
        <f>土地及现房案例!H7</f>
        <v>1.7</v>
      </c>
      <c r="F13" s="253">
        <f>LOOKUP(E13,82:82,83:83)-LOOKUP(C13,82:82,83:83)+100</f>
        <v>98</v>
      </c>
      <c r="G13" s="532">
        <f>土地及现房案例!H8</f>
        <v>1.607</v>
      </c>
      <c r="H13" s="253">
        <f>LOOKUP(G13,82:82,83:83)-LOOKUP(C13,82:82,83:83)+100</f>
        <v>98</v>
      </c>
      <c r="I13" s="531">
        <f>土地及现房案例!H12</f>
        <v>1.32</v>
      </c>
      <c r="J13" s="253">
        <f>LOOKUP(I13,82:82,83:83)-LOOKUP(C13,82:82,83:83)+100</f>
        <v>100</v>
      </c>
      <c r="K13" s="533">
        <v>2</v>
      </c>
      <c r="L13" s="2137"/>
      <c r="M13" s="2129"/>
      <c r="N13" s="2129"/>
      <c r="O13" s="2138"/>
      <c r="P13" s="3420"/>
      <c r="Q13" s="1149" t="str">
        <f t="shared" si="6"/>
        <v>容积率</v>
      </c>
      <c r="R13" s="1566" t="s">
        <v>8</v>
      </c>
      <c r="S13" s="1567">
        <f t="shared" si="0"/>
        <v>98</v>
      </c>
      <c r="T13" s="1566" t="s">
        <v>8</v>
      </c>
      <c r="U13" s="1567">
        <f t="shared" si="1"/>
        <v>98</v>
      </c>
      <c r="V13" s="1566" t="s">
        <v>8</v>
      </c>
      <c r="W13" s="1567">
        <f t="shared" si="2"/>
        <v>100</v>
      </c>
      <c r="X13" s="1568"/>
      <c r="Y13" s="3377"/>
      <c r="Z13" s="1148" t="str">
        <f t="shared" si="7"/>
        <v>容积率</v>
      </c>
      <c r="AA13" s="1569">
        <f t="shared" si="3"/>
        <v>1.0204081632653061</v>
      </c>
      <c r="AB13" s="1569">
        <f t="shared" si="4"/>
        <v>1.0204081632653061</v>
      </c>
      <c r="AC13" s="1569">
        <f t="shared" si="5"/>
        <v>1</v>
      </c>
    </row>
    <row r="14" spans="1:30" s="1218" customFormat="1" ht="20.25">
      <c r="A14" s="2934"/>
      <c r="B14" s="2943" t="s">
        <v>2721</v>
      </c>
      <c r="C14" s="2930" t="s">
        <v>3027</v>
      </c>
      <c r="D14" s="536">
        <v>100</v>
      </c>
      <c r="E14" s="2930" t="s">
        <v>3027</v>
      </c>
      <c r="F14" s="253">
        <f>SUMIF(84:84,E14,85:85)-SUMIF(84:84,C14,85:85)+100</f>
        <v>100</v>
      </c>
      <c r="G14" s="2930" t="s">
        <v>3027</v>
      </c>
      <c r="H14" s="253">
        <f>SUMIF(84:84,G14,85:85)-SUMIF(84:84,C14,85:85)+100</f>
        <v>100</v>
      </c>
      <c r="I14" s="2930" t="s">
        <v>3027</v>
      </c>
      <c r="J14" s="253">
        <f>SUMIF(84:84,I14,85:85)-SUMIF(84:84,C14,85:85)+100</f>
        <v>100</v>
      </c>
      <c r="K14" s="529"/>
      <c r="L14" s="2132"/>
      <c r="M14" s="2129"/>
      <c r="N14" s="2129"/>
      <c r="O14" s="2134"/>
      <c r="P14" s="3420"/>
      <c r="Q14" s="1149" t="str">
        <f t="shared" si="6"/>
        <v>配建</v>
      </c>
      <c r="R14" s="1566" t="s">
        <v>8</v>
      </c>
      <c r="S14" s="1567">
        <f t="shared" si="0"/>
        <v>100</v>
      </c>
      <c r="T14" s="1566" t="s">
        <v>8</v>
      </c>
      <c r="U14" s="1567">
        <f t="shared" si="1"/>
        <v>100</v>
      </c>
      <c r="V14" s="1566" t="s">
        <v>8</v>
      </c>
      <c r="W14" s="1567">
        <f t="shared" si="2"/>
        <v>100</v>
      </c>
      <c r="X14" s="1568"/>
      <c r="Y14" s="3377"/>
      <c r="Z14" s="1148" t="str">
        <f t="shared" si="7"/>
        <v>配建</v>
      </c>
      <c r="AA14" s="1569">
        <f>D14/F14</f>
        <v>1</v>
      </c>
      <c r="AB14" s="1569">
        <f>D14/H14</f>
        <v>1</v>
      </c>
      <c r="AC14" s="1569">
        <f>D14/J14</f>
        <v>1</v>
      </c>
    </row>
    <row r="15" spans="1:30" s="1585" customFormat="1" ht="20.25">
      <c r="A15" s="2938"/>
      <c r="B15" s="3217"/>
      <c r="C15" s="3218"/>
      <c r="D15" s="3219">
        <v>100</v>
      </c>
      <c r="E15" s="3220"/>
      <c r="F15" s="3221">
        <f>SUMIF(86:86,E15,87:87)-SUMIF(86:86,C15,87:87)+100</f>
        <v>100</v>
      </c>
      <c r="G15" s="3222"/>
      <c r="H15" s="3219">
        <f>SUMIF(86:86,G15,87:87)-SUMIF(86:86,C15,87:87)+100</f>
        <v>100</v>
      </c>
      <c r="I15" s="3222"/>
      <c r="J15" s="3219">
        <f>SUMIF(86:86,I15,87:87)-SUMIF(86:86,C15,87:87)+100</f>
        <v>100</v>
      </c>
      <c r="K15" s="3223"/>
      <c r="L15" s="3224"/>
      <c r="M15" s="3225"/>
      <c r="N15" s="3225"/>
      <c r="O15" s="3226"/>
      <c r="P15" s="3420"/>
      <c r="Q15" s="3227">
        <f t="shared" si="6"/>
        <v>0</v>
      </c>
      <c r="R15" s="3228" t="s">
        <v>8</v>
      </c>
      <c r="S15" s="3229">
        <f t="shared" si="0"/>
        <v>100</v>
      </c>
      <c r="T15" s="3228" t="s">
        <v>8</v>
      </c>
      <c r="U15" s="3229">
        <f t="shared" si="1"/>
        <v>100</v>
      </c>
      <c r="V15" s="3228" t="s">
        <v>8</v>
      </c>
      <c r="W15" s="3229">
        <f t="shared" si="2"/>
        <v>100</v>
      </c>
      <c r="X15" s="3230"/>
      <c r="Y15" s="3377"/>
      <c r="Z15" s="3231">
        <f t="shared" si="7"/>
        <v>0</v>
      </c>
      <c r="AA15" s="3232">
        <f>D15/F15</f>
        <v>1</v>
      </c>
      <c r="AB15" s="3232">
        <f>D15/H15</f>
        <v>1</v>
      </c>
      <c r="AC15" s="3232">
        <f>D15/J15</f>
        <v>1</v>
      </c>
    </row>
    <row r="16" spans="1:30" ht="21" thickBot="1">
      <c r="A16" s="2939"/>
      <c r="B16" s="2945"/>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20"/>
      <c r="Q16" s="1149">
        <f t="shared" si="6"/>
        <v>0</v>
      </c>
      <c r="R16" s="1566" t="s">
        <v>8</v>
      </c>
      <c r="S16" s="1567">
        <f t="shared" si="0"/>
        <v>100</v>
      </c>
      <c r="T16" s="1566" t="s">
        <v>8</v>
      </c>
      <c r="U16" s="1567">
        <f t="shared" si="1"/>
        <v>100</v>
      </c>
      <c r="V16" s="1566" t="s">
        <v>8</v>
      </c>
      <c r="W16" s="1567">
        <f t="shared" si="2"/>
        <v>100</v>
      </c>
      <c r="X16" s="1568"/>
      <c r="Y16" s="3377"/>
      <c r="Z16" s="1148">
        <f t="shared" si="7"/>
        <v>0</v>
      </c>
      <c r="AA16" s="1569">
        <f>D16/F16</f>
        <v>1</v>
      </c>
      <c r="AB16" s="1569">
        <f>D16/H16</f>
        <v>1</v>
      </c>
      <c r="AC16" s="1569">
        <f>D16/J16</f>
        <v>1</v>
      </c>
    </row>
    <row r="17" spans="1:29" ht="99.75">
      <c r="A17" s="2931" t="s">
        <v>2716</v>
      </c>
      <c r="B17" s="576" t="s">
        <v>260</v>
      </c>
      <c r="C17" s="546" t="str">
        <f>估价对象房地状况!C15</f>
        <v>估价对象周边居住用地比例一般、居住小区规模和社区发展完善程度一般，综合评价居住社区成熟度一般</v>
      </c>
      <c r="D17" s="549">
        <v>100</v>
      </c>
      <c r="E17" s="3198" t="s">
        <v>3063</v>
      </c>
      <c r="F17" s="547">
        <f>SUMIF(90:90,E18,91:91)-SUMIF(90:90,C18,91:91)+100</f>
        <v>95</v>
      </c>
      <c r="G17" s="3198" t="s">
        <v>3063</v>
      </c>
      <c r="H17" s="547">
        <f>SUMIF(90:90,G18,91:91)-SUMIF(90:90,C18,91:91)+100</f>
        <v>95</v>
      </c>
      <c r="I17" s="550" t="s">
        <v>3049</v>
      </c>
      <c r="J17" s="547">
        <f>SUMIF(90:90,I18,91:91)-SUMIF(90:90,C18,91:91)+100</f>
        <v>95</v>
      </c>
      <c r="K17" s="533">
        <v>5</v>
      </c>
      <c r="L17" s="2139"/>
      <c r="M17" s="2129"/>
      <c r="N17" s="2129"/>
      <c r="O17" s="2138"/>
      <c r="P17" s="3422" t="s">
        <v>505</v>
      </c>
      <c r="Q17" s="1570" t="str">
        <f t="shared" si="6"/>
        <v>居住社区成熟度</v>
      </c>
      <c r="R17" s="1571" t="s">
        <v>8</v>
      </c>
      <c r="S17" s="1572">
        <f t="shared" si="0"/>
        <v>95</v>
      </c>
      <c r="T17" s="1571" t="s">
        <v>8</v>
      </c>
      <c r="U17" s="1572">
        <f t="shared" si="1"/>
        <v>95</v>
      </c>
      <c r="V17" s="1571" t="s">
        <v>8</v>
      </c>
      <c r="W17" s="1572">
        <f t="shared" si="2"/>
        <v>95</v>
      </c>
      <c r="X17" s="1565"/>
      <c r="Y17" s="3422" t="s">
        <v>505</v>
      </c>
      <c r="Z17" s="1573" t="str">
        <f t="shared" si="7"/>
        <v>居住社区成熟度</v>
      </c>
      <c r="AA17" s="1574">
        <f t="shared" si="3"/>
        <v>1.0526315789473684</v>
      </c>
      <c r="AB17" s="1574">
        <f t="shared" si="4"/>
        <v>1.0526315789473684</v>
      </c>
      <c r="AC17" s="1574">
        <f t="shared" si="5"/>
        <v>1.0526315789473684</v>
      </c>
    </row>
    <row r="18" spans="1:29" ht="20.25">
      <c r="A18" s="530"/>
      <c r="B18" s="551"/>
      <c r="C18" s="552" t="s">
        <v>2978</v>
      </c>
      <c r="D18" s="555"/>
      <c r="E18" s="556" t="s">
        <v>3057</v>
      </c>
      <c r="F18" s="553"/>
      <c r="G18" s="556" t="s">
        <v>3057</v>
      </c>
      <c r="H18" s="557"/>
      <c r="I18" s="556" t="s">
        <v>3057</v>
      </c>
      <c r="J18" s="553"/>
      <c r="K18" s="529"/>
      <c r="L18" s="2139"/>
      <c r="M18" s="2129"/>
      <c r="N18" s="2129"/>
      <c r="O18" s="2138"/>
      <c r="P18" s="3423"/>
      <c r="Q18" s="1570"/>
      <c r="R18" s="1571"/>
      <c r="S18" s="1572"/>
      <c r="T18" s="1571"/>
      <c r="U18" s="1572"/>
      <c r="V18" s="1571"/>
      <c r="W18" s="1572"/>
      <c r="X18" s="1565"/>
      <c r="Y18" s="3423"/>
      <c r="Z18" s="1573"/>
      <c r="AA18" s="1574">
        <v>1</v>
      </c>
      <c r="AB18" s="1574">
        <v>1</v>
      </c>
      <c r="AC18" s="1574">
        <v>1</v>
      </c>
    </row>
    <row r="19" spans="1:29" ht="20.25">
      <c r="A19" s="530"/>
      <c r="B19" s="558" t="s">
        <v>506</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1</v>
      </c>
      <c r="L19" s="2139"/>
      <c r="M19" s="2129"/>
      <c r="N19" s="2129"/>
      <c r="O19" s="2138"/>
      <c r="P19" s="3423"/>
      <c r="Q19" s="1570" t="str">
        <f>B19</f>
        <v>商业繁华度</v>
      </c>
      <c r="R19" s="1571" t="s">
        <v>8</v>
      </c>
      <c r="S19" s="1572">
        <f>F19</f>
        <v>100</v>
      </c>
      <c r="T19" s="1571" t="s">
        <v>8</v>
      </c>
      <c r="U19" s="1572">
        <f>H19</f>
        <v>100</v>
      </c>
      <c r="V19" s="1571" t="s">
        <v>8</v>
      </c>
      <c r="W19" s="1572">
        <f>J19</f>
        <v>100</v>
      </c>
      <c r="X19" s="1565"/>
      <c r="Y19" s="3423"/>
      <c r="Z19" s="1573" t="str">
        <f>Q19</f>
        <v>商业繁华度</v>
      </c>
      <c r="AA19" s="1574">
        <f t="shared" si="3"/>
        <v>1</v>
      </c>
      <c r="AB19" s="1574">
        <f t="shared" si="4"/>
        <v>1</v>
      </c>
      <c r="AC19" s="1574">
        <f t="shared" si="5"/>
        <v>1</v>
      </c>
    </row>
    <row r="20" spans="1:29" ht="20.25">
      <c r="A20" s="530"/>
      <c r="B20" s="564"/>
      <c r="C20" s="565" t="s">
        <v>2979</v>
      </c>
      <c r="D20" s="561"/>
      <c r="E20" s="567" t="s">
        <v>2979</v>
      </c>
      <c r="F20" s="557"/>
      <c r="G20" s="566" t="s">
        <v>2979</v>
      </c>
      <c r="H20" s="553"/>
      <c r="I20" s="567" t="s">
        <v>2979</v>
      </c>
      <c r="J20" s="553"/>
      <c r="K20" s="529"/>
      <c r="L20" s="2139"/>
      <c r="M20" s="2129"/>
      <c r="N20" s="2129"/>
      <c r="O20" s="2138"/>
      <c r="P20" s="3423"/>
      <c r="Q20" s="1570"/>
      <c r="R20" s="1571"/>
      <c r="S20" s="1572"/>
      <c r="T20" s="1571"/>
      <c r="U20" s="1572"/>
      <c r="V20" s="1571"/>
      <c r="W20" s="1572"/>
      <c r="X20" s="1565"/>
      <c r="Y20" s="3423"/>
      <c r="Z20" s="1573"/>
      <c r="AA20" s="1574">
        <v>1</v>
      </c>
      <c r="AB20" s="1574">
        <v>1</v>
      </c>
      <c r="AC20" s="1574">
        <v>1</v>
      </c>
    </row>
    <row r="21" spans="1:29" ht="20.25">
      <c r="A21" s="530"/>
      <c r="B21" s="558" t="s">
        <v>507</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v>1</v>
      </c>
      <c r="L21" s="2139"/>
      <c r="M21" s="2129"/>
      <c r="N21" s="2129"/>
      <c r="O21" s="2138"/>
      <c r="P21" s="3423"/>
      <c r="Q21" s="1570" t="str">
        <f>B21</f>
        <v>办公集聚程度</v>
      </c>
      <c r="R21" s="1571" t="s">
        <v>8</v>
      </c>
      <c r="S21" s="1572">
        <f>F21</f>
        <v>100</v>
      </c>
      <c r="T21" s="1571" t="s">
        <v>8</v>
      </c>
      <c r="U21" s="1572">
        <f>H21</f>
        <v>100</v>
      </c>
      <c r="V21" s="1571" t="s">
        <v>8</v>
      </c>
      <c r="W21" s="1572">
        <f>J21</f>
        <v>100</v>
      </c>
      <c r="X21" s="1565"/>
      <c r="Y21" s="3423"/>
      <c r="Z21" s="1573" t="str">
        <f>Q21</f>
        <v>办公集聚程度</v>
      </c>
      <c r="AA21" s="1574">
        <f t="shared" si="3"/>
        <v>1</v>
      </c>
      <c r="AB21" s="1574">
        <f t="shared" si="4"/>
        <v>1</v>
      </c>
      <c r="AC21" s="1574">
        <f t="shared" si="5"/>
        <v>1</v>
      </c>
    </row>
    <row r="22" spans="1:29" ht="20.25">
      <c r="A22" s="530"/>
      <c r="B22" s="564"/>
      <c r="C22" s="552" t="s">
        <v>2980</v>
      </c>
      <c r="D22" s="555"/>
      <c r="E22" s="552" t="s">
        <v>2980</v>
      </c>
      <c r="F22" s="553"/>
      <c r="G22" s="552" t="s">
        <v>2980</v>
      </c>
      <c r="H22" s="553"/>
      <c r="I22" s="552" t="s">
        <v>2980</v>
      </c>
      <c r="J22" s="553"/>
      <c r="K22" s="529"/>
      <c r="L22" s="2139"/>
      <c r="M22" s="2129"/>
      <c r="N22" s="2129"/>
      <c r="O22" s="2138"/>
      <c r="P22" s="3423"/>
      <c r="Q22" s="1570"/>
      <c r="R22" s="1571"/>
      <c r="S22" s="1572"/>
      <c r="T22" s="1571"/>
      <c r="U22" s="1572"/>
      <c r="V22" s="1571"/>
      <c r="W22" s="1572"/>
      <c r="X22" s="1565"/>
      <c r="Y22" s="3423"/>
      <c r="Z22" s="1573"/>
      <c r="AA22" s="1574">
        <v>1</v>
      </c>
      <c r="AB22" s="1574">
        <v>1</v>
      </c>
      <c r="AC22" s="1574">
        <v>1</v>
      </c>
    </row>
    <row r="23" spans="1:29" ht="99.75">
      <c r="A23" s="530"/>
      <c r="B23" s="558" t="s">
        <v>508</v>
      </c>
      <c r="C23" s="571" t="str">
        <f>估价对象房地状况!C18</f>
        <v>估价对象周边道路状况较好、公共交通通达情况较好、停车便捷程度较好，综合评价交通便捷度较好</v>
      </c>
      <c r="D23" s="561">
        <v>100</v>
      </c>
      <c r="E23" s="562" t="s">
        <v>3050</v>
      </c>
      <c r="F23" s="563">
        <f>SUMIF(96:96,E24,97:97)-SUMIF(96:96,C24,97:97)+100</f>
        <v>100</v>
      </c>
      <c r="G23" s="560" t="s">
        <v>3050</v>
      </c>
      <c r="H23" s="557">
        <f>SUMIF(96:96,G24,97:97)-SUMIF(96:96,C24,97:97)+100</f>
        <v>100</v>
      </c>
      <c r="I23" s="562" t="s">
        <v>3050</v>
      </c>
      <c r="J23" s="557">
        <f>SUMIF(96:96,I24,97:97)-SUMIF(96:96,C24,97:97)+100</f>
        <v>100</v>
      </c>
      <c r="K23" s="533">
        <v>1</v>
      </c>
      <c r="L23" s="2139"/>
      <c r="M23" s="2129"/>
      <c r="N23" s="2129"/>
      <c r="O23" s="2138"/>
      <c r="P23" s="3423"/>
      <c r="Q23" s="1570" t="str">
        <f>B23</f>
        <v>交通便捷度</v>
      </c>
      <c r="R23" s="1571" t="s">
        <v>8</v>
      </c>
      <c r="S23" s="1572">
        <f>F23</f>
        <v>100</v>
      </c>
      <c r="T23" s="1571" t="s">
        <v>8</v>
      </c>
      <c r="U23" s="1572">
        <f>H23</f>
        <v>100</v>
      </c>
      <c r="V23" s="1571" t="s">
        <v>8</v>
      </c>
      <c r="W23" s="1572">
        <f>J23</f>
        <v>100</v>
      </c>
      <c r="X23" s="1565"/>
      <c r="Y23" s="3423"/>
      <c r="Z23" s="1573" t="str">
        <f>Q23</f>
        <v>交通便捷度</v>
      </c>
      <c r="AA23" s="1574">
        <f t="shared" si="3"/>
        <v>1</v>
      </c>
      <c r="AB23" s="1574">
        <f t="shared" si="4"/>
        <v>1</v>
      </c>
      <c r="AC23" s="1574">
        <f t="shared" si="5"/>
        <v>1</v>
      </c>
    </row>
    <row r="24" spans="1:29" ht="20.25">
      <c r="A24" s="530"/>
      <c r="B24" s="576"/>
      <c r="C24" s="552" t="s">
        <v>2981</v>
      </c>
      <c r="D24" s="555"/>
      <c r="E24" s="556" t="s">
        <v>2981</v>
      </c>
      <c r="F24" s="553"/>
      <c r="G24" s="554" t="s">
        <v>2981</v>
      </c>
      <c r="H24" s="553"/>
      <c r="I24" s="556" t="s">
        <v>2981</v>
      </c>
      <c r="J24" s="553"/>
      <c r="K24" s="529"/>
      <c r="L24" s="2139"/>
      <c r="M24" s="2129"/>
      <c r="N24" s="2129"/>
      <c r="O24" s="2138"/>
      <c r="P24" s="3423"/>
      <c r="Q24" s="1570"/>
      <c r="R24" s="1571"/>
      <c r="S24" s="1572"/>
      <c r="T24" s="1571"/>
      <c r="U24" s="1572"/>
      <c r="V24" s="1571"/>
      <c r="W24" s="1572"/>
      <c r="X24" s="1565"/>
      <c r="Y24" s="3423"/>
      <c r="Z24" s="1573"/>
      <c r="AA24" s="1574">
        <v>1</v>
      </c>
      <c r="AB24" s="1574">
        <v>1</v>
      </c>
      <c r="AC24" s="1574">
        <v>1</v>
      </c>
    </row>
    <row r="25" spans="1:29" ht="27">
      <c r="A25" s="513"/>
      <c r="B25" s="257" t="s">
        <v>509</v>
      </c>
      <c r="C25" s="571" t="str">
        <f>估价对象房地状况!C19</f>
        <v>较一致</v>
      </c>
      <c r="D25" s="561">
        <v>100</v>
      </c>
      <c r="E25" s="562" t="s">
        <v>3051</v>
      </c>
      <c r="F25" s="563">
        <f>SUMIF(98:98,E26,99:99)-SUMIF(98:98,C26,99:99)+100</f>
        <v>100</v>
      </c>
      <c r="G25" s="560" t="s">
        <v>3051</v>
      </c>
      <c r="H25" s="557">
        <f>SUMIF(98:98,G26,99:99)-SUMIF(98:98,C26,99:99)+100</f>
        <v>100</v>
      </c>
      <c r="I25" s="562" t="s">
        <v>3051</v>
      </c>
      <c r="J25" s="557">
        <f>SUMIF(98:98,I26,99:99)-SUMIF(98:98,C26,99:99)+100</f>
        <v>100</v>
      </c>
      <c r="K25" s="533">
        <v>1</v>
      </c>
      <c r="L25" s="2139"/>
      <c r="M25" s="2129"/>
      <c r="N25" s="2129"/>
      <c r="O25" s="2138"/>
      <c r="P25" s="3423"/>
      <c r="Q25" s="1570" t="str">
        <f t="shared" ref="Q25:Q39" si="8">B25</f>
        <v>区域土地利用方向</v>
      </c>
      <c r="R25" s="1571" t="s">
        <v>8</v>
      </c>
      <c r="S25" s="1572">
        <f>F25</f>
        <v>100</v>
      </c>
      <c r="T25" s="1571" t="s">
        <v>8</v>
      </c>
      <c r="U25" s="1572">
        <f>H25</f>
        <v>100</v>
      </c>
      <c r="V25" s="1571" t="s">
        <v>8</v>
      </c>
      <c r="W25" s="1572">
        <f>J25</f>
        <v>100</v>
      </c>
      <c r="X25" s="1565"/>
      <c r="Y25" s="3423"/>
      <c r="Z25" s="1573" t="str">
        <f>Q25</f>
        <v>区域土地利用方向</v>
      </c>
      <c r="AA25" s="1574">
        <f t="shared" si="3"/>
        <v>1</v>
      </c>
      <c r="AB25" s="1574">
        <f t="shared" si="4"/>
        <v>1</v>
      </c>
      <c r="AC25" s="1574">
        <f t="shared" si="5"/>
        <v>1</v>
      </c>
    </row>
    <row r="26" spans="1:29" ht="20.25">
      <c r="A26" s="513"/>
      <c r="B26" s="1005"/>
      <c r="C26" s="552" t="s">
        <v>2981</v>
      </c>
      <c r="D26" s="555"/>
      <c r="E26" s="556" t="s">
        <v>2981</v>
      </c>
      <c r="F26" s="553"/>
      <c r="G26" s="554" t="s">
        <v>2981</v>
      </c>
      <c r="H26" s="553"/>
      <c r="I26" s="556" t="s">
        <v>2981</v>
      </c>
      <c r="J26" s="553"/>
      <c r="K26" s="529"/>
      <c r="L26" s="2139"/>
      <c r="M26" s="2129"/>
      <c r="N26" s="2129"/>
      <c r="O26" s="2138"/>
      <c r="P26" s="3423"/>
      <c r="Q26" s="1570"/>
      <c r="R26" s="1571"/>
      <c r="S26" s="1572"/>
      <c r="T26" s="1571"/>
      <c r="U26" s="1572"/>
      <c r="V26" s="1571"/>
      <c r="W26" s="1572"/>
      <c r="X26" s="1565"/>
      <c r="Y26" s="3423"/>
      <c r="Z26" s="1573"/>
      <c r="AA26" s="1574"/>
      <c r="AB26" s="1574"/>
      <c r="AC26" s="1574"/>
    </row>
    <row r="27" spans="1:29" ht="57">
      <c r="A27" s="513"/>
      <c r="B27" s="576" t="s">
        <v>510</v>
      </c>
      <c r="C27" s="559" t="str">
        <f>估价对象房地状况!C20</f>
        <v>区域自然环境及人文环境较好；综合评价环境状况较好</v>
      </c>
      <c r="D27" s="561">
        <v>100</v>
      </c>
      <c r="E27" s="562" t="s">
        <v>3052</v>
      </c>
      <c r="F27" s="557">
        <f>SUMIF(100:100,E28,101:101)-SUMIF(100:100,C28,101:101)+100</f>
        <v>100</v>
      </c>
      <c r="G27" s="560" t="s">
        <v>3052</v>
      </c>
      <c r="H27" s="557">
        <f>SUMIF(100:100,G28,101:101)-SUMIF(100:100,C28,101:101)+100</f>
        <v>100</v>
      </c>
      <c r="I27" s="562" t="s">
        <v>3052</v>
      </c>
      <c r="J27" s="557">
        <f>SUMIF(100:100,I28,101:101)-SUMIF(100:100,C28,101:101)+100</f>
        <v>100</v>
      </c>
      <c r="K27" s="533">
        <v>1</v>
      </c>
      <c r="L27" s="2139"/>
      <c r="M27" s="2129"/>
      <c r="N27" s="2129"/>
      <c r="O27" s="2138"/>
      <c r="P27" s="3423"/>
      <c r="Q27" s="1570" t="str">
        <f t="shared" si="8"/>
        <v>自然及人文环境状况</v>
      </c>
      <c r="R27" s="1571" t="s">
        <v>8</v>
      </c>
      <c r="S27" s="1572">
        <f>F27</f>
        <v>100</v>
      </c>
      <c r="T27" s="1571" t="s">
        <v>8</v>
      </c>
      <c r="U27" s="1572">
        <f>H27</f>
        <v>100</v>
      </c>
      <c r="V27" s="1571" t="s">
        <v>8</v>
      </c>
      <c r="W27" s="1572">
        <f>J27</f>
        <v>100</v>
      </c>
      <c r="X27" s="1565"/>
      <c r="Y27" s="3423"/>
      <c r="Z27" s="1573" t="str">
        <f>Q27</f>
        <v>自然及人文环境状况</v>
      </c>
      <c r="AA27" s="1574">
        <f t="shared" si="3"/>
        <v>1</v>
      </c>
      <c r="AB27" s="1574">
        <f t="shared" si="4"/>
        <v>1</v>
      </c>
      <c r="AC27" s="1574">
        <f t="shared" si="5"/>
        <v>1</v>
      </c>
    </row>
    <row r="28" spans="1:29" ht="20.25">
      <c r="A28" s="513"/>
      <c r="B28" s="564"/>
      <c r="C28" s="552" t="s">
        <v>2981</v>
      </c>
      <c r="D28" s="555"/>
      <c r="E28" s="574" t="s">
        <v>2981</v>
      </c>
      <c r="F28" s="553"/>
      <c r="G28" s="552" t="s">
        <v>2981</v>
      </c>
      <c r="H28" s="553"/>
      <c r="I28" s="574" t="s">
        <v>2981</v>
      </c>
      <c r="J28" s="553"/>
      <c r="K28" s="529"/>
      <c r="L28" s="2139"/>
      <c r="M28" s="2129"/>
      <c r="N28" s="2129"/>
      <c r="O28" s="2138"/>
      <c r="P28" s="3423"/>
      <c r="Q28" s="1570"/>
      <c r="R28" s="1571"/>
      <c r="S28" s="1572"/>
      <c r="T28" s="1571"/>
      <c r="U28" s="1572"/>
      <c r="V28" s="1571"/>
      <c r="W28" s="1572"/>
      <c r="X28" s="1565"/>
      <c r="Y28" s="3423"/>
      <c r="Z28" s="1573"/>
      <c r="AA28" s="1574">
        <v>1</v>
      </c>
      <c r="AB28" s="1574">
        <v>1</v>
      </c>
      <c r="AC28" s="1574">
        <v>1</v>
      </c>
    </row>
    <row r="29" spans="1:29" s="1218" customFormat="1" ht="42.75">
      <c r="A29" s="575"/>
      <c r="B29" s="2612" t="s">
        <v>2511</v>
      </c>
      <c r="C29" s="571" t="str">
        <f>估价对象房地状况!C21</f>
        <v>估价对象所在区域公共配套设施齐备情况一般</v>
      </c>
      <c r="D29" s="561">
        <v>100</v>
      </c>
      <c r="E29" s="562" t="s">
        <v>3053</v>
      </c>
      <c r="F29" s="557">
        <f>SUMIF(102:102,E30,103:103)-SUMIF(102:102,C30,103:103)+100</f>
        <v>100</v>
      </c>
      <c r="G29" s="560" t="s">
        <v>3053</v>
      </c>
      <c r="H29" s="557">
        <f>SUMIF(102:102,G30,103:103)-SUMIF(102:102,C30,103:103)+100</f>
        <v>100</v>
      </c>
      <c r="I29" s="560" t="s">
        <v>3053</v>
      </c>
      <c r="J29" s="557">
        <f>SUMIF(102:102,I30,103:103)-SUMIF(102:102,C30,103:103)+100</f>
        <v>100</v>
      </c>
      <c r="K29" s="533">
        <v>1</v>
      </c>
      <c r="L29" s="2132"/>
      <c r="M29" s="2129"/>
      <c r="N29" s="2129"/>
      <c r="O29" s="2134"/>
      <c r="P29" s="3423"/>
      <c r="Q29" s="1149" t="str">
        <f t="shared" si="8"/>
        <v>公共配套设施</v>
      </c>
      <c r="R29" s="1566" t="s">
        <v>8</v>
      </c>
      <c r="S29" s="1567">
        <f>F29</f>
        <v>100</v>
      </c>
      <c r="T29" s="1566" t="s">
        <v>8</v>
      </c>
      <c r="U29" s="1567">
        <f>H29</f>
        <v>100</v>
      </c>
      <c r="V29" s="1566" t="s">
        <v>8</v>
      </c>
      <c r="W29" s="1567">
        <f>J29</f>
        <v>100</v>
      </c>
      <c r="X29" s="1568"/>
      <c r="Y29" s="3423"/>
      <c r="Z29" s="1148" t="str">
        <f>Q29</f>
        <v>公共配套设施</v>
      </c>
      <c r="AA29" s="1574">
        <f>D29/F29</f>
        <v>1</v>
      </c>
      <c r="AB29" s="1574">
        <f>D29/H29</f>
        <v>1</v>
      </c>
      <c r="AC29" s="1574">
        <f>D29/J29</f>
        <v>1</v>
      </c>
    </row>
    <row r="30" spans="1:29" s="1218" customFormat="1" ht="20.25">
      <c r="A30" s="575"/>
      <c r="B30" s="564"/>
      <c r="C30" s="577" t="s">
        <v>2978</v>
      </c>
      <c r="D30" s="555"/>
      <c r="E30" s="574" t="s">
        <v>2978</v>
      </c>
      <c r="F30" s="553"/>
      <c r="G30" s="552" t="s">
        <v>2978</v>
      </c>
      <c r="H30" s="553"/>
      <c r="I30" s="574" t="s">
        <v>2978</v>
      </c>
      <c r="J30" s="553"/>
      <c r="K30" s="529"/>
      <c r="L30" s="2132"/>
      <c r="M30" s="2129"/>
      <c r="N30" s="2129"/>
      <c r="O30" s="2134"/>
      <c r="P30" s="3423"/>
      <c r="Q30" s="1149"/>
      <c r="R30" s="1566"/>
      <c r="S30" s="1567"/>
      <c r="T30" s="1566"/>
      <c r="U30" s="1567"/>
      <c r="V30" s="1566"/>
      <c r="W30" s="1567"/>
      <c r="X30" s="1568"/>
      <c r="Y30" s="3423"/>
      <c r="Z30" s="1148"/>
      <c r="AA30" s="1574">
        <v>1</v>
      </c>
      <c r="AB30" s="1574">
        <v>1</v>
      </c>
      <c r="AC30" s="1574">
        <v>1</v>
      </c>
    </row>
    <row r="31" spans="1:29" s="1218" customFormat="1" ht="42.75">
      <c r="A31" s="575"/>
      <c r="B31" s="2612" t="s">
        <v>2512</v>
      </c>
      <c r="C31" s="571" t="str">
        <f>估价对象房地状况!C22</f>
        <v>估价对象所在区域基础设施水平好</v>
      </c>
      <c r="D31" s="561">
        <v>100</v>
      </c>
      <c r="E31" s="562" t="s">
        <v>3054</v>
      </c>
      <c r="F31" s="557">
        <f>SUMIF(104:104,E32,105:105)-SUMIF(104:104,C32,105:105)+100</f>
        <v>100</v>
      </c>
      <c r="G31" s="560" t="s">
        <v>3054</v>
      </c>
      <c r="H31" s="557">
        <f>SUMIF(104:104,G32,105:105)-SUMIF(104:104,C32,105:105)+100</f>
        <v>100</v>
      </c>
      <c r="I31" s="560" t="s">
        <v>3054</v>
      </c>
      <c r="J31" s="557">
        <f>SUMIF(104:104,I32,105:105)-SUMIF(104:104,C32,105:105)+100</f>
        <v>100</v>
      </c>
      <c r="K31" s="533">
        <v>1</v>
      </c>
      <c r="L31" s="2132"/>
      <c r="M31" s="2129"/>
      <c r="N31" s="2129"/>
      <c r="O31" s="2134"/>
      <c r="P31" s="3423"/>
      <c r="Q31" s="2599" t="str">
        <f t="shared" ref="Q31" si="9">B31</f>
        <v>基础设施水平</v>
      </c>
      <c r="R31" s="1566" t="s">
        <v>8</v>
      </c>
      <c r="S31" s="1567">
        <f>F31</f>
        <v>100</v>
      </c>
      <c r="T31" s="1566" t="s">
        <v>8</v>
      </c>
      <c r="U31" s="1567">
        <f>H31</f>
        <v>100</v>
      </c>
      <c r="V31" s="1566" t="s">
        <v>8</v>
      </c>
      <c r="W31" s="1567">
        <f>J31</f>
        <v>100</v>
      </c>
      <c r="X31" s="1568"/>
      <c r="Y31" s="3423"/>
      <c r="Z31" s="2596" t="str">
        <f>Q31</f>
        <v>基础设施水平</v>
      </c>
      <c r="AA31" s="1574">
        <f>D31/F31</f>
        <v>1</v>
      </c>
      <c r="AB31" s="1574">
        <f>D31/H31</f>
        <v>1</v>
      </c>
      <c r="AC31" s="1574">
        <f>D31/J31</f>
        <v>1</v>
      </c>
    </row>
    <row r="32" spans="1:29" s="1218" customFormat="1" ht="20.25">
      <c r="A32" s="575"/>
      <c r="B32" s="564"/>
      <c r="C32" s="577" t="s">
        <v>2982</v>
      </c>
      <c r="D32" s="555"/>
      <c r="E32" s="2613" t="s">
        <v>2982</v>
      </c>
      <c r="F32" s="553"/>
      <c r="G32" s="577" t="s">
        <v>2982</v>
      </c>
      <c r="H32" s="553"/>
      <c r="I32" s="577" t="s">
        <v>2982</v>
      </c>
      <c r="J32" s="553"/>
      <c r="K32" s="529"/>
      <c r="L32" s="2132"/>
      <c r="M32" s="2129"/>
      <c r="N32" s="2129"/>
      <c r="O32" s="2134"/>
      <c r="P32" s="3423"/>
      <c r="Q32" s="2599"/>
      <c r="R32" s="1566"/>
      <c r="S32" s="1567"/>
      <c r="T32" s="1566"/>
      <c r="U32" s="1567"/>
      <c r="V32" s="1566"/>
      <c r="W32" s="1567"/>
      <c r="X32" s="1568"/>
      <c r="Y32" s="3423"/>
      <c r="Z32" s="2596"/>
      <c r="AA32" s="1574">
        <v>1</v>
      </c>
      <c r="AB32" s="1574">
        <v>1</v>
      </c>
      <c r="AC32" s="1574">
        <v>1</v>
      </c>
    </row>
    <row r="33" spans="1:29" ht="20.25">
      <c r="A33" s="530"/>
      <c r="B33" s="564" t="s">
        <v>512</v>
      </c>
      <c r="C33" s="578" t="s">
        <v>2972</v>
      </c>
      <c r="D33" s="573">
        <v>100</v>
      </c>
      <c r="E33" s="581" t="s">
        <v>2972</v>
      </c>
      <c r="F33" s="538">
        <f>SUMIF(106:106,E33,107:107)-SUMIF(106:106,C33,107:107)+100</f>
        <v>100</v>
      </c>
      <c r="G33" s="578" t="s">
        <v>2972</v>
      </c>
      <c r="H33" s="538">
        <f>SUMIF(106:106,G33,107:107)-SUMIF(106:106,C33,107:107)+100</f>
        <v>100</v>
      </c>
      <c r="I33" s="578" t="s">
        <v>2972</v>
      </c>
      <c r="J33" s="538">
        <f>SUMIF(106:106,I33,107:107)-SUMIF(106:106,C33,107:107)+100</f>
        <v>100</v>
      </c>
      <c r="K33" s="533">
        <v>1</v>
      </c>
      <c r="L33" s="2139"/>
      <c r="M33" s="2129"/>
      <c r="N33" s="2129"/>
      <c r="O33" s="2138"/>
      <c r="P33" s="3423"/>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23"/>
      <c r="Z33" s="1573" t="str">
        <f t="shared" ref="Z33:Z47" si="13">Q33</f>
        <v>临街状况</v>
      </c>
      <c r="AA33" s="1574">
        <f t="shared" si="3"/>
        <v>1</v>
      </c>
      <c r="AB33" s="1574">
        <f t="shared" si="4"/>
        <v>1</v>
      </c>
      <c r="AC33" s="1574">
        <f t="shared" si="5"/>
        <v>1</v>
      </c>
    </row>
    <row r="34" spans="1:29" ht="27">
      <c r="A34" s="530"/>
      <c r="B34" s="576" t="s">
        <v>513</v>
      </c>
      <c r="C34" s="3195" t="s">
        <v>3048</v>
      </c>
      <c r="D34" s="561">
        <v>100</v>
      </c>
      <c r="E34" s="3196" t="s">
        <v>3062</v>
      </c>
      <c r="F34" s="557">
        <f>SUMIF(108:108,E35,109:109)-SUMIF(108:108,C35,109:109)+100</f>
        <v>98</v>
      </c>
      <c r="G34" s="3196" t="s">
        <v>3062</v>
      </c>
      <c r="H34" s="557">
        <f>SUMIF(108:108,G35,109:109)-SUMIF(108:108,C35,109:109)+100</f>
        <v>98</v>
      </c>
      <c r="I34" s="3196" t="s">
        <v>3056</v>
      </c>
      <c r="J34" s="557">
        <f>SUMIF(108:108,I35,109:109)-SUMIF(108:108,C35,109:109)+100</f>
        <v>99</v>
      </c>
      <c r="K34" s="533">
        <v>1</v>
      </c>
      <c r="L34" s="2139"/>
      <c r="M34" s="2129"/>
      <c r="N34" s="2129"/>
      <c r="O34" s="2138"/>
      <c r="P34" s="3423"/>
      <c r="Q34" s="1570" t="str">
        <f t="shared" si="8"/>
        <v>毗邻道路的类型与等级</v>
      </c>
      <c r="R34" s="1571" t="s">
        <v>8</v>
      </c>
      <c r="S34" s="1572">
        <f t="shared" si="10"/>
        <v>98</v>
      </c>
      <c r="T34" s="1571" t="s">
        <v>8</v>
      </c>
      <c r="U34" s="1572">
        <f t="shared" si="11"/>
        <v>98</v>
      </c>
      <c r="V34" s="1571" t="s">
        <v>8</v>
      </c>
      <c r="W34" s="1572">
        <f t="shared" si="12"/>
        <v>99</v>
      </c>
      <c r="X34" s="1565"/>
      <c r="Y34" s="3423"/>
      <c r="Z34" s="1573" t="str">
        <f t="shared" si="13"/>
        <v>毗邻道路的类型与等级</v>
      </c>
      <c r="AA34" s="1574">
        <f t="shared" si="3"/>
        <v>1.0204081632653061</v>
      </c>
      <c r="AB34" s="1574">
        <f t="shared" si="4"/>
        <v>1.0204081632653061</v>
      </c>
      <c r="AC34" s="1574">
        <f t="shared" si="5"/>
        <v>1.0101010101010102</v>
      </c>
    </row>
    <row r="35" spans="1:29" ht="20.25">
      <c r="A35" s="530"/>
      <c r="B35" s="564"/>
      <c r="C35" s="3233" t="s">
        <v>3036</v>
      </c>
      <c r="D35" s="555"/>
      <c r="E35" s="574" t="s">
        <v>3055</v>
      </c>
      <c r="F35" s="553"/>
      <c r="G35" s="552" t="s">
        <v>3055</v>
      </c>
      <c r="H35" s="553"/>
      <c r="I35" s="574" t="s">
        <v>3068</v>
      </c>
      <c r="J35" s="553"/>
      <c r="K35" s="579"/>
      <c r="L35" s="2139"/>
      <c r="M35" s="2129"/>
      <c r="N35" s="2129"/>
      <c r="O35" s="2138"/>
      <c r="P35" s="3423"/>
      <c r="Q35" s="1570"/>
      <c r="R35" s="1571"/>
      <c r="S35" s="1572"/>
      <c r="T35" s="1571"/>
      <c r="U35" s="1572"/>
      <c r="V35" s="1571"/>
      <c r="W35" s="1572"/>
      <c r="X35" s="1565"/>
      <c r="Y35" s="3423"/>
      <c r="Z35" s="1573"/>
      <c r="AA35" s="1574">
        <v>1</v>
      </c>
      <c r="AB35" s="1574">
        <v>1</v>
      </c>
      <c r="AC35" s="1574">
        <v>1</v>
      </c>
    </row>
    <row r="36" spans="1:29" ht="20.25">
      <c r="A36" s="530"/>
      <c r="B36" s="580" t="s">
        <v>514</v>
      </c>
      <c r="C36" s="3193" t="s">
        <v>3040</v>
      </c>
      <c r="D36" s="573">
        <v>100</v>
      </c>
      <c r="E36" s="581" t="s">
        <v>3041</v>
      </c>
      <c r="F36" s="538">
        <f>SUMIF(110:110,E36,111:111)-SUMIF(110:110,C36,111:111)+100</f>
        <v>100</v>
      </c>
      <c r="G36" s="578" t="s">
        <v>3040</v>
      </c>
      <c r="H36" s="538">
        <f>SUMIF(110:110,G36,111:111)-SUMIF(110:110,C36,111:111)+100</f>
        <v>100</v>
      </c>
      <c r="I36" s="581" t="s">
        <v>3040</v>
      </c>
      <c r="J36" s="538">
        <f>SUMIF(110:110,I36,111:111)-SUMIF(110:110,C36,111:111)+100</f>
        <v>100</v>
      </c>
      <c r="K36" s="582">
        <v>1</v>
      </c>
      <c r="L36" s="2139"/>
      <c r="M36" s="2129"/>
      <c r="N36" s="2129"/>
      <c r="O36" s="2138"/>
      <c r="P36" s="3423"/>
      <c r="Q36" s="1570" t="str">
        <f t="shared" si="8"/>
        <v>土地级别</v>
      </c>
      <c r="R36" s="1571" t="s">
        <v>8</v>
      </c>
      <c r="S36" s="1572">
        <f t="shared" si="10"/>
        <v>100</v>
      </c>
      <c r="T36" s="1571" t="s">
        <v>8</v>
      </c>
      <c r="U36" s="1572">
        <f t="shared" si="11"/>
        <v>100</v>
      </c>
      <c r="V36" s="1571" t="s">
        <v>8</v>
      </c>
      <c r="W36" s="1572">
        <f t="shared" si="12"/>
        <v>100</v>
      </c>
      <c r="X36" s="1565"/>
      <c r="Y36" s="3423"/>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23"/>
      <c r="Q37" s="1570">
        <f t="shared" si="8"/>
        <v>0</v>
      </c>
      <c r="R37" s="1571" t="s">
        <v>8</v>
      </c>
      <c r="S37" s="1572">
        <f t="shared" si="10"/>
        <v>100</v>
      </c>
      <c r="T37" s="1571" t="s">
        <v>8</v>
      </c>
      <c r="U37" s="1572">
        <f t="shared" si="11"/>
        <v>100</v>
      </c>
      <c r="V37" s="1571" t="s">
        <v>8</v>
      </c>
      <c r="W37" s="1572">
        <f t="shared" si="12"/>
        <v>100</v>
      </c>
      <c r="X37" s="1565"/>
      <c r="Y37" s="3423"/>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24" t="s">
        <v>515</v>
      </c>
      <c r="Q38" s="1570">
        <f t="shared" si="8"/>
        <v>0</v>
      </c>
      <c r="R38" s="1571" t="s">
        <v>8</v>
      </c>
      <c r="S38" s="1572">
        <f t="shared" si="10"/>
        <v>100</v>
      </c>
      <c r="T38" s="1571" t="s">
        <v>8</v>
      </c>
      <c r="U38" s="1572">
        <f t="shared" si="11"/>
        <v>100</v>
      </c>
      <c r="V38" s="1571" t="s">
        <v>8</v>
      </c>
      <c r="W38" s="1572">
        <f t="shared" si="12"/>
        <v>100</v>
      </c>
      <c r="X38" s="1565"/>
      <c r="Y38" s="3425" t="s">
        <v>515</v>
      </c>
      <c r="Z38" s="1573">
        <f t="shared" si="13"/>
        <v>0</v>
      </c>
      <c r="AA38" s="1574">
        <f t="shared" si="3"/>
        <v>1</v>
      </c>
      <c r="AB38" s="1574">
        <f t="shared" si="4"/>
        <v>1</v>
      </c>
      <c r="AC38" s="1574">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25"/>
      <c r="Q39" s="1570">
        <f t="shared" si="8"/>
        <v>0</v>
      </c>
      <c r="R39" s="1575" t="s">
        <v>8</v>
      </c>
      <c r="S39" s="1576">
        <f t="shared" si="10"/>
        <v>100</v>
      </c>
      <c r="T39" s="1575" t="s">
        <v>8</v>
      </c>
      <c r="U39" s="1576">
        <f t="shared" si="11"/>
        <v>100</v>
      </c>
      <c r="V39" s="1575" t="s">
        <v>8</v>
      </c>
      <c r="W39" s="1576">
        <f t="shared" si="12"/>
        <v>100</v>
      </c>
      <c r="X39" s="1577"/>
      <c r="Y39" s="3425"/>
      <c r="Z39" s="1578">
        <f t="shared" si="13"/>
        <v>0</v>
      </c>
      <c r="AA39" s="1574">
        <f t="shared" si="3"/>
        <v>1</v>
      </c>
      <c r="AB39" s="1574">
        <f t="shared" si="4"/>
        <v>1</v>
      </c>
      <c r="AC39" s="1574">
        <f t="shared" si="5"/>
        <v>1</v>
      </c>
    </row>
    <row r="40" spans="1:29" ht="20.25">
      <c r="A40" s="2928" t="s">
        <v>2717</v>
      </c>
      <c r="B40" s="593" t="s">
        <v>517</v>
      </c>
      <c r="C40" s="594">
        <f>'数据-基础表'!A3</f>
        <v>57250.521000000001</v>
      </c>
      <c r="D40" s="595">
        <v>100</v>
      </c>
      <c r="E40" s="594">
        <f>土地及现房案例!G7</f>
        <v>202550.5</v>
      </c>
      <c r="F40" s="595">
        <f>LOOKUP(E40,119:119,120:120)-LOOKUP(C40,119:119,120:120)+100</f>
        <v>102</v>
      </c>
      <c r="G40" s="594">
        <f>土地及现房案例!G8</f>
        <v>216429.7</v>
      </c>
      <c r="H40" s="595">
        <f>LOOKUP(G40,119:119,120:120)-LOOKUP(C40,119:119,120:120)+100</f>
        <v>102</v>
      </c>
      <c r="I40" s="596">
        <f>土地及现房案例!G12</f>
        <v>180851</v>
      </c>
      <c r="J40" s="595">
        <f>LOOKUP(I40,119:119,120:120)-LOOKUP(C40,119:119,120:120)+100</f>
        <v>101</v>
      </c>
      <c r="K40" s="579"/>
      <c r="L40" s="2139"/>
      <c r="M40" s="2129"/>
      <c r="N40" s="2129"/>
      <c r="O40" s="2138"/>
      <c r="P40" s="3425"/>
      <c r="Q40" s="1570" t="str">
        <f>B40</f>
        <v>宗地面积</v>
      </c>
      <c r="R40" s="1571" t="s">
        <v>8</v>
      </c>
      <c r="S40" s="1572">
        <f t="shared" si="10"/>
        <v>102</v>
      </c>
      <c r="T40" s="1571" t="s">
        <v>8</v>
      </c>
      <c r="U40" s="1572">
        <f t="shared" si="11"/>
        <v>102</v>
      </c>
      <c r="V40" s="1571" t="s">
        <v>8</v>
      </c>
      <c r="W40" s="1572">
        <f t="shared" si="12"/>
        <v>101</v>
      </c>
      <c r="X40" s="1565"/>
      <c r="Y40" s="3425"/>
      <c r="Z40" s="1573" t="str">
        <f t="shared" si="13"/>
        <v>宗地面积</v>
      </c>
      <c r="AA40" s="1574">
        <f t="shared" si="3"/>
        <v>0.98039215686274506</v>
      </c>
      <c r="AB40" s="1574">
        <f t="shared" si="4"/>
        <v>0.98039215686274506</v>
      </c>
      <c r="AC40" s="1574">
        <f t="shared" si="5"/>
        <v>0.99009900990099009</v>
      </c>
    </row>
    <row r="41" spans="1:29" ht="20.25">
      <c r="A41" s="592"/>
      <c r="B41" s="525" t="s">
        <v>518</v>
      </c>
      <c r="C41" s="597" t="s">
        <v>3058</v>
      </c>
      <c r="D41" s="538">
        <v>100</v>
      </c>
      <c r="E41" s="597" t="s">
        <v>3058</v>
      </c>
      <c r="F41" s="538">
        <f>SUMIF(121:121,E41,122:122)-SUMIF(121:121,C41,122:122)+100</f>
        <v>100</v>
      </c>
      <c r="G41" s="597" t="s">
        <v>3058</v>
      </c>
      <c r="H41" s="538">
        <f>SUMIF(121:121,G41,122:122)-SUMIF(121:121,C41,122:122)+100</f>
        <v>100</v>
      </c>
      <c r="I41" s="597" t="s">
        <v>3058</v>
      </c>
      <c r="J41" s="538">
        <f>SUMIF(121:121,I41,122:122)-SUMIF(121:121,C41,122:122)+100</f>
        <v>100</v>
      </c>
      <c r="K41" s="582">
        <v>1</v>
      </c>
      <c r="L41" s="2139"/>
      <c r="M41" s="2129"/>
      <c r="N41" s="2129"/>
      <c r="O41" s="2138"/>
      <c r="P41" s="3425"/>
      <c r="Q41" s="1570" t="str">
        <f t="shared" ref="Q41:Q47" si="14">B41</f>
        <v>宗地形状</v>
      </c>
      <c r="R41" s="1571" t="s">
        <v>8</v>
      </c>
      <c r="S41" s="1572">
        <f t="shared" si="10"/>
        <v>100</v>
      </c>
      <c r="T41" s="1571" t="s">
        <v>8</v>
      </c>
      <c r="U41" s="1572">
        <f t="shared" si="11"/>
        <v>100</v>
      </c>
      <c r="V41" s="1571" t="s">
        <v>8</v>
      </c>
      <c r="W41" s="1572">
        <f t="shared" si="12"/>
        <v>100</v>
      </c>
      <c r="X41" s="1565"/>
      <c r="Y41" s="3425"/>
      <c r="Z41" s="1573" t="str">
        <f t="shared" si="13"/>
        <v>宗地形状</v>
      </c>
      <c r="AA41" s="1574">
        <f t="shared" si="3"/>
        <v>1</v>
      </c>
      <c r="AB41" s="1574">
        <f t="shared" si="4"/>
        <v>1</v>
      </c>
      <c r="AC41" s="1574">
        <f t="shared" si="5"/>
        <v>1</v>
      </c>
    </row>
    <row r="42" spans="1:29" ht="20.25">
      <c r="A42" s="592"/>
      <c r="B42" s="525" t="s">
        <v>519</v>
      </c>
      <c r="C42" s="597" t="s">
        <v>2981</v>
      </c>
      <c r="D42" s="538">
        <v>100</v>
      </c>
      <c r="E42" s="597" t="s">
        <v>2981</v>
      </c>
      <c r="F42" s="538">
        <f>SUMIF(123:123,E42,124:124)-SUMIF(123:123,C42,124:124)+100</f>
        <v>100</v>
      </c>
      <c r="G42" s="597" t="s">
        <v>2981</v>
      </c>
      <c r="H42" s="538">
        <f>SUMIF(123:123,G42,124:124)-SUMIF(123:123,C42,124:124)+100</f>
        <v>100</v>
      </c>
      <c r="I42" s="597" t="s">
        <v>2981</v>
      </c>
      <c r="J42" s="538">
        <f>SUMIF(123:123,I42,124:124)-SUMIF(123:123,C42,124:124)+100</f>
        <v>100</v>
      </c>
      <c r="K42" s="582">
        <v>1</v>
      </c>
      <c r="L42" s="2139"/>
      <c r="M42" s="2129"/>
      <c r="N42" s="2129"/>
      <c r="O42" s="2138"/>
      <c r="P42" s="3425"/>
      <c r="Q42" s="1570" t="str">
        <f t="shared" si="14"/>
        <v>临街宽度及深度</v>
      </c>
      <c r="R42" s="1571" t="s">
        <v>8</v>
      </c>
      <c r="S42" s="1572">
        <f t="shared" si="10"/>
        <v>100</v>
      </c>
      <c r="T42" s="1571" t="s">
        <v>8</v>
      </c>
      <c r="U42" s="1572">
        <f t="shared" si="11"/>
        <v>100</v>
      </c>
      <c r="V42" s="1571" t="s">
        <v>8</v>
      </c>
      <c r="W42" s="1572">
        <f t="shared" si="12"/>
        <v>100</v>
      </c>
      <c r="X42" s="1565"/>
      <c r="Y42" s="3425"/>
      <c r="Z42" s="1573" t="str">
        <f t="shared" si="13"/>
        <v>临街宽度及深度</v>
      </c>
      <c r="AA42" s="1574">
        <f t="shared" si="3"/>
        <v>1</v>
      </c>
      <c r="AB42" s="1574">
        <f t="shared" si="4"/>
        <v>1</v>
      </c>
      <c r="AC42" s="1574">
        <f t="shared" si="5"/>
        <v>1</v>
      </c>
    </row>
    <row r="43" spans="1:29" s="1218" customFormat="1" ht="20.25">
      <c r="A43" s="598"/>
      <c r="B43" s="1892" t="s">
        <v>2387</v>
      </c>
      <c r="C43" s="599" t="s">
        <v>3059</v>
      </c>
      <c r="D43" s="253">
        <v>100</v>
      </c>
      <c r="E43" s="599" t="s">
        <v>3060</v>
      </c>
      <c r="F43" s="538">
        <f>SUMIF(125:125,E43,126:126)-SUMIF(125:125,C43,126:126)+100</f>
        <v>102</v>
      </c>
      <c r="G43" s="599" t="s">
        <v>3060</v>
      </c>
      <c r="H43" s="538">
        <f>SUMIF(125:125,G43,126:126)-SUMIF(125:125,C43,126:126)+100</f>
        <v>102</v>
      </c>
      <c r="I43" s="599" t="s">
        <v>2982</v>
      </c>
      <c r="J43" s="538">
        <f>SUMIF(125:125,I43,126:126)-SUMIF(125:125,C43,126:126)+100</f>
        <v>103</v>
      </c>
      <c r="K43" s="582">
        <v>1</v>
      </c>
      <c r="L43" s="2132"/>
      <c r="M43" s="2129"/>
      <c r="N43" s="2129"/>
      <c r="O43" s="2134"/>
      <c r="P43" s="3425"/>
      <c r="Q43" s="1570" t="str">
        <f t="shared" si="14"/>
        <v>宗地开发程度</v>
      </c>
      <c r="R43" s="1566" t="s">
        <v>8</v>
      </c>
      <c r="S43" s="1567">
        <f t="shared" si="10"/>
        <v>102</v>
      </c>
      <c r="T43" s="1566" t="s">
        <v>8</v>
      </c>
      <c r="U43" s="1567">
        <f t="shared" si="11"/>
        <v>102</v>
      </c>
      <c r="V43" s="1566" t="s">
        <v>8</v>
      </c>
      <c r="W43" s="1567">
        <f t="shared" si="12"/>
        <v>103</v>
      </c>
      <c r="X43" s="1568"/>
      <c r="Y43" s="3425"/>
      <c r="Z43" s="1148" t="str">
        <f t="shared" si="13"/>
        <v>宗地开发程度</v>
      </c>
      <c r="AA43" s="1569">
        <f t="shared" si="3"/>
        <v>0.98039215686274506</v>
      </c>
      <c r="AB43" s="1569">
        <f t="shared" si="4"/>
        <v>0.98039215686274506</v>
      </c>
      <c r="AC43" s="1569">
        <f t="shared" si="5"/>
        <v>0.970873786407767</v>
      </c>
    </row>
    <row r="44" spans="1:29" ht="20.25">
      <c r="A44" s="592"/>
      <c r="B44" s="525" t="s">
        <v>520</v>
      </c>
      <c r="C44" s="597" t="s">
        <v>2981</v>
      </c>
      <c r="D44" s="538">
        <v>100</v>
      </c>
      <c r="E44" s="597" t="s">
        <v>2981</v>
      </c>
      <c r="F44" s="538">
        <f>SUMIF(127:127,E44,128:128)-SUMIF(127:127,C44,128:128)+100</f>
        <v>100</v>
      </c>
      <c r="G44" s="597" t="s">
        <v>2981</v>
      </c>
      <c r="H44" s="538">
        <f>SUMIF(127:127,G44,128:128)-SUMIF(127:127,C44,128:128)+100</f>
        <v>100</v>
      </c>
      <c r="I44" s="597" t="s">
        <v>2981</v>
      </c>
      <c r="J44" s="538">
        <f>SUMIF(127:127,I44,128:128)-SUMIF(127:127,C44,128:128)+100</f>
        <v>100</v>
      </c>
      <c r="K44" s="582">
        <v>1</v>
      </c>
      <c r="L44" s="2139"/>
      <c r="M44" s="2129"/>
      <c r="N44" s="2129"/>
      <c r="O44" s="2138"/>
      <c r="P44" s="3425" t="s">
        <v>515</v>
      </c>
      <c r="Q44" s="1570" t="str">
        <f t="shared" si="14"/>
        <v>工程地质条件</v>
      </c>
      <c r="R44" s="1571" t="s">
        <v>8</v>
      </c>
      <c r="S44" s="1572">
        <f t="shared" si="10"/>
        <v>100</v>
      </c>
      <c r="T44" s="1571" t="s">
        <v>8</v>
      </c>
      <c r="U44" s="1572">
        <f t="shared" si="11"/>
        <v>100</v>
      </c>
      <c r="V44" s="1571" t="s">
        <v>8</v>
      </c>
      <c r="W44" s="1572">
        <f t="shared" si="12"/>
        <v>100</v>
      </c>
      <c r="X44" s="1565"/>
      <c r="Y44" s="3425" t="s">
        <v>515</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25"/>
      <c r="Q45" s="1570">
        <f t="shared" si="14"/>
        <v>0</v>
      </c>
      <c r="R45" s="1571" t="s">
        <v>8</v>
      </c>
      <c r="S45" s="1572">
        <f t="shared" si="10"/>
        <v>100</v>
      </c>
      <c r="T45" s="1571" t="s">
        <v>8</v>
      </c>
      <c r="U45" s="1572">
        <f t="shared" si="11"/>
        <v>100</v>
      </c>
      <c r="V45" s="1571" t="s">
        <v>8</v>
      </c>
      <c r="W45" s="1572">
        <f t="shared" si="12"/>
        <v>100</v>
      </c>
      <c r="X45" s="1565"/>
      <c r="Y45" s="3425"/>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25"/>
      <c r="Q46" s="1570">
        <f t="shared" si="14"/>
        <v>0</v>
      </c>
      <c r="R46" s="1571" t="s">
        <v>8</v>
      </c>
      <c r="S46" s="1572">
        <f t="shared" si="10"/>
        <v>100</v>
      </c>
      <c r="T46" s="1571" t="s">
        <v>8</v>
      </c>
      <c r="U46" s="1572">
        <f t="shared" si="11"/>
        <v>100</v>
      </c>
      <c r="V46" s="1571" t="s">
        <v>8</v>
      </c>
      <c r="W46" s="1572">
        <f t="shared" si="12"/>
        <v>100</v>
      </c>
      <c r="X46" s="1565"/>
      <c r="Y46" s="3425"/>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25"/>
      <c r="Q47" s="1570">
        <f t="shared" si="14"/>
        <v>0</v>
      </c>
      <c r="R47" s="1575" t="s">
        <v>8</v>
      </c>
      <c r="S47" s="1576">
        <f t="shared" si="10"/>
        <v>100</v>
      </c>
      <c r="T47" s="1575" t="s">
        <v>8</v>
      </c>
      <c r="U47" s="1576">
        <f t="shared" si="11"/>
        <v>100</v>
      </c>
      <c r="V47" s="1575" t="s">
        <v>8</v>
      </c>
      <c r="W47" s="1576">
        <f t="shared" si="12"/>
        <v>100</v>
      </c>
      <c r="X47" s="1577"/>
      <c r="Y47" s="3425"/>
      <c r="Z47" s="1578">
        <f t="shared" si="13"/>
        <v>0</v>
      </c>
      <c r="AA47" s="1574">
        <f t="shared" si="3"/>
        <v>1</v>
      </c>
      <c r="AB47" s="1574">
        <f t="shared" si="4"/>
        <v>1</v>
      </c>
      <c r="AC47" s="1574">
        <f t="shared" si="5"/>
        <v>1</v>
      </c>
    </row>
    <row r="48" spans="1:29" ht="20.25">
      <c r="A48" s="605" t="s">
        <v>521</v>
      </c>
      <c r="B48" s="606" t="s">
        <v>3026</v>
      </c>
      <c r="C48" s="607" t="s">
        <v>1</v>
      </c>
      <c r="D48" s="608"/>
      <c r="E48" s="609">
        <v>22511</v>
      </c>
      <c r="F48" s="610"/>
      <c r="G48" s="611">
        <v>24720</v>
      </c>
      <c r="H48" s="612"/>
      <c r="I48" s="609">
        <v>26524</v>
      </c>
      <c r="J48" s="612"/>
      <c r="K48" s="1338"/>
      <c r="L48" s="2141"/>
      <c r="M48" s="2129"/>
      <c r="N48" s="2129"/>
      <c r="O48" s="2142"/>
      <c r="P48" s="3420" t="str">
        <f>A48</f>
        <v>成交单价</v>
      </c>
      <c r="Q48" s="3420"/>
      <c r="R48" s="3434">
        <f>E48</f>
        <v>22511</v>
      </c>
      <c r="S48" s="3434"/>
      <c r="T48" s="3434">
        <f>G48</f>
        <v>24720</v>
      </c>
      <c r="U48" s="3434"/>
      <c r="V48" s="3434">
        <f>I48</f>
        <v>26524</v>
      </c>
      <c r="W48" s="3434"/>
      <c r="X48" s="1557"/>
      <c r="Y48" s="1579"/>
      <c r="Z48" s="1557"/>
      <c r="AA48" s="1557"/>
      <c r="AB48" s="1557"/>
      <c r="AC48" s="1557"/>
    </row>
    <row r="49" spans="1:29" ht="21" thickBot="1">
      <c r="A49" s="613" t="s">
        <v>2655</v>
      </c>
      <c r="B49" s="614"/>
      <c r="C49" s="615">
        <f>R50</f>
        <v>26436</v>
      </c>
      <c r="D49" s="616"/>
      <c r="E49" s="615">
        <f>R49</f>
        <v>24199</v>
      </c>
      <c r="F49" s="617"/>
      <c r="G49" s="618">
        <f>T49</f>
        <v>26573</v>
      </c>
      <c r="H49" s="616"/>
      <c r="I49" s="615">
        <f>V49</f>
        <v>28536</v>
      </c>
      <c r="J49" s="616"/>
      <c r="K49" s="1339"/>
      <c r="L49" s="2141"/>
      <c r="M49" s="2129"/>
      <c r="N49" s="2129"/>
      <c r="O49" s="2142"/>
      <c r="P49" s="3420" t="str">
        <f>A49</f>
        <v>比较价格（元/平方米）</v>
      </c>
      <c r="Q49" s="3420"/>
      <c r="R49" s="3445">
        <f>ROUND(PRODUCT(R48,AA9:AA47),0)</f>
        <v>24199</v>
      </c>
      <c r="S49" s="3445"/>
      <c r="T49" s="3445">
        <f>ROUND(PRODUCT(T48,AB9:AB47),0)</f>
        <v>26573</v>
      </c>
      <c r="U49" s="3445"/>
      <c r="V49" s="3445">
        <f>ROUND(PRODUCT(V48,AC9:AC47),0)</f>
        <v>28536</v>
      </c>
      <c r="W49" s="3445"/>
      <c r="X49" s="1557"/>
      <c r="Y49" s="1557"/>
      <c r="Z49" s="1557"/>
      <c r="AA49" s="1557"/>
      <c r="AB49" s="1557"/>
      <c r="AC49" s="1557"/>
    </row>
    <row r="50" spans="1:29" ht="21" thickBot="1">
      <c r="A50" s="619" t="s">
        <v>2887</v>
      </c>
      <c r="B50" s="620"/>
      <c r="C50" s="621">
        <f>R50</f>
        <v>26436</v>
      </c>
      <c r="D50" s="621"/>
      <c r="E50" s="621"/>
      <c r="F50" s="621"/>
      <c r="G50" s="621"/>
      <c r="H50" s="621"/>
      <c r="I50" s="621"/>
      <c r="J50" s="621"/>
      <c r="K50" s="1340"/>
      <c r="L50" s="2141"/>
      <c r="M50" s="2129"/>
      <c r="N50" s="2129"/>
      <c r="O50" s="2142"/>
      <c r="P50" s="3442" t="str">
        <f>A50</f>
        <v>估价对象XX用房的比较价格（楼面单价，元/平方米）</v>
      </c>
      <c r="Q50" s="3443"/>
      <c r="R50" s="3444">
        <f>ROUND(AVERAGE(R49:V49),0)</f>
        <v>26436</v>
      </c>
      <c r="S50" s="3444"/>
      <c r="T50" s="3444"/>
      <c r="U50" s="3444"/>
      <c r="V50" s="3444"/>
      <c r="W50" s="3444"/>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7.4985562613833157E-2</v>
      </c>
      <c r="F53" s="625" t="str">
        <f>IF(OR(E53&gt;=0.3,E53&lt;=-0.3),"超过30%","")</f>
        <v/>
      </c>
      <c r="G53" s="624">
        <f>IF(G48&lt;G49,G49/G48-1,G48/G49-1)</f>
        <v>7.4959546925566389E-2</v>
      </c>
      <c r="H53" s="625" t="str">
        <f>IF(OR(G53&gt;=0.3,G53&lt;=-0.3),"超过30%","")</f>
        <v/>
      </c>
      <c r="I53" s="624">
        <f>IF(I48&lt;I49,I49/I48-1,I48/I49-1)</f>
        <v>7.5855828683456528E-2</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9.810322740609112E-2</v>
      </c>
      <c r="F54" s="625" t="str">
        <f>IF(OR(E54&gt;=0.2,E54&lt;=-0.2),"超过20%","")</f>
        <v/>
      </c>
      <c r="G54" s="624">
        <f>IF(G49&lt;I49,I49/G49-1,G49/I49-1)</f>
        <v>7.387197531328793E-2</v>
      </c>
      <c r="H54" s="625" t="str">
        <f>IF(OR(G54&gt;=0.2,G54&lt;=-0.2),"超过20%","")</f>
        <v/>
      </c>
      <c r="I54" s="624">
        <f>IF(I49&lt;E49,E49/I49-1,I49/E49-1)</f>
        <v>0.1792222819124758</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9.8129803207320787E-2</v>
      </c>
      <c r="F55" s="625" t="str">
        <f>IF(OR(E55&gt;=0.3,E55&lt;=-0.3),"超过30%","")</f>
        <v/>
      </c>
      <c r="G55" s="624">
        <f>IF(G48&lt;I48,I48/G48-1,G48/I48-1)</f>
        <v>7.2977346278317201E-2</v>
      </c>
      <c r="H55" s="625" t="str">
        <f>IF(OR(G55&gt;=0.3,G55&lt;=-0.3),"超过30%","")</f>
        <v/>
      </c>
      <c r="I55" s="624">
        <f>IF(I48&lt;E48,E48/I48-1,I48/E48-1)</f>
        <v>0.17826840211452177</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525</v>
      </c>
      <c r="B57" s="628" t="s">
        <v>526</v>
      </c>
      <c r="C57" s="1558" t="s">
        <v>1686</v>
      </c>
      <c r="D57" s="2224" t="s">
        <v>2256</v>
      </c>
      <c r="E57" s="629" t="s">
        <v>527</v>
      </c>
      <c r="F57" s="630" t="s">
        <v>528</v>
      </c>
      <c r="G57" s="3404" t="s">
        <v>2244</v>
      </c>
      <c r="H57" s="3405"/>
      <c r="I57" s="1553" t="s">
        <v>1684</v>
      </c>
      <c r="J57" s="1553">
        <f>项目基本情况!F41</f>
        <v>0</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26436</v>
      </c>
      <c r="C58" s="633">
        <v>1</v>
      </c>
      <c r="D58" s="2225">
        <v>1</v>
      </c>
      <c r="E58" s="633">
        <f>'数据-汇总表'!E8+'数据-汇总表'!E9</f>
        <v>62049.45</v>
      </c>
      <c r="F58" s="634">
        <f t="shared" ref="F58:F67" si="15">ROUND(B58*E58/10000,0)</f>
        <v>164034</v>
      </c>
      <c r="G58" s="3406"/>
      <c r="H58" s="3407"/>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408" t="s">
        <v>2245</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408"/>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408"/>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408"/>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2290</v>
      </c>
      <c r="B63" s="636">
        <f t="shared" si="17"/>
        <v>0</v>
      </c>
      <c r="C63" s="376">
        <f t="shared" si="16"/>
        <v>0</v>
      </c>
      <c r="D63" s="2226">
        <v>0.25</v>
      </c>
      <c r="E63" s="639">
        <f>'数据-汇总表'!E11</f>
        <v>0</v>
      </c>
      <c r="F63" s="634">
        <f t="shared" si="15"/>
        <v>0</v>
      </c>
      <c r="G63" s="1942" t="s">
        <v>2246</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3210" t="s">
        <v>534</v>
      </c>
      <c r="B64" s="3211">
        <f t="shared" si="17"/>
        <v>1322</v>
      </c>
      <c r="C64" s="3212">
        <f t="shared" si="16"/>
        <v>0.2</v>
      </c>
      <c r="D64" s="3213">
        <v>0.25</v>
      </c>
      <c r="E64" s="3214">
        <f>'数据-汇总表'!E12</f>
        <v>33424.14</v>
      </c>
      <c r="F64" s="3215">
        <f t="shared" si="15"/>
        <v>4419</v>
      </c>
      <c r="G64" s="1943" t="s">
        <v>888</v>
      </c>
      <c r="H64" s="1941" t="str">
        <f>IF(G64="商业",项目基本情况!B43,IF(G64="办公",项目基本情况!C43,IF(G64="住宅",项目基本情况!D43,项目基本情况!E43)))</f>
        <v>九级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3210" t="s">
        <v>535</v>
      </c>
      <c r="B65" s="3211">
        <f t="shared" si="17"/>
        <v>991</v>
      </c>
      <c r="C65" s="3212">
        <f t="shared" si="16"/>
        <v>0.15</v>
      </c>
      <c r="D65" s="3213">
        <v>0.25</v>
      </c>
      <c r="E65" s="3214">
        <f>'数据-汇总表'!E13</f>
        <v>43743.43</v>
      </c>
      <c r="F65" s="3215">
        <f t="shared" si="15"/>
        <v>4335</v>
      </c>
      <c r="G65" s="1943" t="s">
        <v>888</v>
      </c>
      <c r="H65" s="1941" t="str">
        <f>IF(G65="商业",项目基本情况!B43,IF(G65="办公",项目基本情况!C43,IF(G65="住宅",项目基本情况!D43,项目基本情况!E43)))</f>
        <v>九级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2245</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2246</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2257</v>
      </c>
      <c r="E68" s="641">
        <f>IF(B48="楼面地价",SUM(E58:E67),'数据-汇总表'!D3)</f>
        <v>139217.01999999999</v>
      </c>
      <c r="F68" s="642">
        <f>IF(B48="楼面地价",SUM(F58:F67),ROUND(C50*E68/10000,0))</f>
        <v>172788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539</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9" t="s">
        <v>2495</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888</v>
      </c>
      <c r="B73" s="477" t="str">
        <f>"北京市平均增长率"&amp;TEXT(SUMIF(基准地价!N21:N25,A73,基准地价!P21:P25),"0.00%")</f>
        <v>北京市平均增长率2.50%</v>
      </c>
      <c r="C73" s="892">
        <v>100</v>
      </c>
      <c r="D73" s="728">
        <v>99</v>
      </c>
      <c r="E73" s="728">
        <v>98</v>
      </c>
      <c r="F73" s="728">
        <v>97</v>
      </c>
      <c r="G73" s="728">
        <v>96</v>
      </c>
      <c r="H73" s="728">
        <v>95</v>
      </c>
      <c r="I73" s="728">
        <v>94</v>
      </c>
      <c r="J73" s="728">
        <v>93</v>
      </c>
      <c r="K73" s="728">
        <v>92</v>
      </c>
      <c r="L73" s="728">
        <v>91</v>
      </c>
      <c r="M73" s="728">
        <v>90</v>
      </c>
      <c r="N73" s="728">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2609</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8" t="s">
        <v>3025</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0（含）-0.5</v>
      </c>
      <c r="D81" s="680" t="str">
        <f t="shared" ref="D81:L81" si="20">D82&amp;"（含）"&amp;"-"&amp;E82</f>
        <v>0.5（含）-1</v>
      </c>
      <c r="E81" s="680" t="str">
        <f t="shared" si="20"/>
        <v>1（含）-1.5</v>
      </c>
      <c r="F81" s="680" t="str">
        <f t="shared" si="20"/>
        <v>1.5（含）-2</v>
      </c>
      <c r="G81" s="680" t="str">
        <f t="shared" si="20"/>
        <v>2（含）-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c r="I82" s="539"/>
      <c r="J82" s="539"/>
      <c r="K82" s="539"/>
      <c r="L82" s="539"/>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9" t="s">
        <v>3027</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0</v>
      </c>
      <c r="C86" s="686" t="s">
        <v>3028</v>
      </c>
      <c r="D86" s="686" t="s">
        <v>3032</v>
      </c>
      <c r="E86" s="686" t="s">
        <v>3033</v>
      </c>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v>100</v>
      </c>
      <c r="D87" s="690">
        <v>102</v>
      </c>
      <c r="E87" s="690">
        <v>101</v>
      </c>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95</v>
      </c>
      <c r="E91" s="677">
        <f>D91-$K17</f>
        <v>90</v>
      </c>
      <c r="F91" s="677">
        <f>E91-$K17</f>
        <v>85</v>
      </c>
      <c r="G91" s="677">
        <f>F91-$K17</f>
        <v>80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99</v>
      </c>
      <c r="E93" s="677">
        <f>D93-$K19</f>
        <v>98</v>
      </c>
      <c r="F93" s="677">
        <f>E93-$K19</f>
        <v>97</v>
      </c>
      <c r="G93" s="677">
        <f>F93-$K19</f>
        <v>96</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2511</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2513</v>
      </c>
      <c r="C104" s="2619" t="s">
        <v>2514</v>
      </c>
      <c r="D104" s="2619" t="s">
        <v>2515</v>
      </c>
      <c r="E104" s="2619" t="s">
        <v>2516</v>
      </c>
      <c r="F104" s="2619" t="s">
        <v>2517</v>
      </c>
      <c r="G104" s="2619" t="s">
        <v>2518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9" t="s">
        <v>3035</v>
      </c>
      <c r="D108" s="3189" t="s">
        <v>3037</v>
      </c>
      <c r="E108" s="3189" t="s">
        <v>3038</v>
      </c>
      <c r="F108" s="3189" t="s">
        <v>3039</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3040</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v>
      </c>
      <c r="F118" s="702" t="str">
        <f t="shared" si="25"/>
        <v>(含)-</v>
      </c>
      <c r="G118" s="702" t="str">
        <f t="shared" si="25"/>
        <v>(含)-</v>
      </c>
      <c r="H118" s="702" t="str">
        <f t="shared" si="25"/>
        <v>(含)-</v>
      </c>
      <c r="I118" s="702"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94" t="s">
        <v>3042</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9" t="s">
        <v>3043</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2388</v>
      </c>
      <c r="C125" s="3197" t="s">
        <v>3061</v>
      </c>
      <c r="D125" s="1373" t="s">
        <v>3044</v>
      </c>
      <c r="E125" s="1373" t="s">
        <v>3045</v>
      </c>
      <c r="F125" s="1373" t="s">
        <v>3046</v>
      </c>
      <c r="G125" s="1373" t="s">
        <v>3047</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3189" t="s">
        <v>3043</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0" sqref="M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30"/>
      <c r="C1" s="2101"/>
      <c r="D1" s="2101"/>
      <c r="E1" s="2101"/>
      <c r="F1" s="2101"/>
      <c r="G1" s="2101"/>
      <c r="H1" s="2101"/>
      <c r="I1" s="2101"/>
      <c r="J1" s="2101"/>
      <c r="K1" s="420">
        <f>MATCH(B1,'数据-取费表'!A6:A16,0)+5</f>
        <v>7</v>
      </c>
    </row>
    <row r="2" spans="1:31" s="2038" customFormat="1" ht="18" customHeight="1">
      <c r="A2" s="2098" t="s">
        <v>432</v>
      </c>
      <c r="B2" s="2102">
        <f ca="1">C36</f>
        <v>176637</v>
      </c>
      <c r="C2" s="2101"/>
      <c r="D2" s="2101"/>
      <c r="E2" s="2101"/>
      <c r="F2" s="2101"/>
      <c r="G2" s="2101"/>
      <c r="H2" s="2101"/>
      <c r="I2" s="2101"/>
      <c r="J2" s="2101"/>
      <c r="K2" s="2101"/>
    </row>
    <row r="3" spans="1:31" s="2038" customFormat="1" ht="18" customHeight="1">
      <c r="A3" s="2103" t="s">
        <v>1646</v>
      </c>
      <c r="B3" s="2104">
        <f ca="1">ROUND(B2*10000/IF(B1="",'数据-汇总表'!E3,INDIRECT("'数据-取费表'!K"&amp;$K$1)),0)</f>
        <v>10727</v>
      </c>
      <c r="C3" s="2101"/>
      <c r="D3" s="2101"/>
      <c r="E3" s="2101"/>
      <c r="F3" s="2101"/>
      <c r="G3" s="2101"/>
      <c r="H3" s="2101"/>
      <c r="I3" s="2101"/>
      <c r="J3" s="2101"/>
      <c r="K3" s="2101"/>
    </row>
    <row r="4" spans="1:31" s="2038" customFormat="1" ht="18" customHeight="1">
      <c r="A4" s="424" t="s">
        <v>433</v>
      </c>
      <c r="B4" s="425">
        <f ca="1">ROUND(B2*10000/IF(B1="",'数据-汇总表'!D3,INDIRECT("'数据-取费表'!R"&amp;$K$1)),0)</f>
        <v>31572</v>
      </c>
      <c r="C4" s="426"/>
      <c r="D4" s="420"/>
      <c r="E4" s="420"/>
      <c r="F4" s="420"/>
      <c r="G4" s="420"/>
      <c r="H4" s="420"/>
      <c r="I4" s="420"/>
      <c r="J4" s="420"/>
      <c r="K4" s="420"/>
    </row>
    <row r="5" spans="1:31" s="2038" customFormat="1" ht="18" customHeight="1" thickBot="1">
      <c r="A5" s="427"/>
      <c r="B5" s="428">
        <f ca="1">ROUND(B2/(IF(B1="",'数据-汇总表'!D3,INDIRECT("'数据-取费表'!R"&amp;$K$1))/666.67),0)</f>
        <v>2105</v>
      </c>
      <c r="C5" s="429" t="s">
        <v>434</v>
      </c>
      <c r="D5" s="420"/>
      <c r="E5" s="420"/>
      <c r="F5" s="420"/>
      <c r="G5" s="420"/>
      <c r="H5" s="420"/>
      <c r="I5" s="420"/>
      <c r="J5" s="420"/>
      <c r="K5" s="420"/>
    </row>
    <row r="6" spans="1:31" s="2108" customFormat="1" ht="16.5" customHeight="1">
      <c r="A6" s="2849" t="s">
        <v>1804</v>
      </c>
      <c r="B6" s="2850"/>
      <c r="C6" s="2851">
        <f ca="1">SUM(C10:K10)</f>
        <v>294958</v>
      </c>
      <c r="D6" s="2850"/>
      <c r="E6" s="2850"/>
      <c r="F6" s="2850"/>
      <c r="G6" s="2850"/>
      <c r="H6" s="2850"/>
      <c r="I6" s="2850"/>
      <c r="J6" s="2850"/>
      <c r="K6" s="2852"/>
    </row>
    <row r="7" spans="1:31" s="2110" customFormat="1" ht="15">
      <c r="A7" s="2853" t="s">
        <v>435</v>
      </c>
      <c r="B7" s="2854" t="s">
        <v>436</v>
      </c>
      <c r="C7" s="434" t="s">
        <v>888</v>
      </c>
      <c r="D7" s="434"/>
      <c r="E7" s="434" t="s">
        <v>34</v>
      </c>
      <c r="F7" s="434" t="s">
        <v>2935</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55">
        <v>41230</v>
      </c>
      <c r="D8" s="2855"/>
      <c r="E8" s="2855">
        <f>'不动产比较法-车位'!B3</f>
        <v>4862</v>
      </c>
      <c r="F8" s="2855">
        <f ca="1">'不动产收益法-仓储'!B3</f>
        <v>5343</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62049.45</v>
      </c>
      <c r="D9" s="439">
        <f>SUMIF('数据-汇总表'!$C19:$C33,'剩余法-待开发'!D7,'数据-汇总表'!$E19:$E33)</f>
        <v>0</v>
      </c>
      <c r="E9" s="439">
        <f>SUMIF('数据-汇总表'!$C19:$C33,'剩余法-待开发'!E7,'数据-汇总表'!$E19:$E33)</f>
        <v>43743.43</v>
      </c>
      <c r="F9" s="439">
        <f>SUMIF('数据-汇总表'!$C19:$C33,'剩余法-待开发'!F7,'数据-汇总表'!$E19:$E33)</f>
        <v>33424.14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1809</v>
      </c>
      <c r="B10" s="2843" t="s">
        <v>439</v>
      </c>
      <c r="C10" s="3050">
        <f>ROUND(C8*C9/10000,0)</f>
        <v>255830</v>
      </c>
      <c r="D10" s="3050"/>
      <c r="E10" s="3050">
        <f>'不动产比较法-车位'!B2</f>
        <v>21268</v>
      </c>
      <c r="F10" s="2858">
        <f ca="1">'不动产收益法-仓储'!B2</f>
        <v>17860</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1805</v>
      </c>
      <c r="B11" s="2850"/>
      <c r="C11" s="2850"/>
      <c r="D11" s="2850"/>
      <c r="E11" s="2850"/>
      <c r="F11" s="2850"/>
      <c r="G11" s="2850"/>
      <c r="H11" s="2850"/>
      <c r="I11" s="2850"/>
      <c r="J11" s="2850"/>
      <c r="K11" s="2852"/>
    </row>
    <row r="12" spans="1:31" s="2082" customFormat="1" ht="13.5" customHeight="1">
      <c r="A12" s="2861" t="s">
        <v>435</v>
      </c>
      <c r="B12" s="2833" t="s">
        <v>436</v>
      </c>
      <c r="C12" s="2862" t="s">
        <v>440</v>
      </c>
      <c r="D12" s="2829" t="s">
        <v>441</v>
      </c>
      <c r="E12" s="2829" t="s">
        <v>442</v>
      </c>
      <c r="F12" s="2829" t="s">
        <v>443</v>
      </c>
      <c r="G12" s="2833"/>
      <c r="H12" s="2834"/>
      <c r="I12" s="2834"/>
      <c r="J12" s="2834"/>
      <c r="K12" s="2835"/>
    </row>
    <row r="13" spans="1:31" s="2113" customFormat="1" ht="13.5" customHeight="1">
      <c r="A13" s="2863" t="s">
        <v>1810</v>
      </c>
      <c r="B13" s="2864" t="s">
        <v>444</v>
      </c>
      <c r="C13" s="448">
        <f ca="1">IF(B1="",'数据-取费表'!P16,INDIRECT("'数据-取费表'!p"&amp;$K$1)+INDIRECT("'数据-取费表'!t"&amp;$K$1))</f>
        <v>42703</v>
      </c>
      <c r="D13" s="2865"/>
      <c r="E13" s="2866"/>
      <c r="F13" s="2867"/>
      <c r="G13" s="2833"/>
      <c r="H13" s="2834"/>
      <c r="I13" s="2834"/>
      <c r="J13" s="2834"/>
      <c r="K13" s="2835"/>
    </row>
    <row r="14" spans="1:31" s="2113" customFormat="1" ht="13.5" customHeight="1">
      <c r="A14" s="2863" t="s">
        <v>1811</v>
      </c>
      <c r="B14" s="2864" t="s">
        <v>445</v>
      </c>
      <c r="C14" s="52">
        <f ca="1">ROUND(C13*F14,0)</f>
        <v>1281</v>
      </c>
      <c r="D14" s="2865"/>
      <c r="E14" s="2866"/>
      <c r="F14" s="2868">
        <f>'数据-取费表'!B33</f>
        <v>0.03</v>
      </c>
      <c r="G14" s="2833" t="s">
        <v>446</v>
      </c>
      <c r="H14" s="2834"/>
      <c r="I14" s="2834"/>
      <c r="J14" s="2834"/>
      <c r="K14" s="2835"/>
    </row>
    <row r="15" spans="1:31" s="2113" customFormat="1" ht="13.5" customHeight="1">
      <c r="A15" s="2863" t="s">
        <v>1812</v>
      </c>
      <c r="B15" s="2864" t="s">
        <v>447</v>
      </c>
      <c r="C15" s="52">
        <f ca="1">ROUND(IF(B1="",SUMIF('数据-取费表'!C:C,"住宅",'数据-取费表'!P:P)*F15,IF(INDIRECT("'数据-取费表'!c"&amp;$K$1)="住宅",INDIRECT("'数据-取费表'!P"&amp;$K$1)*F15,0)),0)</f>
        <v>776</v>
      </c>
      <c r="D15" s="2865"/>
      <c r="E15" s="2866"/>
      <c r="F15" s="2868">
        <f>'数据-取费表'!B34</f>
        <v>0.05</v>
      </c>
      <c r="G15" s="2833" t="s">
        <v>448</v>
      </c>
      <c r="H15" s="2834"/>
      <c r="I15" s="2834"/>
      <c r="J15" s="2834"/>
      <c r="K15" s="2835"/>
    </row>
    <row r="16" spans="1:31" s="2114" customFormat="1" ht="13.5" customHeight="1">
      <c r="A16" s="2863" t="s">
        <v>1813</v>
      </c>
      <c r="B16" s="2864" t="s">
        <v>449</v>
      </c>
      <c r="C16" s="52">
        <f ca="1">ROUND(D16*E16/10000,0)</f>
        <v>3293</v>
      </c>
      <c r="D16" s="2865">
        <f ca="1">IF(B1="",'数据-汇总表'!E3,INDIRECT("'数据-取费表'!K"&amp;$K$1)+INDIRECT("'数据-取费表'!S"&amp;$K$1))</f>
        <v>164673.22000000003</v>
      </c>
      <c r="E16" s="52">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1814</v>
      </c>
      <c r="B17" s="2864" t="s">
        <v>450</v>
      </c>
      <c r="C17" s="2869">
        <f ca="1">ROUND(C13*F17,0)</f>
        <v>641</v>
      </c>
      <c r="D17" s="473"/>
      <c r="E17" s="2869"/>
      <c r="F17" s="2870">
        <f>'数据-取费表'!B36</f>
        <v>1.4999999999999999E-2</v>
      </c>
      <c r="G17" s="259" t="s">
        <v>451</v>
      </c>
      <c r="H17" s="2836"/>
      <c r="I17" s="2836"/>
      <c r="J17" s="2836"/>
      <c r="K17" s="277"/>
    </row>
    <row r="18" spans="1:14" s="2113" customFormat="1" ht="13.5" customHeight="1">
      <c r="A18" s="2871" t="s">
        <v>1815</v>
      </c>
      <c r="B18" s="2872" t="s">
        <v>452</v>
      </c>
      <c r="C18" s="2873">
        <f ca="1">SUM(C13:C17)</f>
        <v>48694</v>
      </c>
      <c r="D18" s="2874"/>
      <c r="E18" s="466"/>
      <c r="F18" s="466"/>
      <c r="G18" s="2837" t="s">
        <v>2393</v>
      </c>
      <c r="H18" s="2838"/>
      <c r="I18" s="2838"/>
      <c r="J18" s="2838"/>
      <c r="K18" s="2839"/>
    </row>
    <row r="19" spans="1:14" s="2113" customFormat="1" ht="13.5" customHeight="1">
      <c r="A19" s="2871" t="s">
        <v>1816</v>
      </c>
      <c r="B19" s="2872" t="s">
        <v>453</v>
      </c>
      <c r="C19" s="2829">
        <f ca="1">ROUND(D19*E19/10000,0)</f>
        <v>1317</v>
      </c>
      <c r="D19" s="2875">
        <f ca="1">D16</f>
        <v>164673.22000000003</v>
      </c>
      <c r="E19" s="2829">
        <f>'数据-取费表'!B32</f>
        <v>80</v>
      </c>
      <c r="F19" s="466"/>
      <c r="G19" s="2833" t="s">
        <v>454</v>
      </c>
      <c r="H19" s="2834"/>
      <c r="I19" s="2838"/>
      <c r="J19" s="2838"/>
      <c r="K19" s="2839"/>
    </row>
    <row r="20" spans="1:14" s="2113" customFormat="1" ht="13.5" customHeight="1">
      <c r="A20" s="2871" t="s">
        <v>1817</v>
      </c>
      <c r="B20" s="2872" t="s">
        <v>455</v>
      </c>
      <c r="C20" s="2829">
        <f ca="1">C21+C22-IF(B1="",'数据-取费表'!B29,IF(G20="已全部缴纳",C21+C22,H20))</f>
        <v>3045</v>
      </c>
      <c r="D20" s="2875"/>
      <c r="E20" s="2829"/>
      <c r="F20" s="2876"/>
      <c r="G20" s="3109"/>
      <c r="H20" s="2831"/>
      <c r="I20" s="2832" t="s">
        <v>2613</v>
      </c>
      <c r="J20" s="2838"/>
      <c r="K20" s="2839"/>
    </row>
    <row r="21" spans="1:14" s="2113" customFormat="1" ht="13.5" customHeight="1">
      <c r="A21" s="2863" t="s">
        <v>1818</v>
      </c>
      <c r="B21" s="2864" t="s">
        <v>456</v>
      </c>
      <c r="C21" s="52">
        <f ca="1">ROUND(D21*E21/10000,0)</f>
        <v>993</v>
      </c>
      <c r="D21" s="2865">
        <f ca="1">IF(B1="",'数据-汇总表'!E5,IF(INDIRECT("'数据-取费表'!c"&amp;$K$1)="住宅",INDIRECT("'数据-取费表'!k"&amp;$K$1),0))</f>
        <v>62049.45</v>
      </c>
      <c r="E21" s="52">
        <f>'数据-取费表'!B27</f>
        <v>160</v>
      </c>
      <c r="F21" s="2868"/>
      <c r="G21" s="25"/>
      <c r="H21" s="50"/>
      <c r="I21" s="50"/>
      <c r="J21" s="50"/>
      <c r="K21" s="2840"/>
    </row>
    <row r="22" spans="1:14" s="2113" customFormat="1" ht="13.5" customHeight="1">
      <c r="A22" s="2863" t="s">
        <v>1819</v>
      </c>
      <c r="B22" s="2864" t="s">
        <v>457</v>
      </c>
      <c r="C22" s="52">
        <f ca="1">ROUND(D22*E22/10000,0)</f>
        <v>2052</v>
      </c>
      <c r="D22" s="2865">
        <f ca="1">IF(B1="",'数据-汇总表'!E6,IF(INDIRECT("'数据-取费表'!c"&amp;$K$1)="住宅",INDIRECT("'数据-取费表'!s"&amp;$K$1),INDIRECT("'数据-取费表'!k"&amp;$K$1)+INDIRECT("'数据-取费表'!s"&amp;$K$1)))</f>
        <v>102623.77000000003</v>
      </c>
      <c r="E22" s="52">
        <f>'数据-取费表'!B28</f>
        <v>200</v>
      </c>
      <c r="F22" s="2868"/>
      <c r="G22" s="25"/>
      <c r="H22" s="50"/>
      <c r="I22" s="50"/>
      <c r="J22" s="50"/>
      <c r="K22" s="2840"/>
    </row>
    <row r="23" spans="1:14" s="2113" customFormat="1" ht="13.5" customHeight="1">
      <c r="A23" s="2871" t="s">
        <v>1820</v>
      </c>
      <c r="B23" s="3056" t="s">
        <v>2796</v>
      </c>
      <c r="C23" s="2873">
        <f ca="1">ROUND((C18+C19+C20)*F23,0)</f>
        <v>1061</v>
      </c>
      <c r="D23" s="466"/>
      <c r="E23" s="466"/>
      <c r="F23" s="2877">
        <f>'数据-取费表'!B37</f>
        <v>0.02</v>
      </c>
      <c r="G23" s="2833" t="s">
        <v>2394</v>
      </c>
      <c r="H23" s="2834"/>
      <c r="I23" s="2834"/>
      <c r="J23" s="2834"/>
      <c r="K23" s="2835"/>
      <c r="L23" s="2115"/>
      <c r="M23" s="2115"/>
      <c r="N23" s="2115"/>
    </row>
    <row r="24" spans="1:14" s="2113" customFormat="1" ht="13.5" customHeight="1">
      <c r="A24" s="2871" t="s">
        <v>1821</v>
      </c>
      <c r="B24" s="3056" t="s">
        <v>2799</v>
      </c>
      <c r="C24" s="2873">
        <f ca="1">ROUND(C6*F24,0)</f>
        <v>5899</v>
      </c>
      <c r="D24" s="473"/>
      <c r="E24" s="471"/>
      <c r="F24" s="2877">
        <f>'数据-取费表'!B38</f>
        <v>0.02</v>
      </c>
      <c r="G24" s="2842" t="s">
        <v>464</v>
      </c>
      <c r="H24" s="2836"/>
      <c r="I24" s="2836"/>
      <c r="J24" s="2836"/>
      <c r="K24" s="277"/>
      <c r="L24" s="2115"/>
      <c r="M24" s="2115"/>
      <c r="N24" s="2115"/>
    </row>
    <row r="25" spans="1:14" s="2116" customFormat="1" ht="13.5" customHeight="1">
      <c r="A25" s="2871" t="s">
        <v>1822</v>
      </c>
      <c r="B25" s="3056" t="s">
        <v>2797</v>
      </c>
      <c r="C25" s="465">
        <f>ROUND(F25/(1+'数据-取费表'!C42),4)</f>
        <v>2.9000000000000001E-2</v>
      </c>
      <c r="D25" s="460" t="s">
        <v>2791</v>
      </c>
      <c r="E25" s="467"/>
      <c r="F25" s="2877">
        <f>'数据-取费表'!B48+'数据-取费表'!B49</f>
        <v>3.0499999999999999E-2</v>
      </c>
      <c r="G25" s="2841" t="s">
        <v>2252</v>
      </c>
      <c r="H25" s="2834"/>
      <c r="I25" s="2834"/>
      <c r="J25" s="2834"/>
      <c r="K25" s="2835"/>
    </row>
    <row r="26" spans="1:14" s="2115" customFormat="1" ht="13.5" customHeight="1">
      <c r="A26" s="2871" t="s">
        <v>1823</v>
      </c>
      <c r="B26" s="3057" t="s">
        <v>2798</v>
      </c>
      <c r="C26" s="2878">
        <f ca="1">C28</f>
        <v>2851</v>
      </c>
      <c r="D26" s="465">
        <f ca="1">C27</f>
        <v>0.10009999999999999</v>
      </c>
      <c r="E26" s="467" t="s">
        <v>460</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1" t="s">
        <v>1818</v>
      </c>
      <c r="B27" s="2879" t="s">
        <v>461</v>
      </c>
      <c r="C27" s="2880">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6"/>
      <c r="I27" s="2836"/>
      <c r="J27" s="2836"/>
      <c r="K27" s="277"/>
    </row>
    <row r="28" spans="1:14" s="2117" customFormat="1" ht="13.5" customHeight="1">
      <c r="A28" s="801" t="s">
        <v>1819</v>
      </c>
      <c r="B28" s="2879" t="s">
        <v>2800</v>
      </c>
      <c r="C28" s="2881">
        <f ca="1">ROUND(IF('数据-取费表'!B22&lt;=1,(C18+C19+C20+C23+C24)*F26*'数据-取费表'!B24/2,(C18+C19+C20+C23+C24)*(POWER((1+F26),'数据-取费表'!B24/2)-1)),0)</f>
        <v>2851</v>
      </c>
      <c r="D28" s="470"/>
      <c r="E28" s="471"/>
      <c r="F28" s="472"/>
      <c r="G28" s="2593" t="str">
        <f>IF('数据-取费表'!B22&lt;=1,"（1）-（4）项×年利率×建设期÷2","（1）-（4）项×((1+年利率)^(建设期÷2)-1)")</f>
        <v>（1）-（4）项×((1+年利率)^(建设期÷2)-1)</v>
      </c>
      <c r="H28" s="2836"/>
      <c r="I28" s="2836"/>
      <c r="J28" s="2836"/>
      <c r="K28" s="277"/>
    </row>
    <row r="29" spans="1:14" s="2117" customFormat="1" ht="13.5" customHeight="1">
      <c r="A29" s="2882" t="s">
        <v>1824</v>
      </c>
      <c r="B29" s="2872" t="s">
        <v>462</v>
      </c>
      <c r="C29" s="2873">
        <f ca="1">ROUND(C6*F29/(1+'数据-取费表'!C42),0)</f>
        <v>15731</v>
      </c>
      <c r="D29" s="466"/>
      <c r="E29" s="466"/>
      <c r="F29" s="3058">
        <f>'数据-取费表'!B41</f>
        <v>5.6000000000000001E-2</v>
      </c>
      <c r="G29" s="2842" t="s">
        <v>463</v>
      </c>
      <c r="H29" s="2834"/>
      <c r="I29" s="2834"/>
      <c r="J29" s="2834"/>
      <c r="K29" s="2835"/>
    </row>
    <row r="30" spans="1:14" s="2118" customFormat="1" ht="13.5" customHeight="1">
      <c r="A30" s="1633" t="s">
        <v>1825</v>
      </c>
      <c r="B30" s="2883" t="s">
        <v>465</v>
      </c>
      <c r="C30" s="2878">
        <f ca="1">C31</f>
        <v>78598</v>
      </c>
      <c r="D30" s="475">
        <f ca="1">C32</f>
        <v>0.12909999999999999</v>
      </c>
      <c r="E30" s="467" t="s">
        <v>460</v>
      </c>
      <c r="F30" s="469"/>
      <c r="G30" s="2841" t="s">
        <v>2925</v>
      </c>
      <c r="H30" s="2834"/>
      <c r="I30" s="2834"/>
      <c r="J30" s="2834"/>
      <c r="K30" s="2835"/>
    </row>
    <row r="31" spans="1:14" s="2117" customFormat="1" ht="13.5" customHeight="1">
      <c r="A31" s="801" t="s">
        <v>1818</v>
      </c>
      <c r="B31" s="2879"/>
      <c r="C31" s="448">
        <f ca="1">C18+C19+C20+C23+C24+C26+C29</f>
        <v>78598</v>
      </c>
      <c r="D31" s="470"/>
      <c r="E31" s="471"/>
      <c r="F31" s="472"/>
      <c r="G31" s="259"/>
      <c r="H31" s="2836"/>
      <c r="I31" s="2836"/>
      <c r="J31" s="2836"/>
      <c r="K31" s="277"/>
    </row>
    <row r="32" spans="1:14" s="2117" customFormat="1" ht="13.5" customHeight="1">
      <c r="A32" s="801" t="s">
        <v>1819</v>
      </c>
      <c r="B32" s="2879"/>
      <c r="C32" s="52">
        <f ca="1">ROUND(C25+D26,4)</f>
        <v>0.12909999999999999</v>
      </c>
      <c r="D32" s="470"/>
      <c r="E32" s="471"/>
      <c r="F32" s="472"/>
      <c r="G32" s="259"/>
      <c r="H32" s="2836"/>
      <c r="I32" s="2836"/>
      <c r="J32" s="2836"/>
      <c r="K32" s="277"/>
    </row>
    <row r="33" spans="1:11" s="2119" customFormat="1" ht="13.5" customHeight="1">
      <c r="A33" s="3055" t="s">
        <v>2795</v>
      </c>
      <c r="B33" s="3053" t="s">
        <v>2793</v>
      </c>
      <c r="C33" s="476">
        <f ca="1">C35</f>
        <v>4201</v>
      </c>
      <c r="D33" s="465">
        <f ca="1">C34</f>
        <v>7.1999999999999995E-2</v>
      </c>
      <c r="E33" s="467" t="s">
        <v>460</v>
      </c>
      <c r="F33" s="477">
        <f ca="1">IF(B1="",'数据-取费表'!Q16,INDIRECT("'数据-取费表'!q"&amp;$K$1))</f>
        <v>7.0000000000000007E-2</v>
      </c>
      <c r="G33" s="2837"/>
      <c r="H33" s="2838"/>
      <c r="I33" s="2838"/>
      <c r="J33" s="2838"/>
      <c r="K33" s="2839"/>
    </row>
    <row r="34" spans="1:11" s="2120" customFormat="1" ht="13.5" customHeight="1">
      <c r="A34" s="373" t="s">
        <v>1818</v>
      </c>
      <c r="B34" s="2884" t="s">
        <v>466</v>
      </c>
      <c r="C34" s="470">
        <f ca="1">ROUND((1+C25)*F33,4)</f>
        <v>7.1999999999999995E-2</v>
      </c>
      <c r="D34" s="470"/>
      <c r="E34" s="471"/>
      <c r="F34" s="478"/>
      <c r="G34" s="259" t="s">
        <v>2253</v>
      </c>
      <c r="H34" s="2836"/>
      <c r="I34" s="2836"/>
      <c r="J34" s="2836"/>
      <c r="K34" s="277"/>
    </row>
    <row r="35" spans="1:11" s="2120" customFormat="1" ht="13.5" customHeight="1" thickBot="1">
      <c r="A35" s="1634" t="s">
        <v>1819</v>
      </c>
      <c r="B35" s="3054" t="s">
        <v>2801</v>
      </c>
      <c r="C35" s="1626">
        <f ca="1">ROUND((C18+C19+C20+C23+C24)*F33,0)</f>
        <v>4201</v>
      </c>
      <c r="D35" s="1627"/>
      <c r="E35" s="2885"/>
      <c r="F35" s="1628"/>
      <c r="G35" s="2843"/>
      <c r="H35" s="2844"/>
      <c r="I35" s="2844"/>
      <c r="J35" s="2844"/>
      <c r="K35" s="2845"/>
    </row>
    <row r="36" spans="1:11" s="2082" customFormat="1" ht="13.5" customHeight="1" thickBot="1">
      <c r="A36" s="282" t="s">
        <v>1806</v>
      </c>
      <c r="B36" s="2847"/>
      <c r="C36" s="2886">
        <f ca="1">ROUND((C6-C30-C33)/(1+D30+D33),0)</f>
        <v>176637</v>
      </c>
      <c r="D36" s="2847"/>
      <c r="E36" s="2847"/>
      <c r="F36" s="2847"/>
      <c r="G36" s="2846" t="s">
        <v>2802</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239" t="str">
        <f>项目基本情况!B1</f>
        <v>北京市丰台区王佐镇怪村0024出让国有建设用地使用权抵押价格预评估</v>
      </c>
      <c r="C37" s="3239"/>
      <c r="D37" s="3239"/>
      <c r="E37" s="3239"/>
      <c r="F37" s="3239"/>
      <c r="G37" s="3239"/>
      <c r="H37" s="3239"/>
      <c r="I37" s="3239"/>
    </row>
    <row r="38" spans="1:9">
      <c r="A38" s="1654"/>
      <c r="B38" s="1654"/>
    </row>
    <row r="39" spans="1:9">
      <c r="A39" s="1652" t="s">
        <v>1863</v>
      </c>
      <c r="B39" s="1652" t="s">
        <v>2009</v>
      </c>
    </row>
    <row r="40" spans="1:9">
      <c r="A40" s="1652"/>
      <c r="B40" s="1652" t="str">
        <f>项目基本情况!B5</f>
        <v>北京青龙湖盛通房地产开发有限公司</v>
      </c>
    </row>
    <row r="41" spans="1:9">
      <c r="A41" s="1652"/>
      <c r="B41" s="1652"/>
    </row>
    <row r="42" spans="1:9">
      <c r="A42" s="1652" t="s">
        <v>1863</v>
      </c>
      <c r="B42" s="1652" t="s">
        <v>2010</v>
      </c>
    </row>
    <row r="43" spans="1:9">
      <c r="A43" s="1652"/>
      <c r="B43" s="1652" t="s">
        <v>1865</v>
      </c>
    </row>
    <row r="44" spans="1:9">
      <c r="A44" s="1652"/>
      <c r="B44" s="1652"/>
    </row>
    <row r="45" spans="1:9">
      <c r="A45" s="1652" t="s">
        <v>1863</v>
      </c>
      <c r="B45" s="1652" t="s">
        <v>2008</v>
      </c>
    </row>
    <row r="46" spans="1:9" s="1652" customFormat="1" ht="12.75">
      <c r="B46" s="1652" t="str">
        <f>项目基本情况!K4</f>
        <v>土地估价师、土地估价师</v>
      </c>
    </row>
    <row r="47" spans="1:9">
      <c r="A47" s="1652"/>
      <c r="B47" s="1652"/>
    </row>
    <row r="48" spans="1:9">
      <c r="A48" s="1652" t="s">
        <v>1863</v>
      </c>
      <c r="B48" s="1652" t="s">
        <v>2011</v>
      </c>
    </row>
    <row r="49" spans="2:2">
      <c r="B49" s="1652" t="str">
        <f>"康正预评字"&amp;项目基本情况!B2&amp;"号"</f>
        <v>康正预评字2018-1-号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28" sqref="B28"/>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830"/>
      <c r="C1" s="2101"/>
      <c r="D1" s="2101"/>
      <c r="E1" s="2101"/>
      <c r="F1" s="2101"/>
      <c r="G1" s="2101"/>
      <c r="H1" s="2101"/>
      <c r="I1" s="2101"/>
      <c r="J1" s="2101"/>
      <c r="K1" s="420">
        <f>MATCH(B1,'数据-取费表'!A6:A16,0)+5</f>
        <v>7</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7"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2614</v>
      </c>
      <c r="B6" s="431"/>
      <c r="C6" s="1621">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1809</v>
      </c>
      <c r="B10" s="1622" t="s">
        <v>439</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1826</v>
      </c>
      <c r="B11" s="1619"/>
      <c r="C11" s="1619"/>
      <c r="D11" s="1619"/>
      <c r="E11" s="1619"/>
      <c r="F11" s="1619"/>
      <c r="G11" s="1619"/>
      <c r="H11" s="1619"/>
      <c r="I11" s="1619"/>
      <c r="J11" s="1619"/>
      <c r="K11" s="1620"/>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1" t="s">
        <v>1810</v>
      </c>
      <c r="B13" s="447" t="s">
        <v>444</v>
      </c>
      <c r="C13" s="448">
        <f ca="1">IF(B1="",'数据-取费表'!M16,INDIRECT("'数据-取费表'!M"&amp;$K$1)+INDIRECT("'数据-取费表'!t"&amp;$K$1))</f>
        <v>42703</v>
      </c>
      <c r="D13" s="449"/>
      <c r="E13" s="363"/>
      <c r="F13" s="450"/>
      <c r="G13" s="442"/>
      <c r="H13" s="445"/>
      <c r="I13" s="445"/>
      <c r="J13" s="445"/>
      <c r="K13" s="446"/>
    </row>
    <row r="14" spans="1:41" s="2113" customFormat="1" ht="13.5" customHeight="1">
      <c r="A14" s="1631" t="s">
        <v>1811</v>
      </c>
      <c r="B14" s="447" t="s">
        <v>445</v>
      </c>
      <c r="C14" s="52">
        <f ca="1">ROUND(C13*F14,0)</f>
        <v>1281</v>
      </c>
      <c r="D14" s="449"/>
      <c r="E14" s="363"/>
      <c r="F14" s="451">
        <f>'数据-取费表'!B33</f>
        <v>0.03</v>
      </c>
      <c r="G14" s="442" t="s">
        <v>467</v>
      </c>
      <c r="H14" s="445"/>
      <c r="I14" s="445"/>
      <c r="J14" s="445"/>
      <c r="K14" s="446"/>
    </row>
    <row r="15" spans="1:41" s="2113" customFormat="1" ht="13.5" customHeight="1">
      <c r="A15" s="1631" t="s">
        <v>1812</v>
      </c>
      <c r="B15" s="447" t="s">
        <v>447</v>
      </c>
      <c r="C15" s="52">
        <f ca="1">ROUND(IF(B1="",SUMIF('数据-取费表'!C:C,"住宅",'数据-取费表'!M:M)*F15,IF(INDIRECT("'数据-取费表'!c"&amp;$K$1)="住宅",INDIRECT("'数据-取费表'!M"&amp;$K$1)*F15,0)),0)</f>
        <v>776</v>
      </c>
      <c r="D15" s="449"/>
      <c r="E15" s="363"/>
      <c r="F15" s="451">
        <f>'数据-取费表'!B34</f>
        <v>0.05</v>
      </c>
      <c r="G15" s="442" t="s">
        <v>467</v>
      </c>
      <c r="H15" s="445"/>
      <c r="I15" s="445"/>
      <c r="J15" s="445"/>
      <c r="K15" s="446"/>
    </row>
    <row r="16" spans="1:41" s="2114" customFormat="1" ht="13.5" customHeight="1">
      <c r="A16" s="1631" t="s">
        <v>1813</v>
      </c>
      <c r="B16" s="447" t="s">
        <v>449</v>
      </c>
      <c r="C16" s="52">
        <f ca="1">ROUND(D16*E16/10000,0)</f>
        <v>3293</v>
      </c>
      <c r="D16" s="449">
        <f ca="1">IF(B1="",'数据-汇总表'!E3,INDIRECT("'数据-取费表'!K"&amp;$K$1)+INDIRECT("'数据-取费表'!S"&amp;$K$1))</f>
        <v>164673.22000000003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1814</v>
      </c>
      <c r="B17" s="447" t="s">
        <v>450</v>
      </c>
      <c r="C17" s="452">
        <f ca="1">ROUND(C13*F17,0)</f>
        <v>641</v>
      </c>
      <c r="D17" s="453"/>
      <c r="E17" s="452"/>
      <c r="F17" s="454">
        <f>'数据-取费表'!B36</f>
        <v>1.4999999999999999E-2</v>
      </c>
      <c r="G17" s="442" t="s">
        <v>467</v>
      </c>
      <c r="H17" s="455"/>
      <c r="I17" s="455"/>
      <c r="J17" s="455"/>
      <c r="K17" s="456"/>
    </row>
    <row r="18" spans="1:14" s="2116" customFormat="1" ht="13.5" customHeight="1">
      <c r="A18" s="1632" t="s">
        <v>1815</v>
      </c>
      <c r="B18" s="457" t="s">
        <v>452</v>
      </c>
      <c r="C18" s="458">
        <f ca="1">SUM(C13:C17)</f>
        <v>48694</v>
      </c>
      <c r="D18" s="459"/>
      <c r="E18" s="460"/>
      <c r="F18" s="460"/>
      <c r="G18" s="1325" t="s">
        <v>2395</v>
      </c>
      <c r="H18" s="445"/>
      <c r="I18" s="445"/>
      <c r="J18" s="445"/>
      <c r="K18" s="446"/>
    </row>
    <row r="19" spans="1:14" s="2116" customFormat="1" ht="13.5" customHeight="1">
      <c r="A19" s="1632" t="s">
        <v>1816</v>
      </c>
      <c r="B19" s="457" t="s">
        <v>458</v>
      </c>
      <c r="C19" s="458">
        <f ca="1">ROUND(C18*F19,0)</f>
        <v>974</v>
      </c>
      <c r="D19" s="460"/>
      <c r="E19" s="460"/>
      <c r="F19" s="464">
        <f>'数据-取费表'!B37</f>
        <v>0.02</v>
      </c>
      <c r="G19" s="442" t="s">
        <v>468</v>
      </c>
      <c r="H19" s="445"/>
      <c r="I19" s="445"/>
      <c r="J19" s="445"/>
      <c r="K19" s="446"/>
      <c r="L19" s="2118"/>
      <c r="M19" s="2118"/>
      <c r="N19" s="2118"/>
    </row>
    <row r="20" spans="1:14" s="2116" customFormat="1" ht="13.5" customHeight="1">
      <c r="A20" s="1632" t="s">
        <v>1817</v>
      </c>
      <c r="B20" s="457" t="s">
        <v>469</v>
      </c>
      <c r="C20" s="3051">
        <f>F20</f>
        <v>0.02</v>
      </c>
      <c r="D20" s="467" t="s">
        <v>470</v>
      </c>
      <c r="E20" s="467"/>
      <c r="F20" s="484">
        <f>'数据-取费表'!B38</f>
        <v>0.02</v>
      </c>
      <c r="G20" s="1325" t="s">
        <v>471</v>
      </c>
      <c r="H20" s="445"/>
      <c r="I20" s="445"/>
      <c r="J20" s="445"/>
      <c r="K20" s="446"/>
      <c r="L20" s="2118"/>
      <c r="M20" s="2118"/>
      <c r="N20" s="2118"/>
    </row>
    <row r="21" spans="1:14" s="2118" customFormat="1" ht="13.5" customHeight="1">
      <c r="A21" s="1632" t="s">
        <v>1820</v>
      </c>
      <c r="B21" s="459" t="s">
        <v>459</v>
      </c>
      <c r="C21" s="468">
        <f ca="1">C22</f>
        <v>2359</v>
      </c>
      <c r="D21" s="465">
        <f ca="1">C23</f>
        <v>1E-3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2417</v>
      </c>
    </row>
    <row r="22" spans="1:14" s="2117" customFormat="1" ht="13.5" customHeight="1">
      <c r="A22" s="1631" t="s">
        <v>1810</v>
      </c>
      <c r="B22" s="1326" t="s">
        <v>2398</v>
      </c>
      <c r="C22" s="485">
        <f ca="1">ROUND(IF('数据-取费表'!B22&lt;=1,(C18+C19)*F21*'数据-取费表'!B20/2,(C18+C19)*(POWER((1+F21),'数据-取费表'!B20/2)-1)),0)</f>
        <v>2359</v>
      </c>
      <c r="D22" s="470"/>
      <c r="E22" s="471"/>
      <c r="F22" s="472"/>
      <c r="G22" s="2588" t="str">
        <f>IF('数据-取费表'!B22&lt;=1,"((1)+(2))×年利率×建设期÷2","((1)+(2))×((1+年利率)^(建设期÷2)-1)")</f>
        <v>((1)+(2))×((1+年利率)^(建设期÷2)-1)</v>
      </c>
      <c r="H22" s="455"/>
      <c r="I22" s="455"/>
      <c r="J22" s="455"/>
      <c r="K22" s="456"/>
    </row>
    <row r="23" spans="1:14" s="2117" customFormat="1" ht="13.5" customHeight="1">
      <c r="A23" s="1631" t="s">
        <v>1811</v>
      </c>
      <c r="B23" s="1326" t="s">
        <v>473</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2" t="s">
        <v>1821</v>
      </c>
      <c r="B24" s="3053" t="s">
        <v>2794</v>
      </c>
      <c r="C24" s="476">
        <f ca="1">C25</f>
        <v>3477</v>
      </c>
      <c r="D24" s="487">
        <f ca="1">C26</f>
        <v>1.4E-3</v>
      </c>
      <c r="E24" s="467" t="s">
        <v>472</v>
      </c>
      <c r="F24" s="477">
        <f ca="1">IF(B1="",'数据-取费表'!Q16,INDIRECT("'数据-取费表'!q"&amp;$K$1))</f>
        <v>7.0000000000000007E-2</v>
      </c>
      <c r="G24" s="442"/>
      <c r="H24" s="445"/>
      <c r="I24" s="445"/>
      <c r="J24" s="445"/>
      <c r="K24" s="446"/>
    </row>
    <row r="25" spans="1:14" s="2117" customFormat="1" ht="13.5" customHeight="1">
      <c r="A25" s="1631" t="s">
        <v>1810</v>
      </c>
      <c r="B25" s="1326" t="s">
        <v>2399</v>
      </c>
      <c r="C25" s="488">
        <f ca="1">ROUND((C18+C19)*F24,0)</f>
        <v>3477</v>
      </c>
      <c r="D25" s="470"/>
      <c r="E25" s="471"/>
      <c r="F25" s="478"/>
      <c r="G25" s="1324" t="s">
        <v>2396</v>
      </c>
      <c r="H25" s="455"/>
      <c r="I25" s="455"/>
      <c r="J25" s="455"/>
      <c r="K25" s="456"/>
    </row>
    <row r="26" spans="1:14" s="2117" customFormat="1" ht="13.5" customHeight="1">
      <c r="A26" s="1631" t="s">
        <v>1811</v>
      </c>
      <c r="B26" s="1326" t="s">
        <v>474</v>
      </c>
      <c r="C26" s="489">
        <f ca="1">ROUND(F20*F24,4)</f>
        <v>1.4E-3</v>
      </c>
      <c r="D26" s="470"/>
      <c r="E26" s="479"/>
      <c r="F26" s="478"/>
      <c r="G26" s="1324" t="s">
        <v>475</v>
      </c>
      <c r="H26" s="455"/>
      <c r="I26" s="455"/>
      <c r="J26" s="455"/>
      <c r="K26" s="456"/>
    </row>
    <row r="27" spans="1:14" s="2117" customFormat="1" ht="13.5" customHeight="1">
      <c r="A27" s="1635" t="s">
        <v>1829</v>
      </c>
      <c r="B27" s="457" t="s">
        <v>476</v>
      </c>
      <c r="C27" s="3052">
        <f>ROUND(F27/(1+'数据-取费表'!C42),4)</f>
        <v>5.33E-2</v>
      </c>
      <c r="D27" s="460" t="s">
        <v>2792</v>
      </c>
      <c r="E27" s="460"/>
      <c r="F27" s="464">
        <f>'数据-取费表'!B41</f>
        <v>5.6000000000000001E-2</v>
      </c>
      <c r="G27" s="1957" t="s">
        <v>2254</v>
      </c>
      <c r="H27" s="445"/>
      <c r="I27" s="445"/>
      <c r="J27" s="445"/>
      <c r="K27" s="446"/>
    </row>
    <row r="28" spans="1:14" s="2118" customFormat="1" ht="13.5" customHeight="1">
      <c r="A28" s="1635" t="s">
        <v>1830</v>
      </c>
      <c r="B28" s="474" t="s">
        <v>477</v>
      </c>
      <c r="C28" s="468">
        <f ca="1">ROUND((C18+C19+C21+C24)/(1-C20-D21-D24-C27),0)</f>
        <v>60050</v>
      </c>
      <c r="D28" s="475"/>
      <c r="E28" s="467"/>
      <c r="F28" s="469"/>
      <c r="G28" s="1325" t="s">
        <v>2397</v>
      </c>
      <c r="H28" s="445"/>
      <c r="I28" s="445"/>
      <c r="J28" s="445"/>
      <c r="K28" s="446"/>
    </row>
    <row r="29" spans="1:14" s="2118" customFormat="1" ht="13.5" customHeight="1">
      <c r="A29" s="1635"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503"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504"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1647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486</v>
      </c>
      <c r="B6" s="511"/>
      <c r="C6" s="3426" t="s">
        <v>487</v>
      </c>
      <c r="D6" s="3427"/>
      <c r="E6" s="3451" t="s">
        <v>488</v>
      </c>
      <c r="F6" s="3452"/>
      <c r="G6" s="3426" t="s">
        <v>489</v>
      </c>
      <c r="H6" s="3427"/>
      <c r="I6" s="3426" t="s">
        <v>490</v>
      </c>
      <c r="J6" s="3427"/>
      <c r="K6" s="512" t="s">
        <v>491</v>
      </c>
      <c r="L6" s="2130"/>
      <c r="M6" s="2131"/>
      <c r="N6" s="2131"/>
      <c r="O6" s="2131"/>
      <c r="P6" s="3428" t="s">
        <v>492</v>
      </c>
      <c r="Q6" s="3429"/>
      <c r="R6" s="3414" t="s">
        <v>488</v>
      </c>
      <c r="S6" s="3415"/>
      <c r="T6" s="3414" t="s">
        <v>489</v>
      </c>
      <c r="U6" s="3415"/>
      <c r="V6" s="3434" t="s">
        <v>490</v>
      </c>
      <c r="W6" s="3434"/>
      <c r="X6" s="1565"/>
      <c r="Y6" s="3414" t="s">
        <v>492</v>
      </c>
      <c r="Z6" s="3415"/>
      <c r="AA6" s="3409" t="s">
        <v>488</v>
      </c>
      <c r="AB6" s="3410" t="s">
        <v>489</v>
      </c>
      <c r="AC6" s="3409" t="s">
        <v>490</v>
      </c>
    </row>
    <row r="7" spans="1:29" ht="15">
      <c r="A7" s="513"/>
      <c r="B7" s="514"/>
      <c r="C7" s="3455" t="s">
        <v>2881</v>
      </c>
      <c r="D7" s="3456"/>
      <c r="E7" s="3453" t="s">
        <v>2882</v>
      </c>
      <c r="F7" s="3454"/>
      <c r="G7" s="3455" t="s">
        <v>2883</v>
      </c>
      <c r="H7" s="3456"/>
      <c r="I7" s="3455" t="s">
        <v>2884</v>
      </c>
      <c r="J7" s="3456"/>
      <c r="K7" s="512"/>
      <c r="L7" s="2130"/>
      <c r="M7" s="2131"/>
      <c r="N7" s="2131"/>
      <c r="O7" s="2131"/>
      <c r="P7" s="3430"/>
      <c r="Q7" s="3431"/>
      <c r="R7" s="3416"/>
      <c r="S7" s="3417"/>
      <c r="T7" s="3416"/>
      <c r="U7" s="3417"/>
      <c r="V7" s="3434"/>
      <c r="W7" s="3434"/>
      <c r="X7" s="1565"/>
      <c r="Y7" s="3416"/>
      <c r="Z7" s="3417"/>
      <c r="AA7" s="3410"/>
      <c r="AB7" s="3410"/>
      <c r="AC7" s="3410"/>
    </row>
    <row r="8" spans="1:29" ht="15.75" thickBot="1">
      <c r="A8" s="515"/>
      <c r="B8" s="516"/>
      <c r="C8" s="3457" t="s">
        <v>2885</v>
      </c>
      <c r="D8" s="3458"/>
      <c r="E8" s="3459" t="s">
        <v>2885</v>
      </c>
      <c r="F8" s="3460"/>
      <c r="G8" s="3457" t="s">
        <v>2885</v>
      </c>
      <c r="H8" s="3458"/>
      <c r="I8" s="3457" t="s">
        <v>2885</v>
      </c>
      <c r="J8" s="3458"/>
      <c r="K8" s="512" t="s">
        <v>493</v>
      </c>
      <c r="L8" s="2130"/>
      <c r="M8" s="2131"/>
      <c r="N8" s="2131"/>
      <c r="O8" s="2131"/>
      <c r="P8" s="3432"/>
      <c r="Q8" s="3433"/>
      <c r="R8" s="3416"/>
      <c r="S8" s="3417"/>
      <c r="T8" s="3418"/>
      <c r="U8" s="3419"/>
      <c r="V8" s="3434"/>
      <c r="W8" s="3434"/>
      <c r="X8" s="1565"/>
      <c r="Y8" s="3418"/>
      <c r="Z8" s="3419"/>
      <c r="AA8" s="3411"/>
      <c r="AB8" s="3411"/>
      <c r="AC8" s="3411"/>
    </row>
    <row r="9" spans="1:29" s="1218" customFormat="1" ht="15.75" thickBot="1">
      <c r="A9" s="2933"/>
      <c r="B9" s="2940" t="s">
        <v>494</v>
      </c>
      <c r="C9" s="517">
        <f>'数据-取费表'!B2</f>
        <v>43234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12" t="s">
        <v>495</v>
      </c>
      <c r="Q9" s="3421"/>
      <c r="R9" s="1566" t="s">
        <v>8</v>
      </c>
      <c r="S9" s="1567">
        <f t="shared" ref="S9:S17" si="0">F9</f>
        <v>0</v>
      </c>
      <c r="T9" s="1566" t="s">
        <v>8</v>
      </c>
      <c r="U9" s="1567">
        <f t="shared" ref="U9:U17" si="1">H9</f>
        <v>0</v>
      </c>
      <c r="V9" s="1566" t="s">
        <v>8</v>
      </c>
      <c r="W9" s="1567">
        <f t="shared" ref="W9:W17" si="2">J9</f>
        <v>0</v>
      </c>
      <c r="X9" s="1568"/>
      <c r="Y9" s="3412" t="s">
        <v>495</v>
      </c>
      <c r="Z9" s="3413"/>
      <c r="AA9" s="1569" t="e">
        <f>D9/F9</f>
        <v>#DIV/0!</v>
      </c>
      <c r="AB9" s="1569" t="e">
        <f>D9/H9</f>
        <v>#DIV/0!</v>
      </c>
      <c r="AC9" s="1569" t="e">
        <f>D9/J9</f>
        <v>#DIV/0!</v>
      </c>
    </row>
    <row r="10" spans="1:29" s="1218" customFormat="1" ht="15.75" thickBot="1">
      <c r="A10" s="2934"/>
      <c r="B10" s="2941"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12" t="s">
        <v>498</v>
      </c>
      <c r="Q10" s="3413"/>
      <c r="R10" s="1566" t="s">
        <v>8</v>
      </c>
      <c r="S10" s="1567">
        <f t="shared" si="0"/>
        <v>0</v>
      </c>
      <c r="T10" s="1566" t="s">
        <v>8</v>
      </c>
      <c r="U10" s="1567">
        <f t="shared" si="1"/>
        <v>0</v>
      </c>
      <c r="V10" s="1566" t="s">
        <v>8</v>
      </c>
      <c r="W10" s="1567">
        <f t="shared" si="2"/>
        <v>0</v>
      </c>
      <c r="X10" s="1568"/>
      <c r="Y10" s="3412" t="s">
        <v>498</v>
      </c>
      <c r="Z10" s="3413"/>
      <c r="AA10" s="1569" t="e">
        <f t="shared" ref="AA10:AA42" si="3">D10/F10</f>
        <v>#DIV/0!</v>
      </c>
      <c r="AB10" s="1569" t="e">
        <f t="shared" ref="AB10:AB42" si="4">D10/H10</f>
        <v>#DIV/0!</v>
      </c>
      <c r="AC10" s="1569" t="e">
        <f t="shared" ref="AC10:AC42" si="5">D10/J10</f>
        <v>#DIV/0!</v>
      </c>
    </row>
    <row r="11" spans="1:29" s="1218" customFormat="1" ht="15">
      <c r="A11" s="2935"/>
      <c r="B11" s="2942" t="s">
        <v>2718</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20" t="s">
        <v>500</v>
      </c>
      <c r="Q11" s="1149" t="str">
        <f t="shared" ref="Q11:Q17" si="6">B11</f>
        <v>用途</v>
      </c>
      <c r="R11" s="1566" t="s">
        <v>8</v>
      </c>
      <c r="S11" s="1567">
        <f t="shared" si="0"/>
        <v>100</v>
      </c>
      <c r="T11" s="1566" t="s">
        <v>8</v>
      </c>
      <c r="U11" s="1567">
        <f t="shared" si="1"/>
        <v>100</v>
      </c>
      <c r="V11" s="1566" t="s">
        <v>8</v>
      </c>
      <c r="W11" s="1567">
        <f t="shared" si="2"/>
        <v>100</v>
      </c>
      <c r="X11" s="1568"/>
      <c r="Y11" s="3377" t="s">
        <v>501</v>
      </c>
      <c r="Z11" s="1148" t="str">
        <f t="shared" ref="Z11:Z17" si="7">Q11</f>
        <v>用途</v>
      </c>
      <c r="AA11" s="1569">
        <f t="shared" si="3"/>
        <v>1</v>
      </c>
      <c r="AB11" s="1569">
        <f t="shared" si="4"/>
        <v>1</v>
      </c>
      <c r="AC11" s="1569">
        <f t="shared" si="5"/>
        <v>1</v>
      </c>
    </row>
    <row r="12" spans="1:29" s="1336" customFormat="1" ht="27">
      <c r="A12" s="2936"/>
      <c r="B12" s="2941" t="s">
        <v>2719</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420"/>
      <c r="Q12" s="1149" t="str">
        <f t="shared" si="6"/>
        <v>土地使用年限（年）</v>
      </c>
      <c r="R12" s="1566" t="s">
        <v>8</v>
      </c>
      <c r="S12" s="1567">
        <f t="shared" si="0"/>
        <v>100</v>
      </c>
      <c r="T12" s="1566" t="s">
        <v>8</v>
      </c>
      <c r="U12" s="1567">
        <f t="shared" si="1"/>
        <v>100</v>
      </c>
      <c r="V12" s="1566" t="s">
        <v>8</v>
      </c>
      <c r="W12" s="1567">
        <f t="shared" si="2"/>
        <v>100</v>
      </c>
      <c r="X12" s="1568"/>
      <c r="Y12" s="3377"/>
      <c r="Z12" s="1148" t="str">
        <f t="shared" si="7"/>
        <v>土地使用年限（年）</v>
      </c>
      <c r="AA12" s="1569">
        <f t="shared" si="3"/>
        <v>1</v>
      </c>
      <c r="AB12" s="1569">
        <f t="shared" si="4"/>
        <v>1</v>
      </c>
      <c r="AC12" s="1569">
        <f t="shared" si="5"/>
        <v>1</v>
      </c>
    </row>
    <row r="13" spans="1:29" ht="15">
      <c r="A13" s="2937"/>
      <c r="B13" s="2941" t="s">
        <v>2720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420"/>
      <c r="Q13" s="1149" t="str">
        <f t="shared" si="6"/>
        <v>容积率</v>
      </c>
      <c r="R13" s="1566" t="s">
        <v>8</v>
      </c>
      <c r="S13" s="1567" t="e">
        <f t="shared" si="0"/>
        <v>#N/A</v>
      </c>
      <c r="T13" s="1566" t="s">
        <v>8</v>
      </c>
      <c r="U13" s="1567" t="e">
        <f t="shared" si="1"/>
        <v>#N/A</v>
      </c>
      <c r="V13" s="1566" t="s">
        <v>8</v>
      </c>
      <c r="W13" s="1567" t="e">
        <f t="shared" si="2"/>
        <v>#N/A</v>
      </c>
      <c r="X13" s="1568"/>
      <c r="Y13" s="3377"/>
      <c r="Z13" s="1148" t="str">
        <f t="shared" si="7"/>
        <v>容积率</v>
      </c>
      <c r="AA13" s="1569" t="e">
        <f t="shared" si="3"/>
        <v>#N/A</v>
      </c>
      <c r="AB13" s="1569" t="e">
        <f t="shared" si="4"/>
        <v>#N/A</v>
      </c>
      <c r="AC13" s="1569" t="e">
        <f t="shared" si="5"/>
        <v>#N/A</v>
      </c>
    </row>
    <row r="14" spans="1:29" s="1218" customFormat="1" ht="15">
      <c r="A14" s="2938"/>
      <c r="B14" s="2944">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420"/>
      <c r="Q14" s="1149">
        <f t="shared" si="6"/>
        <v>111</v>
      </c>
      <c r="R14" s="1566" t="s">
        <v>8</v>
      </c>
      <c r="S14" s="1567">
        <f t="shared" si="0"/>
        <v>100</v>
      </c>
      <c r="T14" s="1566" t="s">
        <v>8</v>
      </c>
      <c r="U14" s="1567">
        <f t="shared" si="1"/>
        <v>100</v>
      </c>
      <c r="V14" s="1566" t="s">
        <v>8</v>
      </c>
      <c r="W14" s="1567">
        <f t="shared" si="2"/>
        <v>100</v>
      </c>
      <c r="X14" s="1568"/>
      <c r="Y14" s="3377"/>
      <c r="Z14" s="1148">
        <f t="shared" si="7"/>
        <v>111</v>
      </c>
      <c r="AA14" s="1569">
        <f>D14/F14</f>
        <v>1</v>
      </c>
      <c r="AB14" s="1569">
        <f>D14/H14</f>
        <v>1</v>
      </c>
      <c r="AC14" s="1569">
        <f>D14/J14</f>
        <v>1</v>
      </c>
    </row>
    <row r="15" spans="1:29" ht="15">
      <c r="A15" s="2938"/>
      <c r="B15" s="2944">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420"/>
      <c r="Q15" s="1149">
        <f t="shared" si="6"/>
        <v>111</v>
      </c>
      <c r="R15" s="1566" t="s">
        <v>8</v>
      </c>
      <c r="S15" s="1567">
        <f t="shared" si="0"/>
        <v>100</v>
      </c>
      <c r="T15" s="1566" t="s">
        <v>8</v>
      </c>
      <c r="U15" s="1567">
        <f t="shared" si="1"/>
        <v>100</v>
      </c>
      <c r="V15" s="1566" t="s">
        <v>8</v>
      </c>
      <c r="W15" s="1567">
        <f t="shared" si="2"/>
        <v>100</v>
      </c>
      <c r="X15" s="1568"/>
      <c r="Y15" s="3377"/>
      <c r="Z15" s="1148">
        <f t="shared" si="7"/>
        <v>111</v>
      </c>
      <c r="AA15" s="1569">
        <f t="shared" si="3"/>
        <v>1</v>
      </c>
      <c r="AB15" s="1569">
        <f t="shared" si="4"/>
        <v>1</v>
      </c>
      <c r="AC15" s="1569">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20"/>
      <c r="Q16" s="1149">
        <f t="shared" si="6"/>
        <v>111</v>
      </c>
      <c r="R16" s="1566" t="s">
        <v>8</v>
      </c>
      <c r="S16" s="1567">
        <f t="shared" si="0"/>
        <v>100</v>
      </c>
      <c r="T16" s="1566" t="s">
        <v>8</v>
      </c>
      <c r="U16" s="1567">
        <f t="shared" si="1"/>
        <v>100</v>
      </c>
      <c r="V16" s="1566" t="s">
        <v>8</v>
      </c>
      <c r="W16" s="1567">
        <f t="shared" si="2"/>
        <v>100</v>
      </c>
      <c r="X16" s="1568"/>
      <c r="Y16" s="3377"/>
      <c r="Z16" s="1148">
        <f t="shared" si="7"/>
        <v>111</v>
      </c>
      <c r="AA16" s="1569">
        <f t="shared" si="3"/>
        <v>1</v>
      </c>
      <c r="AB16" s="1569">
        <f t="shared" si="4"/>
        <v>1</v>
      </c>
      <c r="AC16" s="1569">
        <f t="shared" si="5"/>
        <v>1</v>
      </c>
    </row>
    <row r="17" spans="1:29" ht="15">
      <c r="A17" s="2931" t="s">
        <v>2716</v>
      </c>
      <c r="B17" s="165"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22" t="s">
        <v>505</v>
      </c>
      <c r="Q17" s="1570" t="str">
        <f t="shared" si="6"/>
        <v>产业集聚程度</v>
      </c>
      <c r="R17" s="1571" t="s">
        <v>8</v>
      </c>
      <c r="S17" s="1572">
        <f t="shared" si="0"/>
        <v>100</v>
      </c>
      <c r="T17" s="1571" t="s">
        <v>8</v>
      </c>
      <c r="U17" s="1572">
        <f t="shared" si="1"/>
        <v>100</v>
      </c>
      <c r="V17" s="1571" t="s">
        <v>8</v>
      </c>
      <c r="W17" s="1572">
        <f t="shared" si="2"/>
        <v>100</v>
      </c>
      <c r="X17" s="1565"/>
      <c r="Y17" s="3422" t="s">
        <v>505</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23"/>
      <c r="Q18" s="1570"/>
      <c r="R18" s="1571"/>
      <c r="S18" s="1572"/>
      <c r="T18" s="1571"/>
      <c r="U18" s="1572"/>
      <c r="V18" s="1571"/>
      <c r="W18" s="1572"/>
      <c r="X18" s="1565"/>
      <c r="Y18" s="3423"/>
      <c r="Z18" s="1573"/>
      <c r="AA18" s="1574">
        <v>1</v>
      </c>
      <c r="AB18" s="1574">
        <v>1</v>
      </c>
      <c r="AC18" s="1574">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23"/>
      <c r="Q19" s="1570" t="str">
        <f>B19</f>
        <v>交通便捷度</v>
      </c>
      <c r="R19" s="1571" t="s">
        <v>8</v>
      </c>
      <c r="S19" s="1572">
        <f>F19</f>
        <v>100</v>
      </c>
      <c r="T19" s="1571" t="s">
        <v>8</v>
      </c>
      <c r="U19" s="1572">
        <f>H19</f>
        <v>100</v>
      </c>
      <c r="V19" s="1571" t="s">
        <v>8</v>
      </c>
      <c r="W19" s="1572">
        <f>J19</f>
        <v>100</v>
      </c>
      <c r="X19" s="1565"/>
      <c r="Y19" s="3423"/>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23"/>
      <c r="Q20" s="1570"/>
      <c r="R20" s="1571"/>
      <c r="S20" s="1572"/>
      <c r="T20" s="1571"/>
      <c r="U20" s="1572"/>
      <c r="V20" s="1571"/>
      <c r="W20" s="1572"/>
      <c r="X20" s="1565"/>
      <c r="Y20" s="3423"/>
      <c r="Z20" s="1573"/>
      <c r="AA20" s="1574">
        <v>1</v>
      </c>
      <c r="AB20" s="1574">
        <v>1</v>
      </c>
      <c r="AC20" s="1574">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23"/>
      <c r="Q21" s="1570" t="str">
        <f t="shared" ref="Q21:Q35" si="8">B21</f>
        <v>区域土地利用方向</v>
      </c>
      <c r="R21" s="1571" t="s">
        <v>8</v>
      </c>
      <c r="S21" s="1572">
        <f>F21</f>
        <v>100</v>
      </c>
      <c r="T21" s="1571" t="s">
        <v>8</v>
      </c>
      <c r="U21" s="1572">
        <f>H21</f>
        <v>100</v>
      </c>
      <c r="V21" s="1571" t="s">
        <v>8</v>
      </c>
      <c r="W21" s="1572">
        <f>J21</f>
        <v>100</v>
      </c>
      <c r="X21" s="1565"/>
      <c r="Y21" s="3423"/>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23"/>
      <c r="Q22" s="1570"/>
      <c r="R22" s="1571"/>
      <c r="S22" s="1572"/>
      <c r="T22" s="1571"/>
      <c r="U22" s="1572"/>
      <c r="V22" s="1571"/>
      <c r="W22" s="1572"/>
      <c r="X22" s="1565"/>
      <c r="Y22" s="3423"/>
      <c r="Z22" s="1573"/>
      <c r="AA22" s="1574"/>
      <c r="AB22" s="1574"/>
      <c r="AC22" s="1574"/>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23"/>
      <c r="Q23" s="1570" t="str">
        <f t="shared" si="8"/>
        <v>环境状况</v>
      </c>
      <c r="R23" s="1571" t="s">
        <v>8</v>
      </c>
      <c r="S23" s="1572">
        <f>F23</f>
        <v>100</v>
      </c>
      <c r="T23" s="1571" t="s">
        <v>8</v>
      </c>
      <c r="U23" s="1572">
        <f>H23</f>
        <v>100</v>
      </c>
      <c r="V23" s="1571" t="s">
        <v>8</v>
      </c>
      <c r="W23" s="1572">
        <f>J23</f>
        <v>100</v>
      </c>
      <c r="X23" s="1565"/>
      <c r="Y23" s="3423"/>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23"/>
      <c r="Q24" s="1570"/>
      <c r="R24" s="1571"/>
      <c r="S24" s="1572"/>
      <c r="T24" s="1571"/>
      <c r="U24" s="1572"/>
      <c r="V24" s="1571"/>
      <c r="W24" s="1572"/>
      <c r="X24" s="1565"/>
      <c r="Y24" s="3423"/>
      <c r="Z24" s="1573"/>
      <c r="AA24" s="1574">
        <v>1</v>
      </c>
      <c r="AB24" s="1574">
        <v>1</v>
      </c>
      <c r="AC24" s="1574">
        <v>1</v>
      </c>
    </row>
    <row r="25" spans="1:29" s="1218" customFormat="1" ht="15">
      <c r="A25" s="575"/>
      <c r="B25" s="2614" t="s">
        <v>2511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23"/>
      <c r="Q25" s="1149" t="str">
        <f t="shared" si="8"/>
        <v>公共配套设施</v>
      </c>
      <c r="R25" s="1566" t="s">
        <v>8</v>
      </c>
      <c r="S25" s="1567">
        <f>F25</f>
        <v>100</v>
      </c>
      <c r="T25" s="1566" t="s">
        <v>8</v>
      </c>
      <c r="U25" s="1567">
        <f>H25</f>
        <v>100</v>
      </c>
      <c r="V25" s="1566" t="s">
        <v>8</v>
      </c>
      <c r="W25" s="1567">
        <f>J25</f>
        <v>100</v>
      </c>
      <c r="X25" s="1568"/>
      <c r="Y25" s="3423"/>
      <c r="Z25" s="1148" t="str">
        <f>Q25</f>
        <v>公共配套设施</v>
      </c>
      <c r="AA25" s="1574">
        <f>D25/F25</f>
        <v>1</v>
      </c>
      <c r="AB25" s="1574">
        <f>D25/H25</f>
        <v>1</v>
      </c>
      <c r="AC25" s="1574">
        <f>D25/J25</f>
        <v>1</v>
      </c>
    </row>
    <row r="26" spans="1:29" s="1218" customFormat="1" ht="15">
      <c r="A26" s="575"/>
      <c r="B26" s="593"/>
      <c r="C26" s="2613"/>
      <c r="D26" s="553"/>
      <c r="E26" s="552"/>
      <c r="F26" s="553"/>
      <c r="G26" s="552"/>
      <c r="H26" s="553"/>
      <c r="I26" s="574"/>
      <c r="J26" s="553"/>
      <c r="K26" s="529"/>
      <c r="L26" s="2132"/>
      <c r="M26" s="2133"/>
      <c r="N26" s="2133"/>
      <c r="O26" s="2134"/>
      <c r="P26" s="3423"/>
      <c r="Q26" s="1149"/>
      <c r="R26" s="1566"/>
      <c r="S26" s="1567"/>
      <c r="T26" s="1566"/>
      <c r="U26" s="1567"/>
      <c r="V26" s="1566"/>
      <c r="W26" s="1567"/>
      <c r="X26" s="1568"/>
      <c r="Y26" s="3423"/>
      <c r="Z26" s="1148"/>
      <c r="AA26" s="1569">
        <v>1</v>
      </c>
      <c r="AB26" s="1569">
        <v>1</v>
      </c>
      <c r="AC26" s="1569">
        <v>1</v>
      </c>
    </row>
    <row r="27" spans="1:29" s="1218" customFormat="1" ht="15">
      <c r="A27" s="575"/>
      <c r="B27" s="2614" t="s">
        <v>2512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23"/>
      <c r="Q27" s="2599" t="str">
        <f t="shared" ref="Q27" si="9">B27</f>
        <v>基础设施水平</v>
      </c>
      <c r="R27" s="1566" t="s">
        <v>8</v>
      </c>
      <c r="S27" s="1567">
        <f>F27</f>
        <v>100</v>
      </c>
      <c r="T27" s="1566" t="s">
        <v>8</v>
      </c>
      <c r="U27" s="1567">
        <f>H27</f>
        <v>100</v>
      </c>
      <c r="V27" s="1566" t="s">
        <v>8</v>
      </c>
      <c r="W27" s="1567">
        <f>J27</f>
        <v>100</v>
      </c>
      <c r="X27" s="1568"/>
      <c r="Y27" s="3423"/>
      <c r="Z27" s="2596" t="str">
        <f>Q27</f>
        <v>基础设施水平</v>
      </c>
      <c r="AA27" s="1574">
        <f>D27/F27</f>
        <v>1</v>
      </c>
      <c r="AB27" s="1574">
        <f>D27/H27</f>
        <v>1</v>
      </c>
      <c r="AC27" s="1574">
        <f>D27/J27</f>
        <v>1</v>
      </c>
    </row>
    <row r="28" spans="1:29" s="1218" customFormat="1" ht="15">
      <c r="A28" s="575"/>
      <c r="B28" s="593"/>
      <c r="C28" s="2613"/>
      <c r="D28" s="553"/>
      <c r="E28" s="577"/>
      <c r="F28" s="553"/>
      <c r="G28" s="577"/>
      <c r="H28" s="553"/>
      <c r="I28" s="577"/>
      <c r="J28" s="553"/>
      <c r="K28" s="529"/>
      <c r="L28" s="2132"/>
      <c r="M28" s="2133"/>
      <c r="N28" s="2133"/>
      <c r="O28" s="2134"/>
      <c r="P28" s="3423"/>
      <c r="Q28" s="2599"/>
      <c r="R28" s="1566"/>
      <c r="S28" s="1567"/>
      <c r="T28" s="1566"/>
      <c r="U28" s="1567"/>
      <c r="V28" s="1566"/>
      <c r="W28" s="1567"/>
      <c r="X28" s="1568"/>
      <c r="Y28" s="3423"/>
      <c r="Z28" s="2596"/>
      <c r="AA28" s="1569">
        <v>1</v>
      </c>
      <c r="AB28" s="1569">
        <v>1</v>
      </c>
      <c r="AC28" s="1569">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2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23"/>
      <c r="Z29" s="1573" t="str">
        <f t="shared" ref="Z29:Z42" si="13">Q29</f>
        <v>临街状况</v>
      </c>
      <c r="AA29" s="1574">
        <f t="shared" si="3"/>
        <v>1</v>
      </c>
      <c r="AB29" s="1574">
        <f t="shared" si="4"/>
        <v>1</v>
      </c>
      <c r="AC29" s="1574">
        <f t="shared" si="5"/>
        <v>1</v>
      </c>
    </row>
    <row r="30" spans="1:29" ht="27">
      <c r="A30" s="530"/>
      <c r="B30" s="920" t="s">
        <v>513</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23"/>
      <c r="Q30" s="1570" t="str">
        <f t="shared" si="8"/>
        <v>毗邻道路的类型与等级</v>
      </c>
      <c r="R30" s="1571" t="s">
        <v>8</v>
      </c>
      <c r="S30" s="1572">
        <f t="shared" si="10"/>
        <v>100</v>
      </c>
      <c r="T30" s="1571" t="s">
        <v>8</v>
      </c>
      <c r="U30" s="1572">
        <f t="shared" si="11"/>
        <v>100</v>
      </c>
      <c r="V30" s="1571" t="s">
        <v>8</v>
      </c>
      <c r="W30" s="1572">
        <f t="shared" si="12"/>
        <v>100</v>
      </c>
      <c r="X30" s="1565"/>
      <c r="Y30" s="3423"/>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423"/>
      <c r="Q31" s="1570"/>
      <c r="R31" s="1571"/>
      <c r="S31" s="1572"/>
      <c r="T31" s="1571"/>
      <c r="U31" s="1572"/>
      <c r="V31" s="1571"/>
      <c r="W31" s="1572"/>
      <c r="X31" s="1565"/>
      <c r="Y31" s="3423"/>
      <c r="Z31" s="1573"/>
      <c r="AA31" s="1574">
        <v>1</v>
      </c>
      <c r="AB31" s="1574">
        <v>1</v>
      </c>
      <c r="AC31" s="1574">
        <v>1</v>
      </c>
    </row>
    <row r="32" spans="1:29" ht="15">
      <c r="A32" s="530"/>
      <c r="B32" s="525" t="s">
        <v>514</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23"/>
      <c r="Q32" s="1570" t="str">
        <f t="shared" si="8"/>
        <v>土地级别</v>
      </c>
      <c r="R32" s="1571" t="s">
        <v>8</v>
      </c>
      <c r="S32" s="1572">
        <f t="shared" si="10"/>
        <v>100</v>
      </c>
      <c r="T32" s="1571" t="s">
        <v>8</v>
      </c>
      <c r="U32" s="1572">
        <f t="shared" si="11"/>
        <v>100</v>
      </c>
      <c r="V32" s="1571" t="s">
        <v>8</v>
      </c>
      <c r="W32" s="1572">
        <f t="shared" si="12"/>
        <v>100</v>
      </c>
      <c r="X32" s="1565"/>
      <c r="Y32" s="3423"/>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23"/>
      <c r="Q33" s="1570">
        <f t="shared" si="8"/>
        <v>111</v>
      </c>
      <c r="R33" s="1571" t="s">
        <v>8</v>
      </c>
      <c r="S33" s="1572">
        <f t="shared" si="10"/>
        <v>100</v>
      </c>
      <c r="T33" s="1571" t="s">
        <v>8</v>
      </c>
      <c r="U33" s="1572">
        <f t="shared" si="11"/>
        <v>100</v>
      </c>
      <c r="V33" s="1571" t="s">
        <v>8</v>
      </c>
      <c r="W33" s="1572">
        <f t="shared" si="12"/>
        <v>100</v>
      </c>
      <c r="X33" s="1565"/>
      <c r="Y33" s="3423"/>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24" t="s">
        <v>515</v>
      </c>
      <c r="Q34" s="1570">
        <f t="shared" si="8"/>
        <v>111</v>
      </c>
      <c r="R34" s="1571" t="s">
        <v>8</v>
      </c>
      <c r="S34" s="1572">
        <f t="shared" si="10"/>
        <v>100</v>
      </c>
      <c r="T34" s="1571" t="s">
        <v>8</v>
      </c>
      <c r="U34" s="1572">
        <f t="shared" si="11"/>
        <v>100</v>
      </c>
      <c r="V34" s="1571" t="s">
        <v>8</v>
      </c>
      <c r="W34" s="1572">
        <f t="shared" si="12"/>
        <v>100</v>
      </c>
      <c r="X34" s="1565"/>
      <c r="Y34" s="3425" t="s">
        <v>515</v>
      </c>
      <c r="Z34" s="1573">
        <f t="shared" si="13"/>
        <v>111</v>
      </c>
      <c r="AA34" s="1574">
        <f t="shared" si="3"/>
        <v>1</v>
      </c>
      <c r="AB34" s="1574">
        <f t="shared" si="4"/>
        <v>1</v>
      </c>
      <c r="AC34" s="1574">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25"/>
      <c r="Q35" s="1570">
        <f t="shared" si="8"/>
        <v>111</v>
      </c>
      <c r="R35" s="1575" t="s">
        <v>8</v>
      </c>
      <c r="S35" s="1576">
        <f t="shared" si="10"/>
        <v>100</v>
      </c>
      <c r="T35" s="1575" t="s">
        <v>8</v>
      </c>
      <c r="U35" s="1576">
        <f t="shared" si="11"/>
        <v>100</v>
      </c>
      <c r="V35" s="1575" t="s">
        <v>8</v>
      </c>
      <c r="W35" s="1576">
        <f t="shared" si="12"/>
        <v>100</v>
      </c>
      <c r="X35" s="1577"/>
      <c r="Y35" s="3425"/>
      <c r="Z35" s="1578">
        <f t="shared" si="13"/>
        <v>111</v>
      </c>
      <c r="AA35" s="1574">
        <f t="shared" si="3"/>
        <v>1</v>
      </c>
      <c r="AB35" s="1574">
        <f t="shared" si="4"/>
        <v>1</v>
      </c>
      <c r="AC35" s="1574">
        <f t="shared" si="5"/>
        <v>1</v>
      </c>
    </row>
    <row r="36" spans="1:29" ht="15">
      <c r="A36" s="2928" t="s">
        <v>2717</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25"/>
      <c r="Q36" s="1570" t="str">
        <f>B36</f>
        <v>宗地面积</v>
      </c>
      <c r="R36" s="1571" t="s">
        <v>8</v>
      </c>
      <c r="S36" s="1572" t="e">
        <f t="shared" si="10"/>
        <v>#N/A</v>
      </c>
      <c r="T36" s="1571" t="s">
        <v>8</v>
      </c>
      <c r="U36" s="1572" t="e">
        <f t="shared" si="11"/>
        <v>#N/A</v>
      </c>
      <c r="V36" s="1571" t="s">
        <v>8</v>
      </c>
      <c r="W36" s="1572" t="e">
        <f t="shared" si="12"/>
        <v>#N/A</v>
      </c>
      <c r="X36" s="1565"/>
      <c r="Y36" s="3425"/>
      <c r="Z36" s="1573" t="str">
        <f t="shared" si="13"/>
        <v>宗地面积</v>
      </c>
      <c r="AA36" s="1574" t="e">
        <f t="shared" si="3"/>
        <v>#N/A</v>
      </c>
      <c r="AB36" s="1574" t="e">
        <f t="shared" si="4"/>
        <v>#N/A</v>
      </c>
      <c r="AC36" s="1574"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25"/>
      <c r="Q37" s="1570" t="str">
        <f t="shared" ref="Q37:Q42" si="14">B37</f>
        <v>宗地形状</v>
      </c>
      <c r="R37" s="1571" t="s">
        <v>8</v>
      </c>
      <c r="S37" s="1572">
        <f t="shared" si="10"/>
        <v>100</v>
      </c>
      <c r="T37" s="1571" t="s">
        <v>8</v>
      </c>
      <c r="U37" s="1572">
        <f t="shared" si="11"/>
        <v>100</v>
      </c>
      <c r="V37" s="1571" t="s">
        <v>8</v>
      </c>
      <c r="W37" s="1572">
        <f t="shared" si="12"/>
        <v>100</v>
      </c>
      <c r="X37" s="1565"/>
      <c r="Y37" s="3425"/>
      <c r="Z37" s="1573" t="str">
        <f t="shared" si="13"/>
        <v>宗地形状</v>
      </c>
      <c r="AA37" s="1574">
        <f t="shared" si="3"/>
        <v>1</v>
      </c>
      <c r="AB37" s="1574">
        <f t="shared" si="4"/>
        <v>1</v>
      </c>
      <c r="AC37" s="1574">
        <f t="shared" si="5"/>
        <v>1</v>
      </c>
    </row>
    <row r="38" spans="1:29" s="1218" customFormat="1" ht="15">
      <c r="A38" s="598"/>
      <c r="B38" s="1892" t="s">
        <v>2387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25"/>
      <c r="Q38" s="1570" t="str">
        <f t="shared" si="14"/>
        <v>宗地开发程度</v>
      </c>
      <c r="R38" s="1566" t="s">
        <v>8</v>
      </c>
      <c r="S38" s="1567">
        <f t="shared" si="10"/>
        <v>100</v>
      </c>
      <c r="T38" s="1566" t="s">
        <v>8</v>
      </c>
      <c r="U38" s="1567">
        <f t="shared" si="11"/>
        <v>100</v>
      </c>
      <c r="V38" s="1566" t="s">
        <v>8</v>
      </c>
      <c r="W38" s="1567">
        <f t="shared" si="12"/>
        <v>100</v>
      </c>
      <c r="X38" s="1568"/>
      <c r="Y38" s="3425"/>
      <c r="Z38" s="1148" t="str">
        <f t="shared" si="13"/>
        <v>宗地开发程度</v>
      </c>
      <c r="AA38" s="1569">
        <f t="shared" si="3"/>
        <v>1</v>
      </c>
      <c r="AB38" s="1569">
        <f t="shared" si="4"/>
        <v>1</v>
      </c>
      <c r="AC38" s="1569">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5" t="s">
        <v>566</v>
      </c>
      <c r="Q39" s="1570" t="str">
        <f t="shared" si="14"/>
        <v>工程地质条件</v>
      </c>
      <c r="R39" s="1571" t="s">
        <v>8</v>
      </c>
      <c r="S39" s="1572">
        <f t="shared" si="10"/>
        <v>100</v>
      </c>
      <c r="T39" s="1571" t="s">
        <v>8</v>
      </c>
      <c r="U39" s="1572">
        <f t="shared" si="11"/>
        <v>100</v>
      </c>
      <c r="V39" s="1571" t="s">
        <v>8</v>
      </c>
      <c r="W39" s="1572">
        <f t="shared" si="12"/>
        <v>100</v>
      </c>
      <c r="X39" s="1565"/>
      <c r="Y39" s="3425" t="s">
        <v>566</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25"/>
      <c r="Q40" s="1570">
        <f t="shared" si="14"/>
        <v>111</v>
      </c>
      <c r="R40" s="1571" t="s">
        <v>8</v>
      </c>
      <c r="S40" s="1572">
        <f t="shared" si="10"/>
        <v>100</v>
      </c>
      <c r="T40" s="1571" t="s">
        <v>8</v>
      </c>
      <c r="U40" s="1572">
        <f t="shared" si="11"/>
        <v>100</v>
      </c>
      <c r="V40" s="1571" t="s">
        <v>8</v>
      </c>
      <c r="W40" s="1572">
        <f t="shared" si="12"/>
        <v>100</v>
      </c>
      <c r="X40" s="1565"/>
      <c r="Y40" s="3425"/>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25"/>
      <c r="Q41" s="1570">
        <f t="shared" si="14"/>
        <v>111</v>
      </c>
      <c r="R41" s="1571" t="s">
        <v>8</v>
      </c>
      <c r="S41" s="1572">
        <f t="shared" si="10"/>
        <v>100</v>
      </c>
      <c r="T41" s="1571" t="s">
        <v>8</v>
      </c>
      <c r="U41" s="1572">
        <f t="shared" si="11"/>
        <v>100</v>
      </c>
      <c r="V41" s="1571" t="s">
        <v>8</v>
      </c>
      <c r="W41" s="1572">
        <f t="shared" si="12"/>
        <v>100</v>
      </c>
      <c r="X41" s="1565"/>
      <c r="Y41" s="3425"/>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25"/>
      <c r="Q42" s="1570">
        <f t="shared" si="14"/>
        <v>111</v>
      </c>
      <c r="R42" s="1575" t="s">
        <v>8</v>
      </c>
      <c r="S42" s="1576">
        <f t="shared" si="10"/>
        <v>100</v>
      </c>
      <c r="T42" s="1575" t="s">
        <v>8</v>
      </c>
      <c r="U42" s="1576">
        <f t="shared" si="11"/>
        <v>100</v>
      </c>
      <c r="V42" s="1575" t="s">
        <v>8</v>
      </c>
      <c r="W42" s="1576">
        <f t="shared" si="12"/>
        <v>100</v>
      </c>
      <c r="X42" s="1577"/>
      <c r="Y42" s="3425"/>
      <c r="Z42" s="1578">
        <f t="shared" si="13"/>
        <v>111</v>
      </c>
      <c r="AA42" s="1574">
        <f t="shared" si="3"/>
        <v>1</v>
      </c>
      <c r="AB42" s="1574">
        <f t="shared" si="4"/>
        <v>1</v>
      </c>
      <c r="AC42" s="1574">
        <f t="shared" si="5"/>
        <v>1</v>
      </c>
    </row>
    <row r="43" spans="1:29" ht="15">
      <c r="A43" s="605" t="s">
        <v>521</v>
      </c>
      <c r="B43" s="606" t="s">
        <v>2886</v>
      </c>
      <c r="C43" s="607" t="s">
        <v>1</v>
      </c>
      <c r="D43" s="608"/>
      <c r="E43" s="609"/>
      <c r="F43" s="610"/>
      <c r="G43" s="611"/>
      <c r="H43" s="612"/>
      <c r="I43" s="609"/>
      <c r="J43" s="612"/>
      <c r="K43" s="1338"/>
      <c r="L43" s="2141"/>
      <c r="M43" s="2131"/>
      <c r="N43" s="2131"/>
      <c r="O43" s="2142"/>
      <c r="P43" s="3420" t="str">
        <f>A43</f>
        <v>成交单价</v>
      </c>
      <c r="Q43" s="3420"/>
      <c r="R43" s="3434">
        <f>E43</f>
        <v>0</v>
      </c>
      <c r="S43" s="3434"/>
      <c r="T43" s="3434">
        <f>G43</f>
        <v>0</v>
      </c>
      <c r="U43" s="3434"/>
      <c r="V43" s="3434">
        <f>I43</f>
        <v>0</v>
      </c>
      <c r="W43" s="3434"/>
      <c r="X43" s="1557"/>
      <c r="Y43" s="1579"/>
      <c r="Z43" s="1557"/>
      <c r="AA43" s="1557"/>
      <c r="AB43" s="1557"/>
      <c r="AC43" s="1557"/>
    </row>
    <row r="44" spans="1:29" ht="15.75" thickBot="1">
      <c r="A44" s="613" t="s">
        <v>2655</v>
      </c>
      <c r="B44" s="614"/>
      <c r="C44" s="615" t="e">
        <f>R45</f>
        <v>#DIV/0!</v>
      </c>
      <c r="D44" s="616"/>
      <c r="E44" s="615" t="e">
        <f>R44</f>
        <v>#DIV/0!</v>
      </c>
      <c r="F44" s="617"/>
      <c r="G44" s="618" t="e">
        <f>T44</f>
        <v>#DIV/0!</v>
      </c>
      <c r="H44" s="616"/>
      <c r="I44" s="615" t="e">
        <f>V44</f>
        <v>#DIV/0!</v>
      </c>
      <c r="J44" s="616"/>
      <c r="K44" s="1339"/>
      <c r="L44" s="2141"/>
      <c r="M44" s="2131"/>
      <c r="N44" s="2131"/>
      <c r="O44" s="2142"/>
      <c r="P44" s="3420" t="str">
        <f>A44</f>
        <v>比较价格（元/平方米）</v>
      </c>
      <c r="Q44" s="3420"/>
      <c r="R44" s="3445" t="e">
        <f>ROUND(PRODUCT(R43,AA9:AA42),0)</f>
        <v>#DIV/0!</v>
      </c>
      <c r="S44" s="3445"/>
      <c r="T44" s="3445" t="e">
        <f>ROUND(PRODUCT(T43,AB9:AB42),0)</f>
        <v>#DIV/0!</v>
      </c>
      <c r="U44" s="3445"/>
      <c r="V44" s="3445" t="e">
        <f>ROUND(PRODUCT(V43,AC9:AC42),0)</f>
        <v>#DIV/0!</v>
      </c>
      <c r="W44" s="3445"/>
      <c r="X44" s="1557"/>
      <c r="Y44" s="1557"/>
      <c r="Z44" s="1557"/>
      <c r="AA44" s="1557"/>
      <c r="AB44" s="1557"/>
      <c r="AC44" s="1557"/>
    </row>
    <row r="45" spans="1:29" ht="15.75" thickBot="1">
      <c r="A45" s="619" t="s">
        <v>2887</v>
      </c>
      <c r="B45" s="620"/>
      <c r="C45" s="621" t="e">
        <f>R45</f>
        <v>#DIV/0!</v>
      </c>
      <c r="D45" s="621"/>
      <c r="E45" s="621"/>
      <c r="F45" s="621"/>
      <c r="G45" s="621"/>
      <c r="H45" s="621"/>
      <c r="I45" s="621"/>
      <c r="J45" s="621"/>
      <c r="K45" s="1340"/>
      <c r="L45" s="2141"/>
      <c r="M45" s="2131"/>
      <c r="N45" s="2131"/>
      <c r="O45" s="2142"/>
      <c r="P45" s="3442" t="str">
        <f>A45</f>
        <v>估价对象XX用房的比较价格（楼面单价，元/平方米）</v>
      </c>
      <c r="Q45" s="3443"/>
      <c r="R45" s="3444" t="e">
        <f>ROUND(AVERAGE(R44:V44),0)</f>
        <v>#DIV/0!</v>
      </c>
      <c r="S45" s="3444"/>
      <c r="T45" s="3444"/>
      <c r="U45" s="3444"/>
      <c r="V45" s="3444"/>
      <c r="W45" s="3444"/>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8" t="s">
        <v>1686</v>
      </c>
      <c r="D52" s="2224" t="s">
        <v>2256</v>
      </c>
      <c r="E52" s="629" t="s">
        <v>527</v>
      </c>
      <c r="F52" s="1948" t="s">
        <v>528</v>
      </c>
      <c r="G52" s="3446" t="s">
        <v>2247</v>
      </c>
      <c r="H52" s="3447"/>
      <c r="I52" s="1949" t="s">
        <v>1909</v>
      </c>
      <c r="J52" s="1553">
        <f>项目基本情况!F41</f>
        <v>0</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62049.45</v>
      </c>
      <c r="F53" s="1947" t="e">
        <f t="shared" ref="F53:F62" si="15">ROUND(B53*E53/10000,0)</f>
        <v>#DIV/0!</v>
      </c>
      <c r="G53" s="3448"/>
      <c r="H53" s="3449"/>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50" t="s">
        <v>2248</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50"/>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50"/>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50"/>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2290</v>
      </c>
      <c r="B58" s="636" t="e">
        <f t="shared" si="17"/>
        <v>#DIV/0!</v>
      </c>
      <c r="C58" s="376">
        <f t="shared" si="16"/>
        <v>0</v>
      </c>
      <c r="D58" s="2226">
        <v>0.25</v>
      </c>
      <c r="E58" s="639">
        <f>'数据-汇总表'!E11</f>
        <v>0</v>
      </c>
      <c r="F58" s="1947" t="e">
        <f t="shared" si="15"/>
        <v>#DIV/0!</v>
      </c>
      <c r="G58" s="1953" t="s">
        <v>2249</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33424.14</v>
      </c>
      <c r="F59" s="1947" t="e">
        <f t="shared" si="15"/>
        <v>#DIV/0!</v>
      </c>
      <c r="G59" s="1943" t="s">
        <v>1642</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0.15</v>
      </c>
      <c r="D60" s="2226">
        <v>0.25</v>
      </c>
      <c r="E60" s="639">
        <f>'数据-汇总表'!E13</f>
        <v>43743.43</v>
      </c>
      <c r="F60" s="1947" t="e">
        <f t="shared" si="15"/>
        <v>#DIV/0!</v>
      </c>
      <c r="G60" s="1943" t="s">
        <v>888</v>
      </c>
      <c r="H60" s="1951" t="str">
        <f>IF(G60="商业",项目基本情况!B43,IF(G60="办公",项目基本情况!C43,IF(G60="住宅",项目基本情况!D43,项目基本情况!E43)))</f>
        <v>九级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2248</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2249</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2257</v>
      </c>
      <c r="E63" s="641">
        <f>IF(B43="楼面地价",SUM(E53:E62),'数据-汇总表'!D3)</f>
        <v>55947.67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539</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9" t="s">
        <v>2496</v>
      </c>
      <c r="B67" s="644"/>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2611</v>
      </c>
      <c r="B68" s="477" t="str">
        <f>"北京市平均增长率"&amp;TEXT(基准地价!P24,"0.00%")</f>
        <v>北京市平均增长率1.35%</v>
      </c>
      <c r="C68" s="892">
        <v>100</v>
      </c>
      <c r="D68" s="728"/>
      <c r="E68" s="728"/>
      <c r="F68" s="728"/>
      <c r="G68" s="728"/>
      <c r="H68" s="728"/>
      <c r="I68" s="728"/>
      <c r="J68" s="728"/>
      <c r="K68" s="728"/>
      <c r="L68" s="728"/>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2511</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2513</v>
      </c>
      <c r="C95" s="2619" t="s">
        <v>2514</v>
      </c>
      <c r="D95" s="2619" t="s">
        <v>2515</v>
      </c>
      <c r="E95" s="2619" t="s">
        <v>2516</v>
      </c>
      <c r="F95" s="2619" t="s">
        <v>2517</v>
      </c>
      <c r="G95" s="2619" t="s">
        <v>2518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2388</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2389</v>
      </c>
      <c r="D1" s="1519">
        <f>SUM(D29:D30,D33:D39)</f>
        <v>0</v>
      </c>
      <c r="E1" s="1404" t="s">
        <v>2390</v>
      </c>
      <c r="F1" s="2473"/>
      <c r="G1" s="1399"/>
      <c r="H1" s="1399"/>
      <c r="I1" s="1399"/>
      <c r="J1" s="1399"/>
      <c r="K1" s="1399"/>
      <c r="L1" s="1879" t="s">
        <v>2201</v>
      </c>
      <c r="M1" s="1880">
        <f>SUMPRODUCT((区片价!B5:B9=I2)*(区片价!C3:F3=E2)*(区片价!C5:F9))</f>
        <v>0</v>
      </c>
      <c r="N1" s="1881">
        <f>SUMPRODUCT((因素修正幅度!B5:B9=I2)*(因素修正幅度!C3:F3=E2)*(因素修正幅度!C5:F9))</f>
        <v>0</v>
      </c>
      <c r="O1" s="2186"/>
      <c r="P1" s="2186"/>
      <c r="Q1" s="2186"/>
      <c r="R1" s="2957" t="s">
        <v>2724</v>
      </c>
      <c r="S1" s="2957" t="s">
        <v>2725</v>
      </c>
      <c r="T1" s="2957" t="s">
        <v>2746</v>
      </c>
      <c r="U1" s="2957" t="s">
        <v>2747</v>
      </c>
      <c r="V1" s="2957" t="s">
        <v>2748</v>
      </c>
      <c r="W1" s="2186"/>
      <c r="X1" s="2186"/>
      <c r="Y1" s="2186"/>
      <c r="Z1" s="2186"/>
      <c r="AA1" s="2186"/>
      <c r="AB1" s="2186"/>
      <c r="AC1" s="2187"/>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2" t="s">
        <v>2202</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9" t="s">
        <v>1649</v>
      </c>
      <c r="B3" s="1036" t="e">
        <f>ROUND(B2*10000/D1,0)</f>
        <v>#DIV/0!</v>
      </c>
      <c r="C3" s="1405" t="s">
        <v>892</v>
      </c>
      <c r="D3" s="1406" t="s">
        <v>893</v>
      </c>
      <c r="E3" s="1410"/>
      <c r="F3" s="1411" t="s">
        <v>2888</v>
      </c>
      <c r="G3" s="1037">
        <f>IF(F3="宗地容积率",'数据-汇总表'!I4,IF(F3="估价对象容积率",'数据-汇总表'!I6,'数据-汇总表'!I7))</f>
        <v>1.1000000000000001</v>
      </c>
      <c r="H3" s="1412" t="s">
        <v>894</v>
      </c>
      <c r="I3" s="1038">
        <v>8</v>
      </c>
      <c r="J3" s="1408" t="s">
        <v>895</v>
      </c>
      <c r="K3" s="1399"/>
      <c r="L3" s="1882" t="s">
        <v>2203</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2243</v>
      </c>
      <c r="B4" s="2474" t="e">
        <f>ROUND(B2*10000/F1,0)</f>
        <v>#DIV/0!</v>
      </c>
      <c r="C4" s="1891" t="s">
        <v>2217</v>
      </c>
      <c r="D4" s="1891" t="e">
        <f>ROUND(B2/(F1/666.67),0)</f>
        <v>#DIV/0!</v>
      </c>
      <c r="E4" s="1891" t="s">
        <v>2218</v>
      </c>
      <c r="F4" s="1889"/>
      <c r="G4" s="1889"/>
      <c r="H4" s="1889"/>
      <c r="I4" s="1889"/>
      <c r="J4" s="1890"/>
      <c r="K4" s="1399"/>
      <c r="L4" s="1882" t="s">
        <v>2204</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9" customFormat="1" ht="15.75" thickBot="1">
      <c r="A5" s="1636" t="s">
        <v>1785</v>
      </c>
      <c r="B5" s="1413" t="s">
        <v>896</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2" t="s">
        <v>2205</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2" t="s">
        <v>2206</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62" t="str">
        <f>IF(E2="商业",IF(C8="不临58条商业街","",2),"")</f>
        <v/>
      </c>
      <c r="B7" s="1425" t="s">
        <v>897</v>
      </c>
      <c r="C7" s="1041" t="e">
        <f>IF(C8="不临58条商业街",1,ROUND(1+(1.6*E8+1.2*E9+0.8*E10+0.4*E11)*C9,4))</f>
        <v>#DIV/0!</v>
      </c>
      <c r="D7" s="1426" t="s">
        <v>898</v>
      </c>
      <c r="E7" s="1042"/>
      <c r="F7" s="1427"/>
      <c r="G7" s="1428"/>
      <c r="H7" s="1428"/>
      <c r="I7" s="1428"/>
      <c r="J7" s="1429"/>
      <c r="K7" s="1593"/>
      <c r="L7" s="1882" t="s">
        <v>2207</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2727</v>
      </c>
      <c r="X7" s="2948">
        <f>G2</f>
        <v>0</v>
      </c>
      <c r="Y7" s="2948" t="s">
        <v>2728</v>
      </c>
      <c r="Z7" s="2949">
        <f>G3</f>
        <v>1.1000000000000001</v>
      </c>
      <c r="AA7" s="2189"/>
      <c r="AB7" s="2189"/>
      <c r="AC7" s="2190"/>
      <c r="AD7" s="2950"/>
      <c r="AE7" s="2950"/>
      <c r="AF7" s="2950"/>
      <c r="AG7" s="2950"/>
      <c r="AH7" s="2950"/>
      <c r="AI7" s="2950"/>
      <c r="AJ7" s="2951"/>
    </row>
    <row r="8" spans="1:39" ht="15">
      <c r="A8" s="3463"/>
      <c r="B8" s="1412" t="s">
        <v>899</v>
      </c>
      <c r="C8" s="1527"/>
      <c r="D8" s="1043" t="s">
        <v>900</v>
      </c>
      <c r="E8" s="1044" t="e">
        <f>ROUND(C11/E7,4)</f>
        <v>#DIV/0!</v>
      </c>
      <c r="F8" s="1430" t="s">
        <v>901</v>
      </c>
      <c r="G8" s="1431"/>
      <c r="H8" s="1431"/>
      <c r="I8" s="1431"/>
      <c r="J8" s="1432"/>
      <c r="K8" s="1399"/>
      <c r="L8" s="1882" t="s">
        <v>2208</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2" t="s">
        <v>2745</v>
      </c>
      <c r="X8" s="3473"/>
      <c r="Y8" s="1846" t="s">
        <v>2729</v>
      </c>
      <c r="Z8" s="1846" t="s">
        <v>2730</v>
      </c>
      <c r="AA8" s="1846" t="s">
        <v>2731</v>
      </c>
      <c r="AB8" s="1846" t="s">
        <v>2732</v>
      </c>
      <c r="AC8" s="1846" t="s">
        <v>2733</v>
      </c>
      <c r="AD8" s="1846" t="s">
        <v>2734</v>
      </c>
      <c r="AE8" s="1846" t="s">
        <v>2735</v>
      </c>
      <c r="AF8" s="1846" t="s">
        <v>2736</v>
      </c>
      <c r="AG8" s="1846" t="s">
        <v>2737</v>
      </c>
      <c r="AH8" s="1846" t="s">
        <v>2738</v>
      </c>
      <c r="AI8" s="1846" t="s">
        <v>2739</v>
      </c>
      <c r="AJ8" s="1846" t="s">
        <v>2740</v>
      </c>
    </row>
    <row r="9" spans="1:39" ht="15">
      <c r="A9" s="3463"/>
      <c r="B9" s="1412" t="s">
        <v>902</v>
      </c>
      <c r="C9" s="1045">
        <f>SUMIF(修正!C59:C119,C8,修正!E59:E119)</f>
        <v>0</v>
      </c>
      <c r="D9" s="1046" t="s">
        <v>903</v>
      </c>
      <c r="E9" s="1046" t="e">
        <f>ROUND(C11/E7,4)</f>
        <v>#DIV/0!</v>
      </c>
      <c r="F9" s="1430" t="s">
        <v>904</v>
      </c>
      <c r="G9" s="1431"/>
      <c r="H9" s="1431"/>
      <c r="I9" s="1431"/>
      <c r="J9" s="1432"/>
      <c r="K9" s="1399"/>
      <c r="L9" s="1882" t="s">
        <v>2209</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1" t="s">
        <v>2741</v>
      </c>
      <c r="X9" s="2952" t="s">
        <v>2742</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63"/>
      <c r="B10" s="1412" t="s">
        <v>905</v>
      </c>
      <c r="C10" s="1046">
        <f>SUMIF(修正!C59:C119,C8,修正!F59:F119)</f>
        <v>0</v>
      </c>
      <c r="D10" s="1046" t="s">
        <v>906</v>
      </c>
      <c r="E10" s="1046" t="e">
        <f>ROUND(C11/E7,4)</f>
        <v>#DIV/0!</v>
      </c>
      <c r="F10" s="1430" t="s">
        <v>907</v>
      </c>
      <c r="G10" s="1431"/>
      <c r="H10" s="1431"/>
      <c r="I10" s="1431"/>
      <c r="J10" s="1432"/>
      <c r="K10" s="1399"/>
      <c r="L10" s="1882" t="s">
        <v>2210</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63"/>
      <c r="B11" s="1433" t="s">
        <v>908</v>
      </c>
      <c r="C11" s="1047">
        <f>C10/4</f>
        <v>0</v>
      </c>
      <c r="D11" s="1047" t="s">
        <v>909</v>
      </c>
      <c r="E11" s="1047" t="e">
        <f>ROUND(C11/E7,4)</f>
        <v>#DIV/0!</v>
      </c>
      <c r="F11" s="1434" t="s">
        <v>910</v>
      </c>
      <c r="G11" s="1435"/>
      <c r="H11" s="1435"/>
      <c r="I11" s="1435"/>
      <c r="J11" s="1436"/>
      <c r="K11" s="1399"/>
      <c r="L11" s="1882" t="s">
        <v>2211</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1" t="s">
        <v>2743</v>
      </c>
      <c r="X11" s="1046" t="s">
        <v>2728</v>
      </c>
      <c r="Y11" s="1651">
        <f>$G$3</f>
        <v>1.1000000000000001</v>
      </c>
      <c r="Z11" s="1651">
        <f t="shared" ref="Z11:AJ11" si="3">$G$3</f>
        <v>1.1000000000000001</v>
      </c>
      <c r="AA11" s="1651">
        <f t="shared" si="3"/>
        <v>1.1000000000000001</v>
      </c>
      <c r="AB11" s="1651">
        <f t="shared" si="3"/>
        <v>1.1000000000000001</v>
      </c>
      <c r="AC11" s="1651">
        <f t="shared" si="3"/>
        <v>1.1000000000000001</v>
      </c>
      <c r="AD11" s="1651">
        <f t="shared" si="3"/>
        <v>1.1000000000000001</v>
      </c>
      <c r="AE11" s="1651">
        <f t="shared" si="3"/>
        <v>1.1000000000000001</v>
      </c>
      <c r="AF11" s="1651">
        <f t="shared" si="3"/>
        <v>1.1000000000000001</v>
      </c>
      <c r="AG11" s="1651">
        <f t="shared" si="3"/>
        <v>1.1000000000000001</v>
      </c>
      <c r="AH11" s="1651">
        <f t="shared" si="3"/>
        <v>1.1000000000000001</v>
      </c>
      <c r="AI11" s="1651">
        <f t="shared" si="3"/>
        <v>1.1000000000000001</v>
      </c>
      <c r="AJ11" s="1651">
        <f t="shared" si="3"/>
        <v>1.1000000000000001</v>
      </c>
    </row>
    <row r="12" spans="1:39" ht="25.5" thickBot="1">
      <c r="A12" s="3462" t="s">
        <v>1833</v>
      </c>
      <c r="B12" s="1437" t="s">
        <v>911</v>
      </c>
      <c r="C12" s="1041">
        <f>ROUND(C15*D15*E15*F15*G15*H15*I15*J15,4)</f>
        <v>1</v>
      </c>
      <c r="D12" s="1438" t="s">
        <v>912</v>
      </c>
      <c r="E12" s="1439"/>
      <c r="F12" s="1439"/>
      <c r="G12" s="1440"/>
      <c r="H12" s="1440"/>
      <c r="I12" s="1440"/>
      <c r="J12" s="1441"/>
      <c r="K12" s="1399"/>
      <c r="L12" s="1885" t="s">
        <v>2212</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1"/>
      <c r="X12" s="2955" t="s">
        <v>2744</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64"/>
      <c r="B13" s="1442" t="s">
        <v>1658</v>
      </c>
      <c r="C13" s="1443" t="s">
        <v>1659</v>
      </c>
      <c r="D13" s="1087" t="s">
        <v>1660</v>
      </c>
      <c r="E13" s="1087" t="s">
        <v>1661</v>
      </c>
      <c r="F13" s="1444" t="s">
        <v>913</v>
      </c>
      <c r="G13" s="1445" t="s">
        <v>1607</v>
      </c>
      <c r="H13" s="1446" t="s">
        <v>1607</v>
      </c>
      <c r="I13" s="1447" t="s">
        <v>1607</v>
      </c>
      <c r="J13" s="1448" t="s">
        <v>1607</v>
      </c>
      <c r="K13" s="1399"/>
      <c r="L13" s="2186"/>
      <c r="M13" s="2186"/>
      <c r="N13" s="2186"/>
      <c r="O13" s="2186"/>
      <c r="P13" s="2186"/>
      <c r="Q13" s="2186"/>
      <c r="R13" s="2958">
        <v>12</v>
      </c>
      <c r="S13" s="2947"/>
      <c r="T13" s="2958" t="e">
        <f t="shared" si="0"/>
        <v>#DIV/0!</v>
      </c>
      <c r="U13" s="2947"/>
      <c r="V13" s="2958" t="e">
        <f t="shared" si="1"/>
        <v>#DIV/0!</v>
      </c>
      <c r="W13" s="3471"/>
      <c r="X13" s="2955"/>
      <c r="Y13" s="2954">
        <f>(-0.163*(Y12^2)-0.59*Y12+7617)*(10^(-4))/Y11</f>
        <v>0.69245454545454543</v>
      </c>
      <c r="Z13" s="2954">
        <f t="shared" ref="Z13:AJ13" si="5">(-0.163*(Z12^2)-0.59*Z12+7617)*(10^(-4))/Z11</f>
        <v>0.69245454545454543</v>
      </c>
      <c r="AA13" s="2954">
        <f t="shared" si="5"/>
        <v>0.69245454545454543</v>
      </c>
      <c r="AB13" s="2954">
        <f t="shared" si="5"/>
        <v>0.69245454545454543</v>
      </c>
      <c r="AC13" s="2954">
        <f t="shared" si="5"/>
        <v>0.69245454545454543</v>
      </c>
      <c r="AD13" s="2954">
        <f t="shared" si="5"/>
        <v>0.69245454545454543</v>
      </c>
      <c r="AE13" s="2954">
        <f t="shared" si="5"/>
        <v>0.69245454545454543</v>
      </c>
      <c r="AF13" s="2954">
        <f t="shared" si="5"/>
        <v>0.69245454545454543</v>
      </c>
      <c r="AG13" s="2954">
        <f t="shared" si="5"/>
        <v>0.69245454545454543</v>
      </c>
      <c r="AH13" s="2954">
        <f t="shared" si="5"/>
        <v>0.69245454545454543</v>
      </c>
      <c r="AI13" s="2954">
        <f t="shared" si="5"/>
        <v>0.69245454545454543</v>
      </c>
      <c r="AJ13" s="2954">
        <f t="shared" si="5"/>
        <v>0.69245454545454543</v>
      </c>
    </row>
    <row r="14" spans="1:39" ht="12.75" customHeight="1" thickBot="1">
      <c r="A14" s="3464"/>
      <c r="B14" s="1449"/>
      <c r="C14" s="1450"/>
      <c r="D14" s="1451"/>
      <c r="E14" s="1451"/>
      <c r="F14" s="1452"/>
      <c r="G14" s="1453" t="s">
        <v>914</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65"/>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6"/>
      <c r="R15" s="2958">
        <v>14</v>
      </c>
      <c r="S15" s="2947"/>
      <c r="T15" s="2958" t="e">
        <f t="shared" si="0"/>
        <v>#DIV/0!</v>
      </c>
      <c r="U15" s="2947"/>
      <c r="V15" s="2958" t="e">
        <f t="shared" si="1"/>
        <v>#DIV/0!</v>
      </c>
      <c r="W15" s="2186"/>
      <c r="X15" s="2186"/>
      <c r="Y15" s="2186"/>
      <c r="Z15" s="2186"/>
      <c r="AA15" s="2186"/>
      <c r="AB15" s="2186"/>
      <c r="AC15" s="2187"/>
    </row>
    <row r="16" spans="1:39" ht="24">
      <c r="A16" s="3462"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63"/>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1791</v>
      </c>
      <c r="B18" s="2793" t="s">
        <v>921</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ROUND(IF(H19="按公示增长率计算",SUMPRODUCT((地价!A3:A22=YEAR(G19)&amp;"-"&amp;ROUNDUP(MONTH(G19)/3,0))*(地价!X2:AB2=E2)*(地价!X3:AB22)),IF(H19="地价指数",M20/M19,(1+I19)^O19)),4)</f>
        <v>#DIV/0!</v>
      </c>
      <c r="D19" s="1472" t="s">
        <v>923</v>
      </c>
      <c r="E19" s="1056">
        <v>41640</v>
      </c>
      <c r="F19" s="1472" t="s">
        <v>924</v>
      </c>
      <c r="G19" s="1057">
        <f>'数据-取费表'!B2</f>
        <v>43234</v>
      </c>
      <c r="H19" s="1473" t="s">
        <v>2889</v>
      </c>
      <c r="I19" s="2805" t="str">
        <f>IF(H19="季度增幅（自定义）",SUMIF(N21:N24,E2,O21:O24),"")</f>
        <v/>
      </c>
      <c r="J19" s="1469"/>
      <c r="K19" s="1479"/>
      <c r="L19" s="3061" t="s">
        <v>2803</v>
      </c>
      <c r="M19" s="3062">
        <f>ROUND(SUMIF(地价!B2:F2,E2,地价!B22:F22),0)</f>
        <v>0</v>
      </c>
      <c r="N19" s="2807" t="s">
        <v>1641</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1798</v>
      </c>
      <c r="B20" s="2800" t="s">
        <v>937</v>
      </c>
      <c r="C20" s="2801" t="e">
        <f>ROUND(POWER(1+G20,J20-I20)*(POWER(1+G20,I20)-1)/(POWER(1+G20,J20)-1),4)</f>
        <v>#DIV/0!</v>
      </c>
      <c r="D20" s="2802" t="s">
        <v>938</v>
      </c>
      <c r="E20" s="3116">
        <f ca="1">存贷款利率!I4/100</f>
        <v>4.3499999999999997E-2</v>
      </c>
      <c r="F20" s="2802" t="s">
        <v>939</v>
      </c>
      <c r="G20" s="2803">
        <f>SUMIF(M15:P15,E2,M17:P17)</f>
        <v>0</v>
      </c>
      <c r="H20" s="2802" t="s">
        <v>940</v>
      </c>
      <c r="I20" s="2792" t="e">
        <f>SUMIF('数据-取费表'!C6:C15,E2,'数据-取费表'!F6:F15)/COUNTIF('数据-取费表'!C6:C15,E2)</f>
        <v>#DIV/0!</v>
      </c>
      <c r="J20" s="2804">
        <f>IF(E2="住宅",70,IF(E2="商业",40,50))</f>
        <v>50</v>
      </c>
      <c r="K20" s="1479"/>
      <c r="L20" s="3063" t="s">
        <v>2804</v>
      </c>
      <c r="M20" s="3064">
        <f>ROUND(SUMPRODUCT((地价!A4:A22=YEAR(G19)&amp;"-"&amp;ROUNDUP(MONTH(G19)/3,0))*(地价!B2:F2=E2)*(地价!B4:F22)),0)</f>
        <v>0</v>
      </c>
      <c r="N20" s="2810" t="s">
        <v>2608</v>
      </c>
      <c r="O20" s="2808" t="s">
        <v>2607</v>
      </c>
      <c r="P20" s="2809" t="s">
        <v>2612</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2"/>
      <c r="M25" s="2192"/>
      <c r="N25" s="2818" t="s">
        <v>2610</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952</v>
      </c>
      <c r="C26" s="1061"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955</v>
      </c>
      <c r="C28" s="1497" t="s">
        <v>956</v>
      </c>
      <c r="D28" s="1497" t="s">
        <v>957</v>
      </c>
      <c r="E28" s="1498" t="s">
        <v>958</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959</v>
      </c>
      <c r="C29" s="1061" t="e">
        <f>ROUND(C5*C18*C19*C20*C21*C24,0)</f>
        <v>#DIV/0!</v>
      </c>
      <c r="D29" s="1502"/>
      <c r="E29" s="1846" t="e">
        <f>ROUND(C29*D29/10000,0)</f>
        <v>#DIV/0!</v>
      </c>
      <c r="F29" s="1503" t="s">
        <v>1663</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960</v>
      </c>
      <c r="C30" s="1049" t="e">
        <f>ROUND(IF(E2="工业",C29*M39,C29*M38),0)</f>
        <v>#DIV/0!</v>
      </c>
      <c r="D30" s="1508"/>
      <c r="E30" s="1846" t="e">
        <f>ROUND(C30*D30/10000,0)</f>
        <v>#DIV/0!</v>
      </c>
      <c r="F30" s="1509" t="s">
        <v>961</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68" t="s">
        <v>2915</v>
      </c>
      <c r="B33" s="1522" t="s">
        <v>965</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69"/>
      <c r="B34" s="1443" t="s">
        <v>966</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69"/>
      <c r="B35" s="1443" t="s">
        <v>967</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0"/>
      <c r="B36" s="1443" t="s">
        <v>968</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969</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1665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970</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1667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971</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1666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972</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973</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974</v>
      </c>
      <c r="B46" s="2429" t="s">
        <v>975</v>
      </c>
      <c r="C46" s="2451" t="s">
        <v>976</v>
      </c>
      <c r="D46" s="2452" t="s">
        <v>977</v>
      </c>
      <c r="E46" s="2453" t="s">
        <v>979</v>
      </c>
      <c r="F46" s="2454" t="s">
        <v>2213</v>
      </c>
      <c r="G46" s="2452" t="s">
        <v>980</v>
      </c>
      <c r="H46" s="2435" t="s">
        <v>2381</v>
      </c>
      <c r="I46" s="2452" t="s">
        <v>978</v>
      </c>
      <c r="J46" s="2455" t="s">
        <v>981</v>
      </c>
      <c r="K46" s="2455" t="s">
        <v>982</v>
      </c>
      <c r="L46" s="2455" t="s">
        <v>983</v>
      </c>
      <c r="M46" s="2455" t="s">
        <v>984</v>
      </c>
      <c r="N46" s="2455" t="s">
        <v>985</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986</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987</v>
      </c>
      <c r="B48" s="2429" t="str">
        <f>估价对象房地状况!C18</f>
        <v>估价对象周边道路状况较好、公共交通通达情况较好、停车便捷程度较好，综合评价交通便捷度较好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988</v>
      </c>
      <c r="B49" s="2429" t="str">
        <f>估价对象房地状况!C19</f>
        <v>较一致</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989</v>
      </c>
      <c r="B50" s="3118" t="s">
        <v>2891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990</v>
      </c>
      <c r="B51" s="2429" t="str">
        <f>估价对象房地状况!C24</f>
        <v>城市主干道-泉湖西路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991</v>
      </c>
      <c r="B52" s="3117" t="s">
        <v>2890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992</v>
      </c>
      <c r="B53" s="2430" t="str">
        <f>估价对象房地状况!C21</f>
        <v>估价对象所在区域公共配套设施齐备情况一般</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993</v>
      </c>
      <c r="B54" s="2429" t="str">
        <f>估价对象房地状况!C22</f>
        <v>估价对象所在区域基础设施水平好</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994</v>
      </c>
      <c r="B55" s="2433" t="str">
        <f>估价对象房地状况!C20</f>
        <v>区域自然环境及人文环境较好；综合评价环境状况较好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995</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974</v>
      </c>
      <c r="B57" s="2429"/>
      <c r="C57" s="2451" t="s">
        <v>976</v>
      </c>
      <c r="D57" s="2452" t="s">
        <v>977</v>
      </c>
      <c r="E57" s="2453" t="s">
        <v>979</v>
      </c>
      <c r="F57" s="2454" t="s">
        <v>2214</v>
      </c>
      <c r="G57" s="2452" t="s">
        <v>980</v>
      </c>
      <c r="H57" s="2435" t="s">
        <v>2381</v>
      </c>
      <c r="I57" s="2452" t="s">
        <v>978</v>
      </c>
      <c r="J57" s="2455" t="s">
        <v>981</v>
      </c>
      <c r="K57" s="2455" t="s">
        <v>982</v>
      </c>
      <c r="L57" s="2455" t="s">
        <v>983</v>
      </c>
      <c r="M57" s="2455" t="s">
        <v>984</v>
      </c>
      <c r="N57" s="2455" t="s">
        <v>985</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996</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987</v>
      </c>
      <c r="B59" s="2429" t="str">
        <f>估价对象房地状况!C18</f>
        <v>估价对象周边道路状况较好、公共交通通达情况较好、停车便捷程度较好，综合评价交通便捷度较好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988</v>
      </c>
      <c r="B60" s="2429" t="str">
        <f>估价对象房地状况!C19</f>
        <v>较一致</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989</v>
      </c>
      <c r="B61" s="3118" t="s">
        <v>2892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990</v>
      </c>
      <c r="B62" s="2429" t="str">
        <f>估价对象房地状况!C24</f>
        <v>城市主干道-泉湖西路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991</v>
      </c>
      <c r="B63" s="3117" t="s">
        <v>2890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992</v>
      </c>
      <c r="B64" s="2430" t="str">
        <f>估价对象房地状况!C21</f>
        <v>估价对象所在区域公共配套设施齐备情况一般</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993</v>
      </c>
      <c r="B65" s="2430" t="str">
        <f>估价对象房地状况!C22</f>
        <v>估价对象所在区域基础设施水平好</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994</v>
      </c>
      <c r="B66" s="2434" t="str">
        <f>估价对象房地状况!C20</f>
        <v>区域自然环境及人文环境较好；综合评价环境状况较好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997</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974</v>
      </c>
      <c r="B68" s="2429"/>
      <c r="C68" s="2451" t="s">
        <v>976</v>
      </c>
      <c r="D68" s="2452" t="s">
        <v>977</v>
      </c>
      <c r="E68" s="2453" t="s">
        <v>979</v>
      </c>
      <c r="F68" s="2454" t="s">
        <v>2215</v>
      </c>
      <c r="G68" s="2452" t="s">
        <v>980</v>
      </c>
      <c r="H68" s="2435" t="s">
        <v>2381</v>
      </c>
      <c r="I68" s="2452" t="s">
        <v>978</v>
      </c>
      <c r="J68" s="2455" t="s">
        <v>981</v>
      </c>
      <c r="K68" s="2455" t="s">
        <v>982</v>
      </c>
      <c r="L68" s="2455" t="s">
        <v>983</v>
      </c>
      <c r="M68" s="2455" t="s">
        <v>984</v>
      </c>
      <c r="N68" s="2455" t="s">
        <v>985</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60">
      <c r="A69" s="1065" t="s">
        <v>998</v>
      </c>
      <c r="B69" s="2432" t="str">
        <f>估价对象房地状况!C15</f>
        <v>估价对象周边居住用地比例一般、居住小区规模和社区发展完善程度一般，综合评价居住社区成熟度一般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999</v>
      </c>
      <c r="B70" s="2429" t="str">
        <f>估价对象房地状况!C18</f>
        <v>估价对象周边道路状况较好、公共交通通达情况较好、停车便捷程度较好，综合评价交通便捷度较好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988</v>
      </c>
      <c r="B71" s="2429" t="str">
        <f>估价对象房地状况!C19</f>
        <v>较一致</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1000</v>
      </c>
      <c r="B72" s="2429" t="str">
        <f>估价对象房地状况!C24</f>
        <v>城市主干道-泉湖西路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992</v>
      </c>
      <c r="B73" s="2430" t="str">
        <f>估价对象房地状况!C21</f>
        <v>估价对象所在区域公共配套设施齐备情况一般</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993</v>
      </c>
      <c r="B74" s="2430" t="str">
        <f>估价对象房地状况!C22</f>
        <v>估价对象所在区域基础设施水平好</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991</v>
      </c>
      <c r="B75" s="3117" t="s">
        <v>2890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994</v>
      </c>
      <c r="B76" s="2432" t="str">
        <f>估价对象房地状况!C20</f>
        <v>区域自然环境及人文环境较好；综合评价环境状况较好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1001</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1002</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974</v>
      </c>
      <c r="B79" s="2429"/>
      <c r="C79" s="2451" t="s">
        <v>976</v>
      </c>
      <c r="D79" s="2452" t="s">
        <v>977</v>
      </c>
      <c r="E79" s="2453" t="s">
        <v>979</v>
      </c>
      <c r="F79" s="2454" t="s">
        <v>2216</v>
      </c>
      <c r="G79" s="2452" t="s">
        <v>980</v>
      </c>
      <c r="H79" s="2435" t="s">
        <v>2381</v>
      </c>
      <c r="I79" s="2452" t="s">
        <v>978</v>
      </c>
      <c r="J79" s="2455" t="s">
        <v>981</v>
      </c>
      <c r="K79" s="2455" t="s">
        <v>982</v>
      </c>
      <c r="L79" s="2455" t="s">
        <v>983</v>
      </c>
      <c r="M79" s="2455" t="s">
        <v>984</v>
      </c>
      <c r="N79" s="2455" t="s">
        <v>985</v>
      </c>
      <c r="AC79" s="1403"/>
      <c r="AD79" s="1402"/>
      <c r="AJ79" s="1401"/>
      <c r="AN79" s="1402"/>
    </row>
    <row r="80" spans="1:40" ht="24">
      <c r="A80" s="1065" t="s">
        <v>1003</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14.25">
      <c r="A81" s="1065" t="s">
        <v>999</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988</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1000</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992</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993</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991</v>
      </c>
      <c r="B86" s="3117" t="s">
        <v>2890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15" thickBot="1">
      <c r="A87" s="2462" t="s">
        <v>1004</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66" t="s">
        <v>1599</v>
      </c>
      <c r="B90" s="3466"/>
      <c r="C90" s="3466"/>
      <c r="D90" s="3466"/>
      <c r="E90" s="3466"/>
      <c r="F90" s="3466"/>
      <c r="G90" s="3466"/>
      <c r="H90" s="3466"/>
      <c r="I90" s="3466"/>
      <c r="J90" s="3466"/>
      <c r="K90" s="2471"/>
      <c r="L90" s="2471"/>
      <c r="M90" s="2471"/>
      <c r="N90" s="2471"/>
    </row>
    <row r="91" spans="1:40">
      <c r="A91" s="3467" t="s">
        <v>1409</v>
      </c>
      <c r="B91" s="3467" t="s">
        <v>1600</v>
      </c>
      <c r="C91" s="1138" t="s">
        <v>1601</v>
      </c>
      <c r="D91" s="1139"/>
      <c r="E91" s="1139"/>
      <c r="F91" s="1139"/>
      <c r="G91" s="1139"/>
      <c r="H91" s="1139"/>
      <c r="I91" s="1139"/>
      <c r="J91" s="1140"/>
      <c r="K91" s="1132"/>
      <c r="L91" s="1132"/>
      <c r="M91" s="1132"/>
      <c r="N91" s="1132"/>
    </row>
    <row r="92" spans="1:40">
      <c r="A92" s="3467"/>
      <c r="B92" s="3467"/>
      <c r="C92" s="2470" t="s">
        <v>872</v>
      </c>
      <c r="D92" s="2470" t="s">
        <v>850</v>
      </c>
      <c r="E92" s="2470" t="s">
        <v>851</v>
      </c>
      <c r="F92" s="2470" t="s">
        <v>875</v>
      </c>
      <c r="G92" s="2470" t="s">
        <v>853</v>
      </c>
      <c r="H92" s="2470" t="s">
        <v>854</v>
      </c>
      <c r="I92" s="2470" t="s">
        <v>855</v>
      </c>
      <c r="J92" s="2470" t="s">
        <v>856</v>
      </c>
      <c r="K92" s="2470" t="s">
        <v>880</v>
      </c>
      <c r="L92" s="2470" t="s">
        <v>858</v>
      </c>
      <c r="M92" s="2470" t="s">
        <v>859</v>
      </c>
      <c r="N92" s="2470" t="s">
        <v>883</v>
      </c>
    </row>
    <row r="93" spans="1:40">
      <c r="A93" s="3474"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5"/>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4" t="s">
        <v>1603</v>
      </c>
      <c r="B101" s="1145" t="s">
        <v>871</v>
      </c>
      <c r="C101" s="1146">
        <f>$G$3</f>
        <v>1.1000000000000001</v>
      </c>
      <c r="D101" s="1146">
        <f t="shared" ref="D101:N101" si="31">$G$3</f>
        <v>1.1000000000000001</v>
      </c>
      <c r="E101" s="1146">
        <f t="shared" si="31"/>
        <v>1.1000000000000001</v>
      </c>
      <c r="F101" s="1146">
        <f t="shared" si="31"/>
        <v>1.1000000000000001</v>
      </c>
      <c r="G101" s="1146">
        <f t="shared" si="31"/>
        <v>1.1000000000000001</v>
      </c>
      <c r="H101" s="1146">
        <f t="shared" si="31"/>
        <v>1.1000000000000001</v>
      </c>
      <c r="I101" s="1146">
        <f t="shared" si="31"/>
        <v>1.1000000000000001</v>
      </c>
      <c r="J101" s="1146">
        <f t="shared" si="31"/>
        <v>1.1000000000000001</v>
      </c>
      <c r="K101" s="1146">
        <f t="shared" si="31"/>
        <v>1.1000000000000001</v>
      </c>
      <c r="L101" s="1146">
        <f t="shared" si="31"/>
        <v>1.1000000000000001</v>
      </c>
      <c r="M101" s="1146">
        <f t="shared" si="31"/>
        <v>1.1000000000000001</v>
      </c>
      <c r="N101" s="1146">
        <f t="shared" si="31"/>
        <v>1.1000000000000001</v>
      </c>
    </row>
    <row r="102" spans="1:14">
      <c r="A102" s="3475"/>
      <c r="B102" s="1141">
        <v>1</v>
      </c>
      <c r="C102" s="1142">
        <f>1.9362/C101</f>
        <v>1.7601818181818181</v>
      </c>
      <c r="D102" s="1142">
        <f>1.9362/D101</f>
        <v>1.7601818181818181</v>
      </c>
      <c r="E102" s="1142">
        <f>1.8629/E101</f>
        <v>1.6935454545454545</v>
      </c>
      <c r="F102" s="1142">
        <f>1.8629/F101</f>
        <v>1.6935454545454545</v>
      </c>
      <c r="G102" s="1142">
        <f>1.8629/G101</f>
        <v>1.6935454545454545</v>
      </c>
      <c r="H102" s="1142">
        <f>1.8629/H101</f>
        <v>1.6935454545454545</v>
      </c>
      <c r="I102" s="1142">
        <f>1.8629/I101</f>
        <v>1.6935454545454545</v>
      </c>
      <c r="J102" s="1142">
        <f>1.942/J101</f>
        <v>1.7654545454545452</v>
      </c>
      <c r="K102" s="1142">
        <f>1.942/K101</f>
        <v>1.7654545454545452</v>
      </c>
      <c r="L102" s="1142">
        <f>1.942/L101</f>
        <v>1.7654545454545452</v>
      </c>
      <c r="M102" s="1142">
        <f>1.942/M101</f>
        <v>1.7654545454545452</v>
      </c>
      <c r="N102" s="1142">
        <f>1.942/N101</f>
        <v>1.7654545454545452</v>
      </c>
    </row>
    <row r="103" spans="1:14">
      <c r="A103" s="3475"/>
      <c r="B103" s="1141">
        <v>2</v>
      </c>
      <c r="C103" s="1142">
        <f>1.4198/C101</f>
        <v>1.2907272727272725</v>
      </c>
      <c r="D103" s="1142">
        <f>1.4198/D101</f>
        <v>1.2907272727272725</v>
      </c>
      <c r="E103" s="1142">
        <f>1.3372/E101</f>
        <v>1.2156363636363634</v>
      </c>
      <c r="F103" s="1142">
        <f>1.3372/F101</f>
        <v>1.2156363636363634</v>
      </c>
      <c r="G103" s="1142">
        <f>1.3372/G101</f>
        <v>1.2156363636363634</v>
      </c>
      <c r="H103" s="1142">
        <f>1.3372/H101</f>
        <v>1.2156363636363634</v>
      </c>
      <c r="I103" s="1142">
        <f>1.3372/I101</f>
        <v>1.2156363636363634</v>
      </c>
      <c r="J103" s="1142">
        <f>1.2799/J101</f>
        <v>1.1635454545454544</v>
      </c>
      <c r="K103" s="1142">
        <f>1.2799/K101</f>
        <v>1.1635454545454544</v>
      </c>
      <c r="L103" s="1142">
        <f>1.2799/L101</f>
        <v>1.1635454545454544</v>
      </c>
      <c r="M103" s="1142">
        <f>1.2799/M101</f>
        <v>1.1635454545454544</v>
      </c>
      <c r="N103" s="1142">
        <f>1.2799/N101</f>
        <v>1.1635454545454544</v>
      </c>
    </row>
    <row r="104" spans="1:14">
      <c r="A104" s="3475"/>
      <c r="B104" s="1141">
        <v>3</v>
      </c>
      <c r="C104" s="1142">
        <f>1.1594/C101</f>
        <v>1.0539999999999998</v>
      </c>
      <c r="D104" s="1142">
        <f>1.1594/D101</f>
        <v>1.0539999999999998</v>
      </c>
      <c r="E104" s="1142">
        <f>1.0788/E101</f>
        <v>0.98072727272727267</v>
      </c>
      <c r="F104" s="1142">
        <f>1.0788/F101</f>
        <v>0.98072727272727267</v>
      </c>
      <c r="G104" s="1142">
        <f>1.0788/G101</f>
        <v>0.98072727272727267</v>
      </c>
      <c r="H104" s="1142">
        <f>1.0788/H101</f>
        <v>0.98072727272727267</v>
      </c>
      <c r="I104" s="1142">
        <f>1.0788/I101</f>
        <v>0.98072727272727267</v>
      </c>
      <c r="J104" s="1142">
        <f>1.0072/J101</f>
        <v>0.91563636363636369</v>
      </c>
      <c r="K104" s="1142">
        <f>1.0072/K101</f>
        <v>0.91563636363636369</v>
      </c>
      <c r="L104" s="1142">
        <f>1.0072/L101</f>
        <v>0.91563636363636369</v>
      </c>
      <c r="M104" s="1142">
        <f>1.0072/M101</f>
        <v>0.91563636363636369</v>
      </c>
      <c r="N104" s="1142">
        <f>1.0072/N101</f>
        <v>0.91563636363636369</v>
      </c>
    </row>
    <row r="105" spans="1:14">
      <c r="A105" s="3475"/>
      <c r="B105" s="1141">
        <v>4</v>
      </c>
      <c r="C105" s="1142">
        <f>0.9622/C101</f>
        <v>0.87472727272727269</v>
      </c>
      <c r="D105" s="1142">
        <f>0.9622/D101</f>
        <v>0.87472727272727269</v>
      </c>
      <c r="E105" s="1142">
        <f>0.8656/E101</f>
        <v>0.78690909090909089</v>
      </c>
      <c r="F105" s="1142">
        <f>0.8656/F101</f>
        <v>0.78690909090909089</v>
      </c>
      <c r="G105" s="1142">
        <f>0.8656/G101</f>
        <v>0.78690909090909089</v>
      </c>
      <c r="H105" s="1142">
        <f>0.8656/H101</f>
        <v>0.78690909090909089</v>
      </c>
      <c r="I105" s="1142">
        <f>0.8656/I101</f>
        <v>0.78690909090909089</v>
      </c>
      <c r="J105" s="1142">
        <f>0.7525/J101</f>
        <v>0.68409090909090897</v>
      </c>
      <c r="K105" s="1142">
        <f>0.7525/K101</f>
        <v>0.68409090909090897</v>
      </c>
      <c r="L105" s="1142">
        <f>0.7525/L101</f>
        <v>0.68409090909090897</v>
      </c>
      <c r="M105" s="1142">
        <f>0.7525/M101</f>
        <v>0.68409090909090897</v>
      </c>
      <c r="N105" s="1142">
        <f>0.7525/N101</f>
        <v>0.68409090909090897</v>
      </c>
    </row>
    <row r="106" spans="1:14">
      <c r="A106" s="3475"/>
      <c r="B106" s="1141">
        <v>5</v>
      </c>
      <c r="C106" s="1142">
        <f>0.8417/C101</f>
        <v>0.76518181818181807</v>
      </c>
      <c r="D106" s="1142">
        <f>0.8417/D101</f>
        <v>0.76518181818181807</v>
      </c>
      <c r="E106" s="1142">
        <f>0.7371/E101</f>
        <v>0.67009090909090907</v>
      </c>
      <c r="F106" s="1142">
        <f>0.7371/F101</f>
        <v>0.67009090909090907</v>
      </c>
      <c r="G106" s="1142">
        <f>0.7371/G101</f>
        <v>0.67009090909090907</v>
      </c>
      <c r="H106" s="1142">
        <f>0.7371/H101</f>
        <v>0.67009090909090907</v>
      </c>
      <c r="I106" s="1142">
        <f>0.7371/I101</f>
        <v>0.67009090909090907</v>
      </c>
      <c r="J106" s="1142">
        <f>0.5659/J101</f>
        <v>0.51445454545454539</v>
      </c>
      <c r="K106" s="1142">
        <f>0.5659/K101</f>
        <v>0.51445454545454539</v>
      </c>
      <c r="L106" s="1142">
        <f>0.5659/L101</f>
        <v>0.51445454545454539</v>
      </c>
      <c r="M106" s="1142">
        <f>0.5659/M101</f>
        <v>0.51445454545454539</v>
      </c>
      <c r="N106" s="1142">
        <f>0.5659/N101</f>
        <v>0.51445454545454539</v>
      </c>
    </row>
    <row r="107" spans="1:14">
      <c r="A107" s="3475"/>
      <c r="B107" s="1141">
        <v>6</v>
      </c>
      <c r="C107" s="1142">
        <f>0.7608/C101</f>
        <v>0.6916363636363636</v>
      </c>
      <c r="D107" s="1142">
        <f>0.7608/D101</f>
        <v>0.6916363636363636</v>
      </c>
      <c r="E107" s="1142">
        <f>0.6482/E101</f>
        <v>0.58927272727272717</v>
      </c>
      <c r="F107" s="1142">
        <f>0.6482/F101</f>
        <v>0.58927272727272717</v>
      </c>
      <c r="G107" s="1142">
        <f>0.6482/G101</f>
        <v>0.58927272727272717</v>
      </c>
      <c r="H107" s="1142">
        <f>0.6482/H101</f>
        <v>0.58927272727272717</v>
      </c>
      <c r="I107" s="1142">
        <f>0.6482/I101</f>
        <v>0.58927272727272717</v>
      </c>
      <c r="J107" s="1142">
        <f>0.4525/J101</f>
        <v>0.41136363636363632</v>
      </c>
      <c r="K107" s="1142">
        <f>0.4525/K101</f>
        <v>0.41136363636363632</v>
      </c>
      <c r="L107" s="1142">
        <f>0.4525/L101</f>
        <v>0.41136363636363632</v>
      </c>
      <c r="M107" s="1142">
        <f>0.4525/M101</f>
        <v>0.41136363636363632</v>
      </c>
      <c r="N107" s="1142">
        <f>0.4525/N101</f>
        <v>0.41136363636363632</v>
      </c>
    </row>
    <row r="108" spans="1:14">
      <c r="A108" s="3475"/>
      <c r="B108" s="3477"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6"/>
      <c r="B109" s="3478"/>
      <c r="C109" s="1144">
        <f>(-0.163*(C108^2)-0.59*C108+7617)*(10^(-4))/C101</f>
        <v>0.69107709090909086</v>
      </c>
      <c r="D109" s="1144">
        <f>(-0.163*(D108^2)-0.59*D108+7617)*(10^(-4))/D101</f>
        <v>0.69107709090909086</v>
      </c>
      <c r="E109" s="1144">
        <f>(-0.161*(E108^2)-7.509*E108+6533)*(10^(-4))/E101</f>
        <v>0.58751127272727266</v>
      </c>
      <c r="F109" s="1144">
        <f>(-0.161*(F108^2)-7.509*F108+6533)*(10^(-4))/F101</f>
        <v>0.58751127272727266</v>
      </c>
      <c r="G109" s="1144">
        <f>(-0.161*(G108^2)-7.509*G108+6533)*(10^(-4))/G101</f>
        <v>0.58751127272727266</v>
      </c>
      <c r="H109" s="1144">
        <f>(-0.161*(H108^2)-7.509*H108+6533)*(10^(-4))/H101</f>
        <v>0.58751127272727266</v>
      </c>
      <c r="I109" s="1144">
        <f>(-0.161*(I108^2)-7.509*I108+6533)*(10^(-4))/I101</f>
        <v>0.58751127272727266</v>
      </c>
      <c r="J109" s="1144">
        <f>(-0.214*(J108^2)-21.991*J108+4665)*(10^(-4))/J101</f>
        <v>0.40685236363636362</v>
      </c>
      <c r="K109" s="1144">
        <f>(-0.214*(K108^2)-21.991*K108+4665)*(10^(-4))/K101</f>
        <v>0.40685236363636362</v>
      </c>
      <c r="L109" s="1144">
        <f>(-0.214*(L108^2)-21.991*L108+4665)*(10^(-4))/L101</f>
        <v>0.40685236363636362</v>
      </c>
      <c r="M109" s="1144">
        <f>(-0.214*(M108^2)-21.991*M108+4665)*(10^(-4))/M101</f>
        <v>0.40685236363636362</v>
      </c>
      <c r="N109" s="1144">
        <f>(-0.214*(N108^2)-21.991*N108+4665)*(10^(-4))/N101</f>
        <v>0.40685236363636362</v>
      </c>
    </row>
    <row r="110" spans="1:14">
      <c r="A110" s="3461" t="s">
        <v>1605</v>
      </c>
      <c r="B110" s="3461"/>
      <c r="C110" s="3461"/>
      <c r="D110" s="3461"/>
      <c r="E110" s="3461"/>
      <c r="F110" s="3461"/>
      <c r="G110" s="3461"/>
      <c r="H110" s="3461"/>
      <c r="I110" s="3461"/>
      <c r="J110" s="3461"/>
      <c r="K110" s="2469"/>
      <c r="L110" s="2469"/>
      <c r="M110" s="2469"/>
      <c r="N110" s="2469"/>
    </row>
    <row r="112" spans="1:14" ht="12.75" thickBot="1"/>
    <row r="113" spans="1:13" ht="25.5" thickBot="1">
      <c r="A113" s="1014" t="s">
        <v>861</v>
      </c>
      <c r="B113" s="2472">
        <f>G3</f>
        <v>1.1000000000000001</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0.92320000000000002</v>
      </c>
      <c r="C115" s="1028">
        <f>B115</f>
        <v>0.92320000000000002</v>
      </c>
      <c r="D115" s="1028">
        <f>ROUND(0.8331-0.0109*B113,4)</f>
        <v>0.82110000000000005</v>
      </c>
      <c r="E115" s="1028">
        <f>D115</f>
        <v>0.82110000000000005</v>
      </c>
      <c r="F115" s="1028">
        <f>E115</f>
        <v>0.82110000000000005</v>
      </c>
      <c r="G115" s="1028">
        <f>F115</f>
        <v>0.82110000000000005</v>
      </c>
      <c r="H115" s="1028">
        <f>G115</f>
        <v>0.82110000000000005</v>
      </c>
      <c r="I115" s="1028">
        <f>ROUND(0.689-0.0155*B113,4)</f>
        <v>0.67200000000000004</v>
      </c>
      <c r="J115" s="1028">
        <f t="shared" ref="J115:M118" si="33">I115</f>
        <v>0.67200000000000004</v>
      </c>
      <c r="K115" s="1028">
        <f t="shared" si="33"/>
        <v>0.67200000000000004</v>
      </c>
      <c r="L115" s="1028">
        <f t="shared" si="33"/>
        <v>0.67200000000000004</v>
      </c>
      <c r="M115" s="1029">
        <f t="shared" si="33"/>
        <v>0.67200000000000004</v>
      </c>
    </row>
    <row r="116" spans="1:13" ht="12.75">
      <c r="A116" s="1027" t="s">
        <v>866</v>
      </c>
      <c r="B116" s="1028">
        <f>ROUND(0.949-0.012*B113,4)</f>
        <v>0.93579999999999997</v>
      </c>
      <c r="C116" s="1028">
        <f>B116</f>
        <v>0.93579999999999997</v>
      </c>
      <c r="D116" s="1028">
        <f>ROUND(0.8567-0.013*B113,4)</f>
        <v>0.84240000000000004</v>
      </c>
      <c r="E116" s="1028">
        <f t="shared" ref="E116:H117" si="34">D116</f>
        <v>0.84240000000000004</v>
      </c>
      <c r="F116" s="1028">
        <f t="shared" si="34"/>
        <v>0.84240000000000004</v>
      </c>
      <c r="G116" s="1028">
        <f t="shared" si="34"/>
        <v>0.84240000000000004</v>
      </c>
      <c r="H116" s="1028">
        <f t="shared" si="34"/>
        <v>0.84240000000000004</v>
      </c>
      <c r="I116" s="1028">
        <f>ROUND(0.7694-0.014*B113,4)</f>
        <v>0.754</v>
      </c>
      <c r="J116" s="1028">
        <f t="shared" si="33"/>
        <v>0.754</v>
      </c>
      <c r="K116" s="1028">
        <f t="shared" si="33"/>
        <v>0.754</v>
      </c>
      <c r="L116" s="1028">
        <f t="shared" si="33"/>
        <v>0.754</v>
      </c>
      <c r="M116" s="1029">
        <f t="shared" si="33"/>
        <v>0.754</v>
      </c>
    </row>
    <row r="117" spans="1:13" ht="12.75">
      <c r="A117" s="1030" t="s">
        <v>867</v>
      </c>
      <c r="B117" s="1028">
        <f>ROUND(0.8808-0.006*B113,4)</f>
        <v>0.87419999999999998</v>
      </c>
      <c r="C117" s="1028">
        <f>B117</f>
        <v>0.87419999999999998</v>
      </c>
      <c r="D117" s="1028">
        <f>ROUND(0.8748-0.008*B113,4)</f>
        <v>0.86599999999999999</v>
      </c>
      <c r="E117" s="1028">
        <f t="shared" si="34"/>
        <v>0.86599999999999999</v>
      </c>
      <c r="F117" s="1028">
        <f t="shared" si="34"/>
        <v>0.86599999999999999</v>
      </c>
      <c r="G117" s="1028">
        <f t="shared" si="34"/>
        <v>0.86599999999999999</v>
      </c>
      <c r="H117" s="1028">
        <f t="shared" si="34"/>
        <v>0.86599999999999999</v>
      </c>
      <c r="I117" s="1028">
        <f>ROUND(0.7412-0.0095*B113,4)</f>
        <v>0.73080000000000001</v>
      </c>
      <c r="J117" s="1028">
        <f t="shared" si="33"/>
        <v>0.73080000000000001</v>
      </c>
      <c r="K117" s="1028">
        <f t="shared" si="33"/>
        <v>0.73080000000000001</v>
      </c>
      <c r="L117" s="1028">
        <f t="shared" si="33"/>
        <v>0.73080000000000001</v>
      </c>
      <c r="M117" s="1029">
        <f t="shared" si="33"/>
        <v>0.73080000000000001</v>
      </c>
    </row>
    <row r="118" spans="1:13" ht="13.5" thickBot="1">
      <c r="A118" s="1031" t="s">
        <v>868</v>
      </c>
      <c r="B118" s="1032">
        <f>ROUND(0.7275-0.01*B113,4)</f>
        <v>0.71650000000000003</v>
      </c>
      <c r="C118" s="1032">
        <f>B118</f>
        <v>0.71650000000000003</v>
      </c>
      <c r="D118" s="1032">
        <f>ROUND(0.7043-0.012*B113,4)</f>
        <v>0.69110000000000005</v>
      </c>
      <c r="E118" s="1032">
        <f>D118</f>
        <v>0.69110000000000005</v>
      </c>
      <c r="F118" s="1032">
        <f>E118</f>
        <v>0.69110000000000005</v>
      </c>
      <c r="G118" s="1032">
        <f>ROUND(0.6299-0.0122*B113,4)</f>
        <v>0.61650000000000005</v>
      </c>
      <c r="H118" s="1032">
        <f>G118</f>
        <v>0.61650000000000005</v>
      </c>
      <c r="I118" s="1032">
        <f>ROUND(0.5667-0.0136*B113,4)</f>
        <v>0.55169999999999997</v>
      </c>
      <c r="J118" s="1032">
        <f t="shared" si="33"/>
        <v>0.55169999999999997</v>
      </c>
      <c r="K118" s="1032">
        <f t="shared" si="33"/>
        <v>0.55169999999999997</v>
      </c>
      <c r="L118" s="1032">
        <f t="shared" si="33"/>
        <v>0.55169999999999997</v>
      </c>
      <c r="M118" s="1033">
        <f t="shared" si="33"/>
        <v>0.55169999999999997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77"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67" t="s">
        <v>973</v>
      </c>
      <c r="B18" s="1152" t="s">
        <v>1412</v>
      </c>
      <c r="C18" s="1129" t="s">
        <v>1413</v>
      </c>
      <c r="D18" s="1130"/>
      <c r="E18" s="1152">
        <v>1</v>
      </c>
      <c r="F18" s="1131" t="s">
        <v>1414</v>
      </c>
      <c r="G18" s="1132"/>
      <c r="H18" s="1103"/>
      <c r="I18" s="1103"/>
    </row>
    <row r="19" spans="1:9" s="1597" customFormat="1" ht="19.5" customHeight="1">
      <c r="A19" s="3467"/>
      <c r="B19" s="3467" t="s">
        <v>1415</v>
      </c>
      <c r="C19" s="1129" t="s">
        <v>1416</v>
      </c>
      <c r="D19" s="1130"/>
      <c r="E19" s="1152">
        <v>0.9</v>
      </c>
      <c r="F19" s="1131" t="s">
        <v>1417</v>
      </c>
      <c r="G19" s="1132"/>
      <c r="H19" s="1103"/>
      <c r="I19" s="1103"/>
    </row>
    <row r="20" spans="1:9" s="1597" customFormat="1" ht="19.5" customHeight="1">
      <c r="A20" s="3467"/>
      <c r="B20" s="3467"/>
      <c r="C20" s="1129" t="s">
        <v>1418</v>
      </c>
      <c r="D20" s="1130"/>
      <c r="E20" s="1152">
        <v>1.1000000000000001</v>
      </c>
      <c r="F20" s="1131" t="s">
        <v>1419</v>
      </c>
      <c r="G20" s="1132"/>
      <c r="H20" s="1103"/>
      <c r="I20" s="1103"/>
    </row>
    <row r="21" spans="1:9" s="1597" customFormat="1" ht="19.5" customHeight="1">
      <c r="A21" s="3467"/>
      <c r="B21" s="3467"/>
      <c r="C21" s="1129" t="s">
        <v>1420</v>
      </c>
      <c r="D21" s="1130"/>
      <c r="E21" s="1152">
        <v>0.8</v>
      </c>
      <c r="F21" s="1131" t="s">
        <v>1421</v>
      </c>
      <c r="G21" s="1132"/>
      <c r="H21" s="1103"/>
      <c r="I21" s="1103"/>
    </row>
    <row r="22" spans="1:9" s="1597" customFormat="1" ht="19.5" customHeight="1">
      <c r="A22" s="3467"/>
      <c r="B22" s="3467"/>
      <c r="C22" s="1129" t="s">
        <v>1422</v>
      </c>
      <c r="D22" s="1130"/>
      <c r="E22" s="1152">
        <v>0.5</v>
      </c>
      <c r="F22" s="1131"/>
      <c r="G22" s="1132"/>
      <c r="H22" s="1103"/>
      <c r="I22" s="1103"/>
    </row>
    <row r="23" spans="1:9" s="1597" customFormat="1" ht="19.5" customHeight="1">
      <c r="A23" s="3467" t="s">
        <v>995</v>
      </c>
      <c r="B23" s="1152" t="s">
        <v>1412</v>
      </c>
      <c r="C23" s="1129" t="s">
        <v>1423</v>
      </c>
      <c r="D23" s="1130"/>
      <c r="E23" s="1152">
        <v>1</v>
      </c>
      <c r="F23" s="1131" t="s">
        <v>1424</v>
      </c>
      <c r="G23" s="1132"/>
      <c r="H23" s="1103"/>
      <c r="I23" s="1103"/>
    </row>
    <row r="24" spans="1:9" s="1597" customFormat="1" ht="19.5" customHeight="1">
      <c r="A24" s="3467"/>
      <c r="B24" s="3467" t="s">
        <v>1415</v>
      </c>
      <c r="C24" s="1129" t="s">
        <v>1425</v>
      </c>
      <c r="D24" s="1130"/>
      <c r="E24" s="1152">
        <v>0.5</v>
      </c>
      <c r="F24" s="1131"/>
      <c r="G24" s="1132"/>
      <c r="H24" s="1103"/>
      <c r="I24" s="1103"/>
    </row>
    <row r="25" spans="1:9" s="1597" customFormat="1" ht="19.5" customHeight="1">
      <c r="A25" s="3467"/>
      <c r="B25" s="3467"/>
      <c r="C25" s="1129" t="s">
        <v>1426</v>
      </c>
      <c r="D25" s="1130"/>
      <c r="E25" s="1152">
        <v>1.1000000000000001</v>
      </c>
      <c r="F25" s="1131"/>
      <c r="G25" s="1132"/>
      <c r="H25" s="1103"/>
      <c r="I25" s="1103"/>
    </row>
    <row r="26" spans="1:9" s="1597" customFormat="1" ht="19.5" customHeight="1">
      <c r="A26" s="3467"/>
      <c r="B26" s="3467"/>
      <c r="C26" s="1129" t="s">
        <v>1427</v>
      </c>
      <c r="D26" s="1130"/>
      <c r="E26" s="1152">
        <v>1.1000000000000001</v>
      </c>
      <c r="F26" s="1131"/>
      <c r="G26" s="1132"/>
      <c r="H26" s="1103"/>
      <c r="I26" s="1103"/>
    </row>
    <row r="27" spans="1:9" s="1597" customFormat="1" ht="19.5" customHeight="1">
      <c r="A27" s="3467"/>
      <c r="B27" s="3467"/>
      <c r="C27" s="1129" t="s">
        <v>1428</v>
      </c>
      <c r="D27" s="1130"/>
      <c r="E27" s="1152">
        <v>0.9</v>
      </c>
      <c r="F27" s="1131" t="s">
        <v>1429</v>
      </c>
      <c r="G27" s="1132"/>
      <c r="H27" s="1103"/>
      <c r="I27" s="1103"/>
    </row>
    <row r="28" spans="1:9" s="1597" customFormat="1" ht="19.5" customHeight="1">
      <c r="A28" s="3467"/>
      <c r="B28" s="3467"/>
      <c r="C28" s="1129" t="s">
        <v>1430</v>
      </c>
      <c r="D28" s="1130"/>
      <c r="E28" s="1152">
        <v>0.9</v>
      </c>
      <c r="F28" s="1131" t="s">
        <v>1431</v>
      </c>
      <c r="G28" s="1132"/>
      <c r="H28" s="1103"/>
      <c r="I28" s="1103"/>
    </row>
    <row r="29" spans="1:9" s="1597" customFormat="1" ht="19.5" customHeight="1">
      <c r="A29" s="3467"/>
      <c r="B29" s="3467"/>
      <c r="C29" s="1129" t="s">
        <v>1432</v>
      </c>
      <c r="D29" s="1130"/>
      <c r="E29" s="1152">
        <v>0.9</v>
      </c>
      <c r="F29" s="1131" t="s">
        <v>1433</v>
      </c>
      <c r="G29" s="1132"/>
      <c r="H29" s="1103"/>
      <c r="I29" s="1103"/>
    </row>
    <row r="30" spans="1:9" s="1597" customFormat="1" ht="19.5" customHeight="1">
      <c r="A30" s="3467"/>
      <c r="B30" s="3467"/>
      <c r="C30" s="1129" t="s">
        <v>1434</v>
      </c>
      <c r="D30" s="1130"/>
      <c r="E30" s="1152">
        <v>0.9</v>
      </c>
      <c r="F30" s="1131" t="s">
        <v>1435</v>
      </c>
      <c r="G30" s="1132"/>
      <c r="H30" s="1103"/>
      <c r="I30" s="1103"/>
    </row>
    <row r="31" spans="1:9" s="1597" customFormat="1" ht="19.5" customHeight="1">
      <c r="A31" s="3467"/>
      <c r="B31" s="3467"/>
      <c r="C31" s="1129" t="s">
        <v>1436</v>
      </c>
      <c r="D31" s="1130"/>
      <c r="E31" s="1152">
        <v>0.8</v>
      </c>
      <c r="F31" s="1131" t="s">
        <v>1437</v>
      </c>
      <c r="G31" s="1132"/>
      <c r="H31" s="1103"/>
      <c r="I31" s="1103"/>
    </row>
    <row r="32" spans="1:9" s="1597" customFormat="1" ht="19.5" customHeight="1">
      <c r="A32" s="3467"/>
      <c r="B32" s="3467"/>
      <c r="C32" s="1129" t="s">
        <v>1438</v>
      </c>
      <c r="D32" s="1130"/>
      <c r="E32" s="1152">
        <v>0.8</v>
      </c>
      <c r="F32" s="1131" t="s">
        <v>1439</v>
      </c>
      <c r="G32" s="1132"/>
      <c r="H32" s="1103"/>
      <c r="I32" s="1103"/>
    </row>
    <row r="33" spans="1:9" s="1597" customFormat="1" ht="19.5" customHeight="1">
      <c r="A33" s="3467" t="s">
        <v>1440</v>
      </c>
      <c r="B33" s="1152" t="s">
        <v>1412</v>
      </c>
      <c r="C33" s="1129" t="s">
        <v>1441</v>
      </c>
      <c r="D33" s="1130"/>
      <c r="E33" s="1152">
        <v>1</v>
      </c>
      <c r="F33" s="1131" t="s">
        <v>1442</v>
      </c>
      <c r="G33" s="1132"/>
      <c r="H33" s="1103"/>
      <c r="I33" s="1103"/>
    </row>
    <row r="34" spans="1:9" s="1597" customFormat="1" ht="19.5" customHeight="1">
      <c r="A34" s="3467"/>
      <c r="B34" s="1152" t="s">
        <v>1415</v>
      </c>
      <c r="C34" s="1129" t="s">
        <v>1443</v>
      </c>
      <c r="D34" s="1130"/>
      <c r="E34" s="1152">
        <v>1.5</v>
      </c>
      <c r="F34" s="1131" t="s">
        <v>1444</v>
      </c>
      <c r="G34" s="1132"/>
      <c r="H34" s="1103"/>
      <c r="I34" s="1103"/>
    </row>
    <row r="35" spans="1:9" s="1597" customFormat="1" ht="19.5" customHeight="1">
      <c r="A35" s="3467" t="s">
        <v>1398</v>
      </c>
      <c r="B35" s="1152" t="s">
        <v>1412</v>
      </c>
      <c r="C35" s="1129" t="s">
        <v>1445</v>
      </c>
      <c r="D35" s="1130"/>
      <c r="E35" s="1152">
        <v>1</v>
      </c>
      <c r="F35" s="1131" t="s">
        <v>1446</v>
      </c>
      <c r="G35" s="1132"/>
      <c r="H35" s="1103"/>
      <c r="I35" s="1103"/>
    </row>
    <row r="36" spans="1:9" s="1597" customFormat="1" ht="19.5" customHeight="1">
      <c r="A36" s="3467"/>
      <c r="B36" s="3467" t="s">
        <v>1415</v>
      </c>
      <c r="C36" s="1129" t="s">
        <v>1447</v>
      </c>
      <c r="D36" s="1130"/>
      <c r="E36" s="1152">
        <v>1</v>
      </c>
      <c r="F36" s="1131" t="s">
        <v>1448</v>
      </c>
      <c r="G36" s="1132"/>
      <c r="H36" s="1103"/>
      <c r="I36" s="1103"/>
    </row>
    <row r="37" spans="1:9" s="1597" customFormat="1" ht="19.5" customHeight="1">
      <c r="A37" s="3467"/>
      <c r="B37" s="3467"/>
      <c r="C37" s="1129" t="s">
        <v>1449</v>
      </c>
      <c r="D37" s="1130"/>
      <c r="E37" s="1152">
        <v>1.5</v>
      </c>
      <c r="F37" s="1131" t="s">
        <v>1450</v>
      </c>
      <c r="G37" s="1132"/>
      <c r="H37" s="1103"/>
      <c r="I37" s="1103"/>
    </row>
    <row r="38" spans="1:9" s="1597" customFormat="1" ht="19.5" customHeight="1">
      <c r="A38" s="3467"/>
      <c r="B38" s="3467"/>
      <c r="C38" s="1129" t="s">
        <v>1451</v>
      </c>
      <c r="D38" s="1130"/>
      <c r="E38" s="1152">
        <v>1</v>
      </c>
      <c r="F38" s="1131" t="s">
        <v>1452</v>
      </c>
      <c r="G38" s="1132"/>
      <c r="H38" s="1103"/>
      <c r="I38" s="1103"/>
    </row>
    <row r="39" spans="1:9" s="1597" customFormat="1" ht="19.5" customHeight="1">
      <c r="A39" s="3467"/>
      <c r="B39" s="3467"/>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67" t="s">
        <v>1467</v>
      </c>
      <c r="C61" s="1066" t="s">
        <v>1468</v>
      </c>
      <c r="D61" s="1066" t="s">
        <v>1469</v>
      </c>
      <c r="E61" s="1137">
        <v>0.5</v>
      </c>
      <c r="F61" s="1152">
        <v>80</v>
      </c>
      <c r="H61" s="1103">
        <f>SUMIF(C59:C119,基准地价!C8,E59:E119)</f>
        <v>0</v>
      </c>
    </row>
    <row r="62" spans="1:8" s="1103" customFormat="1" ht="24">
      <c r="A62" s="1152">
        <v>2</v>
      </c>
      <c r="B62" s="3467"/>
      <c r="C62" s="1066" t="s">
        <v>1470</v>
      </c>
      <c r="D62" s="1066" t="s">
        <v>1471</v>
      </c>
      <c r="E62" s="1137">
        <v>0.5</v>
      </c>
      <c r="F62" s="1152">
        <v>80</v>
      </c>
    </row>
    <row r="63" spans="1:8" s="1103" customFormat="1" ht="36">
      <c r="A63" s="1152">
        <v>3</v>
      </c>
      <c r="B63" s="3467"/>
      <c r="C63" s="1066" t="s">
        <v>1472</v>
      </c>
      <c r="D63" s="1066" t="s">
        <v>1473</v>
      </c>
      <c r="E63" s="1137">
        <v>0.5</v>
      </c>
      <c r="F63" s="1152">
        <v>80</v>
      </c>
    </row>
    <row r="64" spans="1:8" s="1103" customFormat="1" ht="36">
      <c r="A64" s="1152">
        <v>4</v>
      </c>
      <c r="B64" s="3467"/>
      <c r="C64" s="1066" t="s">
        <v>1474</v>
      </c>
      <c r="D64" s="1066" t="s">
        <v>1475</v>
      </c>
      <c r="E64" s="1137">
        <v>0.4</v>
      </c>
      <c r="F64" s="1152">
        <v>60</v>
      </c>
    </row>
    <row r="65" spans="1:6" s="1103" customFormat="1" ht="36">
      <c r="A65" s="1152">
        <v>5</v>
      </c>
      <c r="B65" s="3467"/>
      <c r="C65" s="1066" t="s">
        <v>1476</v>
      </c>
      <c r="D65" s="1066" t="s">
        <v>1477</v>
      </c>
      <c r="E65" s="1137">
        <v>0.2</v>
      </c>
      <c r="F65" s="1152">
        <v>30</v>
      </c>
    </row>
    <row r="66" spans="1:6" s="1103" customFormat="1" ht="36">
      <c r="A66" s="1152">
        <v>6</v>
      </c>
      <c r="B66" s="3467"/>
      <c r="C66" s="1066" t="s">
        <v>1478</v>
      </c>
      <c r="D66" s="1066" t="s">
        <v>1479</v>
      </c>
      <c r="E66" s="1137">
        <v>0.3</v>
      </c>
      <c r="F66" s="1152">
        <v>50</v>
      </c>
    </row>
    <row r="67" spans="1:6" s="1103" customFormat="1" ht="36">
      <c r="A67" s="1152">
        <v>7</v>
      </c>
      <c r="B67" s="3467"/>
      <c r="C67" s="1066" t="s">
        <v>1480</v>
      </c>
      <c r="D67" s="1066" t="s">
        <v>1481</v>
      </c>
      <c r="E67" s="1137">
        <v>0.2</v>
      </c>
      <c r="F67" s="1152">
        <v>30</v>
      </c>
    </row>
    <row r="68" spans="1:6" s="1103" customFormat="1" ht="36">
      <c r="A68" s="1152">
        <v>8</v>
      </c>
      <c r="B68" s="3467"/>
      <c r="C68" s="1066" t="s">
        <v>1482</v>
      </c>
      <c r="D68" s="1066" t="s">
        <v>1483</v>
      </c>
      <c r="E68" s="1137">
        <v>0.2</v>
      </c>
      <c r="F68" s="1152">
        <v>30</v>
      </c>
    </row>
    <row r="69" spans="1:6" s="1103" customFormat="1" ht="36">
      <c r="A69" s="1152">
        <v>9</v>
      </c>
      <c r="B69" s="3467"/>
      <c r="C69" s="1066" t="s">
        <v>1484</v>
      </c>
      <c r="D69" s="1066" t="s">
        <v>1485</v>
      </c>
      <c r="E69" s="1137">
        <v>0.2</v>
      </c>
      <c r="F69" s="1152">
        <v>30</v>
      </c>
    </row>
    <row r="70" spans="1:6" s="1103" customFormat="1" ht="48">
      <c r="A70" s="1152">
        <v>10</v>
      </c>
      <c r="B70" s="3467"/>
      <c r="C70" s="1066" t="s">
        <v>1486</v>
      </c>
      <c r="D70" s="1066" t="s">
        <v>1487</v>
      </c>
      <c r="E70" s="1137">
        <v>0.2</v>
      </c>
      <c r="F70" s="1152">
        <v>30</v>
      </c>
    </row>
    <row r="71" spans="1:6" s="1103" customFormat="1" ht="48">
      <c r="A71" s="1152">
        <v>11</v>
      </c>
      <c r="B71" s="3467"/>
      <c r="C71" s="1066" t="s">
        <v>1488</v>
      </c>
      <c r="D71" s="1066" t="s">
        <v>1489</v>
      </c>
      <c r="E71" s="1137">
        <v>0.2</v>
      </c>
      <c r="F71" s="1152">
        <v>30</v>
      </c>
    </row>
    <row r="72" spans="1:6" s="1103" customFormat="1" ht="36">
      <c r="A72" s="1152">
        <v>12</v>
      </c>
      <c r="B72" s="3467"/>
      <c r="C72" s="1066" t="s">
        <v>1490</v>
      </c>
      <c r="D72" s="1066" t="s">
        <v>1491</v>
      </c>
      <c r="E72" s="1137">
        <v>0.5</v>
      </c>
      <c r="F72" s="1152">
        <v>80</v>
      </c>
    </row>
    <row r="73" spans="1:6" s="1103" customFormat="1" ht="24">
      <c r="A73" s="1152">
        <v>13</v>
      </c>
      <c r="B73" s="3467"/>
      <c r="C73" s="1066" t="s">
        <v>1492</v>
      </c>
      <c r="D73" s="1066" t="s">
        <v>1493</v>
      </c>
      <c r="E73" s="1137">
        <v>0.4</v>
      </c>
      <c r="F73" s="1152">
        <v>60</v>
      </c>
    </row>
    <row r="74" spans="1:6" s="1103" customFormat="1" ht="24">
      <c r="A74" s="1152">
        <v>14</v>
      </c>
      <c r="B74" s="3467"/>
      <c r="C74" s="1066" t="s">
        <v>1494</v>
      </c>
      <c r="D74" s="1066" t="s">
        <v>1495</v>
      </c>
      <c r="E74" s="1137">
        <v>0.2</v>
      </c>
      <c r="F74" s="1152">
        <v>30</v>
      </c>
    </row>
    <row r="75" spans="1:6" s="1103" customFormat="1" ht="24">
      <c r="A75" s="1152">
        <v>15</v>
      </c>
      <c r="B75" s="3467"/>
      <c r="C75" s="1066" t="s">
        <v>1496</v>
      </c>
      <c r="D75" s="1066" t="s">
        <v>1497</v>
      </c>
      <c r="E75" s="1137">
        <v>0.2</v>
      </c>
      <c r="F75" s="1152">
        <v>30</v>
      </c>
    </row>
    <row r="76" spans="1:6" s="1103" customFormat="1" ht="24">
      <c r="A76" s="1152">
        <v>16</v>
      </c>
      <c r="B76" s="3467" t="s">
        <v>1498</v>
      </c>
      <c r="C76" s="1066" t="s">
        <v>1499</v>
      </c>
      <c r="D76" s="1066" t="s">
        <v>1500</v>
      </c>
      <c r="E76" s="1137">
        <v>0.5</v>
      </c>
      <c r="F76" s="1152">
        <v>80</v>
      </c>
    </row>
    <row r="77" spans="1:6" s="1103" customFormat="1" ht="24">
      <c r="A77" s="1152">
        <v>17</v>
      </c>
      <c r="B77" s="3467"/>
      <c r="C77" s="1066" t="s">
        <v>1501</v>
      </c>
      <c r="D77" s="1066" t="s">
        <v>1502</v>
      </c>
      <c r="E77" s="1137">
        <v>0.5</v>
      </c>
      <c r="F77" s="1152">
        <v>80</v>
      </c>
    </row>
    <row r="78" spans="1:6" s="1103" customFormat="1" ht="24">
      <c r="A78" s="1152">
        <v>18</v>
      </c>
      <c r="B78" s="3467"/>
      <c r="C78" s="1066" t="s">
        <v>1503</v>
      </c>
      <c r="D78" s="1066" t="s">
        <v>1504</v>
      </c>
      <c r="E78" s="1137">
        <v>0.2</v>
      </c>
      <c r="F78" s="1152">
        <v>30</v>
      </c>
    </row>
    <row r="79" spans="1:6" s="1103" customFormat="1" ht="24">
      <c r="A79" s="1152">
        <v>19</v>
      </c>
      <c r="B79" s="3467"/>
      <c r="C79" s="1066" t="s">
        <v>1505</v>
      </c>
      <c r="D79" s="1066" t="s">
        <v>1506</v>
      </c>
      <c r="E79" s="1137">
        <v>0.5</v>
      </c>
      <c r="F79" s="1152">
        <v>80</v>
      </c>
    </row>
    <row r="80" spans="1:6" s="1103" customFormat="1" ht="36">
      <c r="A80" s="1152">
        <v>20</v>
      </c>
      <c r="B80" s="3467"/>
      <c r="C80" s="1066" t="s">
        <v>1507</v>
      </c>
      <c r="D80" s="1066" t="s">
        <v>1508</v>
      </c>
      <c r="E80" s="1137">
        <v>0.2</v>
      </c>
      <c r="F80" s="1152">
        <v>30</v>
      </c>
    </row>
    <row r="81" spans="1:6" s="1103" customFormat="1" ht="36">
      <c r="A81" s="1152">
        <v>21</v>
      </c>
      <c r="B81" s="3467"/>
      <c r="C81" s="1066" t="s">
        <v>1509</v>
      </c>
      <c r="D81" s="1066" t="s">
        <v>1510</v>
      </c>
      <c r="E81" s="1137">
        <v>0.2</v>
      </c>
      <c r="F81" s="1152">
        <v>30</v>
      </c>
    </row>
    <row r="82" spans="1:6" s="1103" customFormat="1" ht="48">
      <c r="A82" s="1152">
        <v>22</v>
      </c>
      <c r="B82" s="3467"/>
      <c r="C82" s="1066" t="s">
        <v>1511</v>
      </c>
      <c r="D82" s="1066" t="s">
        <v>1512</v>
      </c>
      <c r="E82" s="1137">
        <v>0.2</v>
      </c>
      <c r="F82" s="1152">
        <v>30</v>
      </c>
    </row>
    <row r="83" spans="1:6" s="1103" customFormat="1" ht="48">
      <c r="A83" s="1152">
        <v>23</v>
      </c>
      <c r="B83" s="3467"/>
      <c r="C83" s="1066" t="s">
        <v>1513</v>
      </c>
      <c r="D83" s="1066" t="s">
        <v>1514</v>
      </c>
      <c r="E83" s="1137">
        <v>0.2</v>
      </c>
      <c r="F83" s="1152">
        <v>30</v>
      </c>
    </row>
    <row r="84" spans="1:6" s="1103" customFormat="1" ht="36">
      <c r="A84" s="1152">
        <v>24</v>
      </c>
      <c r="B84" s="3467"/>
      <c r="C84" s="1066" t="s">
        <v>1515</v>
      </c>
      <c r="D84" s="1066" t="s">
        <v>1516</v>
      </c>
      <c r="E84" s="1137">
        <v>0.2</v>
      </c>
      <c r="F84" s="1152">
        <v>30</v>
      </c>
    </row>
    <row r="85" spans="1:6" s="1103" customFormat="1" ht="36">
      <c r="A85" s="1152">
        <v>25</v>
      </c>
      <c r="B85" s="3467"/>
      <c r="C85" s="1066" t="s">
        <v>1517</v>
      </c>
      <c r="D85" s="1066" t="s">
        <v>1518</v>
      </c>
      <c r="E85" s="1137">
        <v>0.5</v>
      </c>
      <c r="F85" s="1152">
        <v>80</v>
      </c>
    </row>
    <row r="86" spans="1:6" s="1103" customFormat="1" ht="36">
      <c r="A86" s="1152">
        <v>26</v>
      </c>
      <c r="B86" s="3467"/>
      <c r="C86" s="1066" t="s">
        <v>1519</v>
      </c>
      <c r="D86" s="1066" t="s">
        <v>1520</v>
      </c>
      <c r="E86" s="1137">
        <v>0.2</v>
      </c>
      <c r="F86" s="1152">
        <v>30</v>
      </c>
    </row>
    <row r="87" spans="1:6" s="1103" customFormat="1" ht="36">
      <c r="A87" s="1152">
        <v>27</v>
      </c>
      <c r="B87" s="3467"/>
      <c r="C87" s="1066" t="s">
        <v>1521</v>
      </c>
      <c r="D87" s="1066" t="s">
        <v>1522</v>
      </c>
      <c r="E87" s="1137">
        <v>0.2</v>
      </c>
      <c r="F87" s="1152">
        <v>30</v>
      </c>
    </row>
    <row r="88" spans="1:6" s="1103" customFormat="1" ht="36">
      <c r="A88" s="1152">
        <v>28</v>
      </c>
      <c r="B88" s="3467"/>
      <c r="C88" s="1066" t="s">
        <v>1523</v>
      </c>
      <c r="D88" s="1066" t="s">
        <v>1524</v>
      </c>
      <c r="E88" s="1137">
        <v>0.2</v>
      </c>
      <c r="F88" s="1152">
        <v>30</v>
      </c>
    </row>
    <row r="89" spans="1:6" s="1103" customFormat="1" ht="24">
      <c r="A89" s="1152">
        <v>29</v>
      </c>
      <c r="B89" s="3467"/>
      <c r="C89" s="1066" t="s">
        <v>1525</v>
      </c>
      <c r="D89" s="1066" t="s">
        <v>1526</v>
      </c>
      <c r="E89" s="1137">
        <v>0.2</v>
      </c>
      <c r="F89" s="1152">
        <v>30</v>
      </c>
    </row>
    <row r="90" spans="1:6" s="1103" customFormat="1" ht="24">
      <c r="A90" s="1152">
        <v>30</v>
      </c>
      <c r="B90" s="3467"/>
      <c r="C90" s="1066" t="s">
        <v>1527</v>
      </c>
      <c r="D90" s="1066" t="s">
        <v>1528</v>
      </c>
      <c r="E90" s="1137">
        <v>0.2</v>
      </c>
      <c r="F90" s="1152">
        <v>30</v>
      </c>
    </row>
    <row r="91" spans="1:6" s="1103" customFormat="1" ht="36">
      <c r="A91" s="1152">
        <v>31</v>
      </c>
      <c r="B91" s="3467"/>
      <c r="C91" s="1066" t="s">
        <v>1529</v>
      </c>
      <c r="D91" s="1066" t="s">
        <v>1530</v>
      </c>
      <c r="E91" s="1137">
        <v>0.2</v>
      </c>
      <c r="F91" s="1152">
        <v>30</v>
      </c>
    </row>
    <row r="92" spans="1:6" s="1103" customFormat="1" ht="24">
      <c r="A92" s="1152">
        <v>32</v>
      </c>
      <c r="B92" s="3467" t="s">
        <v>1531</v>
      </c>
      <c r="C92" s="1152" t="s">
        <v>1532</v>
      </c>
      <c r="D92" s="1066" t="s">
        <v>1533</v>
      </c>
      <c r="E92" s="1137">
        <v>0.2</v>
      </c>
      <c r="F92" s="1152">
        <v>30</v>
      </c>
    </row>
    <row r="93" spans="1:6" s="1103" customFormat="1" ht="36">
      <c r="A93" s="1152">
        <v>33</v>
      </c>
      <c r="B93" s="3467"/>
      <c r="C93" s="1152" t="s">
        <v>1534</v>
      </c>
      <c r="D93" s="1066" t="s">
        <v>1535</v>
      </c>
      <c r="E93" s="1137">
        <v>0.2</v>
      </c>
      <c r="F93" s="1152">
        <v>30</v>
      </c>
    </row>
    <row r="94" spans="1:6" s="1103" customFormat="1" ht="48">
      <c r="A94" s="1152">
        <v>34</v>
      </c>
      <c r="B94" s="3467"/>
      <c r="C94" s="1152" t="s">
        <v>1536</v>
      </c>
      <c r="D94" s="1066" t="s">
        <v>1537</v>
      </c>
      <c r="E94" s="1137">
        <v>0.2</v>
      </c>
      <c r="F94" s="1152">
        <v>30</v>
      </c>
    </row>
    <row r="95" spans="1:6" s="1103" customFormat="1" ht="36">
      <c r="A95" s="1152">
        <v>35</v>
      </c>
      <c r="B95" s="3467"/>
      <c r="C95" s="1152" t="s">
        <v>1538</v>
      </c>
      <c r="D95" s="1066" t="s">
        <v>1539</v>
      </c>
      <c r="E95" s="1137">
        <v>0.2</v>
      </c>
      <c r="F95" s="1152">
        <v>30</v>
      </c>
    </row>
    <row r="96" spans="1:6" s="1103" customFormat="1" ht="48">
      <c r="A96" s="1152">
        <v>36</v>
      </c>
      <c r="B96" s="3467"/>
      <c r="C96" s="1066" t="s">
        <v>1540</v>
      </c>
      <c r="D96" s="1066" t="s">
        <v>1541</v>
      </c>
      <c r="E96" s="1137">
        <v>0.2</v>
      </c>
      <c r="F96" s="1152">
        <v>30</v>
      </c>
    </row>
    <row r="97" spans="1:6" s="1103" customFormat="1" ht="36">
      <c r="A97" s="1152">
        <v>37</v>
      </c>
      <c r="B97" s="3467"/>
      <c r="C97" s="1152" t="s">
        <v>1542</v>
      </c>
      <c r="D97" s="1066" t="s">
        <v>1543</v>
      </c>
      <c r="E97" s="1137">
        <v>0.2</v>
      </c>
      <c r="F97" s="1152">
        <v>30</v>
      </c>
    </row>
    <row r="98" spans="1:6" s="1103" customFormat="1" ht="36">
      <c r="A98" s="1152">
        <v>38</v>
      </c>
      <c r="B98" s="3467"/>
      <c r="C98" s="1152" t="s">
        <v>1544</v>
      </c>
      <c r="D98" s="1066" t="s">
        <v>1545</v>
      </c>
      <c r="E98" s="1137">
        <v>0.2</v>
      </c>
      <c r="F98" s="1152">
        <v>30</v>
      </c>
    </row>
    <row r="99" spans="1:6" s="1103" customFormat="1" ht="36">
      <c r="A99" s="1152">
        <v>39</v>
      </c>
      <c r="B99" s="3467" t="s">
        <v>1546</v>
      </c>
      <c r="C99" s="1152" t="s">
        <v>1547</v>
      </c>
      <c r="D99" s="1066" t="s">
        <v>1548</v>
      </c>
      <c r="E99" s="1137">
        <v>0.3</v>
      </c>
      <c r="F99" s="1152">
        <v>50</v>
      </c>
    </row>
    <row r="100" spans="1:6" s="1103" customFormat="1" ht="24">
      <c r="A100" s="1152">
        <v>40</v>
      </c>
      <c r="B100" s="3467"/>
      <c r="C100" s="1152" t="s">
        <v>1549</v>
      </c>
      <c r="D100" s="1066" t="s">
        <v>1550</v>
      </c>
      <c r="E100" s="1137">
        <v>0.2</v>
      </c>
      <c r="F100" s="1152">
        <v>30</v>
      </c>
    </row>
    <row r="101" spans="1:6" s="1103" customFormat="1" ht="36">
      <c r="A101" s="1152">
        <v>41</v>
      </c>
      <c r="B101" s="3467"/>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67" t="s">
        <v>1561</v>
      </c>
      <c r="C105" s="1152" t="s">
        <v>1562</v>
      </c>
      <c r="D105" s="1066" t="s">
        <v>1563</v>
      </c>
      <c r="E105" s="1137">
        <v>0.2</v>
      </c>
      <c r="F105" s="1152">
        <v>30</v>
      </c>
    </row>
    <row r="106" spans="1:6" s="1103" customFormat="1" ht="36">
      <c r="A106" s="1152">
        <v>46</v>
      </c>
      <c r="B106" s="3467"/>
      <c r="C106" s="1152" t="s">
        <v>1564</v>
      </c>
      <c r="D106" s="1066" t="s">
        <v>1565</v>
      </c>
      <c r="E106" s="1137">
        <v>0.2</v>
      </c>
      <c r="F106" s="1152">
        <v>30</v>
      </c>
    </row>
    <row r="107" spans="1:6" s="1103" customFormat="1" ht="36">
      <c r="A107" s="1152">
        <v>47</v>
      </c>
      <c r="B107" s="3467" t="s">
        <v>1566</v>
      </c>
      <c r="C107" s="1152" t="s">
        <v>1567</v>
      </c>
      <c r="D107" s="1066" t="s">
        <v>1568</v>
      </c>
      <c r="E107" s="1137">
        <v>0.3</v>
      </c>
      <c r="F107" s="1152">
        <v>50</v>
      </c>
    </row>
    <row r="108" spans="1:6" s="1103" customFormat="1" ht="36">
      <c r="A108" s="1152">
        <v>48</v>
      </c>
      <c r="B108" s="3467"/>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67" t="s">
        <v>1577</v>
      </c>
      <c r="C111" s="1152" t="s">
        <v>1578</v>
      </c>
      <c r="D111" s="1066" t="s">
        <v>1579</v>
      </c>
      <c r="E111" s="1137">
        <v>0.2</v>
      </c>
      <c r="F111" s="1152">
        <v>30</v>
      </c>
    </row>
    <row r="112" spans="1:6" s="1103" customFormat="1" ht="24">
      <c r="A112" s="1152">
        <v>52</v>
      </c>
      <c r="B112" s="3467"/>
      <c r="C112" s="1152" t="s">
        <v>1580</v>
      </c>
      <c r="D112" s="1066" t="s">
        <v>1581</v>
      </c>
      <c r="E112" s="1137">
        <v>0.2</v>
      </c>
      <c r="F112" s="1152">
        <v>30</v>
      </c>
    </row>
    <row r="113" spans="1:14" s="1103" customFormat="1" ht="24">
      <c r="A113" s="1152">
        <v>53</v>
      </c>
      <c r="B113" s="3467"/>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67" t="s">
        <v>1590</v>
      </c>
      <c r="C116" s="1152" t="s">
        <v>1591</v>
      </c>
      <c r="D116" s="1066" t="s">
        <v>1592</v>
      </c>
      <c r="E116" s="1137">
        <v>0.2</v>
      </c>
      <c r="F116" s="1152">
        <v>30</v>
      </c>
    </row>
    <row r="117" spans="1:14" ht="36">
      <c r="A117" s="1152">
        <v>57</v>
      </c>
      <c r="B117" s="3467"/>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66" t="s">
        <v>1599</v>
      </c>
      <c r="B121" s="3466"/>
      <c r="C121" s="3466"/>
      <c r="D121" s="3466"/>
      <c r="E121" s="3466"/>
      <c r="F121" s="3466"/>
      <c r="G121" s="3466"/>
      <c r="H121" s="3466"/>
      <c r="I121" s="3466"/>
      <c r="J121" s="346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9" t="s">
        <v>1005</v>
      </c>
      <c r="B1" s="3479"/>
      <c r="C1" s="3479"/>
      <c r="D1" s="3479"/>
      <c r="E1" s="3479"/>
      <c r="F1" s="3479"/>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80" t="s">
        <v>1018</v>
      </c>
      <c r="B2" s="3480"/>
      <c r="C2" s="3480"/>
      <c r="D2" s="3480"/>
      <c r="E2" s="3480"/>
      <c r="F2" s="3480"/>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81"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82"/>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2385</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2386</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83" t="s">
        <v>2042</v>
      </c>
      <c r="B1" s="3483"/>
    </row>
    <row r="2" spans="1:6" ht="14.25" thickBot="1">
      <c r="A2" s="1848"/>
      <c r="B2" s="1848"/>
    </row>
    <row r="3" spans="1:6" ht="14.25" thickBot="1">
      <c r="A3" s="1848"/>
      <c r="B3" s="1848"/>
      <c r="C3" s="1849" t="s">
        <v>2043</v>
      </c>
      <c r="D3" s="1849" t="s">
        <v>2044</v>
      </c>
      <c r="E3" s="1849" t="s">
        <v>2045</v>
      </c>
      <c r="F3" s="1849" t="s">
        <v>2046</v>
      </c>
    </row>
    <row r="4" spans="1:6" ht="14.25" thickBot="1">
      <c r="A4" s="1850" t="s">
        <v>2047</v>
      </c>
      <c r="B4" s="1851" t="s">
        <v>2048</v>
      </c>
      <c r="C4" s="1849"/>
      <c r="D4" s="1849"/>
      <c r="E4" s="1849"/>
      <c r="F4" s="1849"/>
    </row>
    <row r="5" spans="1:6" ht="14.25" thickBot="1">
      <c r="A5" s="1852" t="s">
        <v>2049</v>
      </c>
      <c r="B5" s="1853" t="s">
        <v>2050</v>
      </c>
      <c r="C5" s="1854">
        <v>8.8999999999999996E-2</v>
      </c>
      <c r="D5" s="1854">
        <v>7.3999999999999996E-2</v>
      </c>
      <c r="E5" s="1854">
        <v>7.4999999999999997E-2</v>
      </c>
      <c r="F5" s="1855">
        <v>0.1</v>
      </c>
    </row>
    <row r="6" spans="1:6" ht="14.25" thickBot="1">
      <c r="A6" s="1852" t="s">
        <v>1062</v>
      </c>
      <c r="B6" s="1856" t="s">
        <v>2051</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2052</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2053</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2054</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2055</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2056</v>
      </c>
      <c r="C72" s="1866"/>
      <c r="D72" s="1866"/>
      <c r="E72" s="1866"/>
      <c r="F72" s="1858">
        <v>0.05</v>
      </c>
    </row>
    <row r="73" spans="1:6" ht="14.25" thickBot="1">
      <c r="A73" s="1852" t="s">
        <v>890</v>
      </c>
      <c r="B73" s="1856" t="s">
        <v>2057</v>
      </c>
      <c r="C73" s="1866"/>
      <c r="D73" s="1866"/>
      <c r="E73" s="1866"/>
      <c r="F73" s="1858">
        <v>0.05</v>
      </c>
    </row>
    <row r="74" spans="1:6" ht="14.25" thickBot="1">
      <c r="A74" s="1852" t="s">
        <v>890</v>
      </c>
      <c r="B74" s="1856" t="s">
        <v>2058</v>
      </c>
      <c r="C74" s="1866"/>
      <c r="D74" s="1866"/>
      <c r="E74" s="1866"/>
      <c r="F74" s="1858">
        <v>0.05</v>
      </c>
    </row>
    <row r="75" spans="1:6" ht="14.25" thickBot="1">
      <c r="A75" s="1860" t="s">
        <v>890</v>
      </c>
      <c r="B75" s="1867" t="s">
        <v>2059</v>
      </c>
      <c r="C75" s="1863"/>
      <c r="D75" s="1863"/>
      <c r="E75" s="1863"/>
      <c r="F75" s="1868">
        <v>0.05</v>
      </c>
    </row>
    <row r="76" spans="1:6" ht="14.25" thickBot="1">
      <c r="A76" s="1852" t="s">
        <v>1373</v>
      </c>
      <c r="B76" s="1853" t="s">
        <v>2060</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2061</v>
      </c>
      <c r="C102" s="1866"/>
      <c r="D102" s="1866"/>
      <c r="E102" s="1866"/>
      <c r="F102" s="1858">
        <v>0.05</v>
      </c>
    </row>
    <row r="103" spans="1:6" ht="24.75" thickBot="1">
      <c r="A103" s="1852" t="s">
        <v>1373</v>
      </c>
      <c r="B103" s="1856" t="s">
        <v>2062</v>
      </c>
      <c r="C103" s="1866"/>
      <c r="D103" s="1866"/>
      <c r="E103" s="1866"/>
      <c r="F103" s="1858">
        <v>0.05</v>
      </c>
    </row>
    <row r="104" spans="1:6" ht="14.25" thickBot="1">
      <c r="A104" s="1852" t="s">
        <v>1373</v>
      </c>
      <c r="B104" s="1856" t="s">
        <v>2063</v>
      </c>
      <c r="C104" s="1866"/>
      <c r="D104" s="1866"/>
      <c r="E104" s="1866"/>
      <c r="F104" s="1858">
        <v>0.05</v>
      </c>
    </row>
    <row r="105" spans="1:6" ht="14.25" thickBot="1">
      <c r="A105" s="1852" t="s">
        <v>1373</v>
      </c>
      <c r="B105" s="1856" t="s">
        <v>2064</v>
      </c>
      <c r="C105" s="1866"/>
      <c r="D105" s="1866"/>
      <c r="E105" s="1866"/>
      <c r="F105" s="1858">
        <v>0.05</v>
      </c>
    </row>
    <row r="106" spans="1:6" ht="14.25" thickBot="1">
      <c r="A106" s="1852" t="s">
        <v>1373</v>
      </c>
      <c r="B106" s="1856" t="s">
        <v>2065</v>
      </c>
      <c r="C106" s="1866"/>
      <c r="D106" s="1866"/>
      <c r="E106" s="1866"/>
      <c r="F106" s="1858">
        <v>0.05</v>
      </c>
    </row>
    <row r="107" spans="1:6" ht="24.75" thickBot="1">
      <c r="A107" s="1852" t="s">
        <v>1373</v>
      </c>
      <c r="B107" s="1856" t="s">
        <v>2066</v>
      </c>
      <c r="C107" s="1866"/>
      <c r="D107" s="1866"/>
      <c r="E107" s="1866"/>
      <c r="F107" s="1858">
        <v>0.05</v>
      </c>
    </row>
    <row r="108" spans="1:6" ht="24.75" thickBot="1">
      <c r="A108" s="1852" t="s">
        <v>1373</v>
      </c>
      <c r="B108" s="1856" t="s">
        <v>2067</v>
      </c>
      <c r="C108" s="1866"/>
      <c r="D108" s="1866"/>
      <c r="E108" s="1866"/>
      <c r="F108" s="1858">
        <v>0.05</v>
      </c>
    </row>
    <row r="109" spans="1:6" ht="24.75" thickBot="1">
      <c r="A109" s="1860" t="s">
        <v>1373</v>
      </c>
      <c r="B109" s="1867" t="s">
        <v>2068</v>
      </c>
      <c r="C109" s="1863"/>
      <c r="D109" s="1863"/>
      <c r="E109" s="1863"/>
      <c r="F109" s="1868">
        <v>0.05</v>
      </c>
    </row>
    <row r="110" spans="1:6" ht="14.25" thickBot="1">
      <c r="A110" s="1852" t="s">
        <v>1375</v>
      </c>
      <c r="B110" s="1853" t="s">
        <v>2069</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2070</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2071</v>
      </c>
      <c r="C138" s="1857">
        <v>0.105</v>
      </c>
      <c r="D138" s="1857">
        <v>0.125</v>
      </c>
      <c r="E138" s="1857">
        <v>0.112</v>
      </c>
      <c r="F138" s="1865"/>
    </row>
    <row r="139" spans="1:6" ht="14.25" thickBot="1">
      <c r="A139" s="1852" t="s">
        <v>1375</v>
      </c>
      <c r="B139" s="1856" t="s">
        <v>2072</v>
      </c>
      <c r="C139" s="1857">
        <v>0.127</v>
      </c>
      <c r="D139" s="1857">
        <v>0.127</v>
      </c>
      <c r="E139" s="1857">
        <v>0.122</v>
      </c>
      <c r="F139" s="1858">
        <v>0.13</v>
      </c>
    </row>
    <row r="140" spans="1:6" ht="14.25" thickBot="1">
      <c r="A140" s="1852" t="s">
        <v>1375</v>
      </c>
      <c r="B140" s="1856" t="s">
        <v>2073</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2074</v>
      </c>
      <c r="C144" s="1870">
        <v>0.126</v>
      </c>
      <c r="D144" s="1870">
        <v>0.126</v>
      </c>
      <c r="E144" s="1870">
        <v>0.121</v>
      </c>
      <c r="F144" s="1865"/>
    </row>
    <row r="145" spans="1:6" ht="14.25" thickBot="1">
      <c r="A145" s="1860" t="s">
        <v>1375</v>
      </c>
      <c r="B145" s="1871" t="s">
        <v>2075</v>
      </c>
      <c r="C145" s="1872"/>
      <c r="D145" s="1872"/>
      <c r="E145" s="1872"/>
      <c r="F145" s="1873">
        <v>0.05</v>
      </c>
    </row>
    <row r="146" spans="1:6" ht="24.75" thickBot="1">
      <c r="A146" s="1874" t="s">
        <v>1375</v>
      </c>
      <c r="B146" s="1859" t="s">
        <v>2076</v>
      </c>
      <c r="C146" s="1866"/>
      <c r="D146" s="1866"/>
      <c r="E146" s="1866"/>
      <c r="F146" s="1875">
        <v>0.05</v>
      </c>
    </row>
    <row r="147" spans="1:6" ht="24.75" thickBot="1">
      <c r="A147" s="1852" t="s">
        <v>1375</v>
      </c>
      <c r="B147" s="1856" t="s">
        <v>2077</v>
      </c>
      <c r="C147" s="1866"/>
      <c r="D147" s="1866"/>
      <c r="E147" s="1866"/>
      <c r="F147" s="1858">
        <v>0.05</v>
      </c>
    </row>
    <row r="148" spans="1:6" ht="24.75" thickBot="1">
      <c r="A148" s="1852" t="s">
        <v>1375</v>
      </c>
      <c r="B148" s="1856" t="s">
        <v>2078</v>
      </c>
      <c r="C148" s="1866"/>
      <c r="D148" s="1866"/>
      <c r="E148" s="1866"/>
      <c r="F148" s="1858">
        <v>0.05</v>
      </c>
    </row>
    <row r="149" spans="1:6" ht="24.75" thickBot="1">
      <c r="A149" s="1852" t="s">
        <v>1375</v>
      </c>
      <c r="B149" s="1856" t="s">
        <v>2079</v>
      </c>
      <c r="C149" s="1866"/>
      <c r="D149" s="1866"/>
      <c r="E149" s="1866"/>
      <c r="F149" s="1858">
        <v>0.05</v>
      </c>
    </row>
    <row r="150" spans="1:6" ht="24.75" thickBot="1">
      <c r="A150" s="1852" t="s">
        <v>1375</v>
      </c>
      <c r="B150" s="1856" t="s">
        <v>2080</v>
      </c>
      <c r="C150" s="1866"/>
      <c r="D150" s="1866"/>
      <c r="E150" s="1866"/>
      <c r="F150" s="1858">
        <v>0.05</v>
      </c>
    </row>
    <row r="151" spans="1:6" ht="24.75" thickBot="1">
      <c r="A151" s="1852" t="s">
        <v>1375</v>
      </c>
      <c r="B151" s="1856" t="s">
        <v>2081</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2082</v>
      </c>
      <c r="C153" s="1866"/>
      <c r="D153" s="1866"/>
      <c r="E153" s="1866"/>
      <c r="F153" s="1858">
        <v>0.05</v>
      </c>
    </row>
    <row r="154" spans="1:6" ht="14.25" thickBot="1">
      <c r="A154" s="1852" t="s">
        <v>1375</v>
      </c>
      <c r="B154" s="1856" t="s">
        <v>2083</v>
      </c>
      <c r="C154" s="1866"/>
      <c r="D154" s="1866"/>
      <c r="E154" s="1866"/>
      <c r="F154" s="1858">
        <v>0.05</v>
      </c>
    </row>
    <row r="155" spans="1:6" ht="24.75" thickBot="1">
      <c r="A155" s="1852" t="s">
        <v>1375</v>
      </c>
      <c r="B155" s="1856" t="s">
        <v>2084</v>
      </c>
      <c r="C155" s="1866"/>
      <c r="D155" s="1866"/>
      <c r="E155" s="1866"/>
      <c r="F155" s="1858">
        <v>0.05</v>
      </c>
    </row>
    <row r="156" spans="1:6" ht="24.75" thickBot="1">
      <c r="A156" s="1852" t="s">
        <v>1375</v>
      </c>
      <c r="B156" s="1856" t="s">
        <v>2085</v>
      </c>
      <c r="C156" s="1866"/>
      <c r="D156" s="1866"/>
      <c r="E156" s="1866"/>
      <c r="F156" s="1858">
        <v>0.05</v>
      </c>
    </row>
    <row r="157" spans="1:6" ht="14.25" thickBot="1">
      <c r="A157" s="1860" t="s">
        <v>1375</v>
      </c>
      <c r="B157" s="1867" t="s">
        <v>2086</v>
      </c>
      <c r="C157" s="1863"/>
      <c r="D157" s="1863"/>
      <c r="E157" s="1863"/>
      <c r="F157" s="1868">
        <v>0.05</v>
      </c>
    </row>
    <row r="158" spans="1:6" ht="14.25" thickBot="1">
      <c r="A158" s="1852" t="s">
        <v>1377</v>
      </c>
      <c r="B158" s="1853" t="s">
        <v>2087</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2088</v>
      </c>
      <c r="C171" s="1857">
        <v>0.127</v>
      </c>
      <c r="D171" s="1857">
        <v>0.126</v>
      </c>
      <c r="E171" s="1857">
        <v>0.126</v>
      </c>
      <c r="F171" s="1858">
        <v>0.11799999999999999</v>
      </c>
    </row>
    <row r="172" spans="1:6" ht="14.25" thickBot="1">
      <c r="A172" s="1852" t="s">
        <v>1377</v>
      </c>
      <c r="B172" s="1856" t="s">
        <v>2089</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2090</v>
      </c>
      <c r="C174" s="1857">
        <v>0.13</v>
      </c>
      <c r="D174" s="1857">
        <v>0.13</v>
      </c>
      <c r="E174" s="1857">
        <v>0.13</v>
      </c>
      <c r="F174" s="1858">
        <v>0.13</v>
      </c>
    </row>
    <row r="175" spans="1:6" ht="14.25" thickBot="1">
      <c r="A175" s="1852" t="s">
        <v>1377</v>
      </c>
      <c r="B175" s="1856" t="s">
        <v>2091</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2092</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2093</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2094</v>
      </c>
      <c r="C185" s="1857">
        <v>0.127</v>
      </c>
      <c r="D185" s="1857">
        <v>0.127</v>
      </c>
      <c r="E185" s="1857">
        <v>0.128</v>
      </c>
      <c r="F185" s="1858">
        <v>0.13</v>
      </c>
    </row>
    <row r="186" spans="1:6" ht="24.75" thickBot="1">
      <c r="A186" s="1852" t="s">
        <v>1377</v>
      </c>
      <c r="B186" s="1856" t="s">
        <v>2095</v>
      </c>
      <c r="C186" s="1866"/>
      <c r="D186" s="1866"/>
      <c r="E186" s="1866"/>
      <c r="F186" s="1858">
        <v>0.05</v>
      </c>
    </row>
    <row r="187" spans="1:6" ht="14.25" thickBot="1">
      <c r="A187" s="1852" t="s">
        <v>1377</v>
      </c>
      <c r="B187" s="1856" t="s">
        <v>2096</v>
      </c>
      <c r="C187" s="1866"/>
      <c r="D187" s="1866"/>
      <c r="E187" s="1866"/>
      <c r="F187" s="1858">
        <v>0.05</v>
      </c>
    </row>
    <row r="188" spans="1:6" ht="14.25" thickBot="1">
      <c r="A188" s="1852" t="s">
        <v>1377</v>
      </c>
      <c r="B188" s="1856" t="s">
        <v>2097</v>
      </c>
      <c r="C188" s="1866"/>
      <c r="D188" s="1866"/>
      <c r="E188" s="1866"/>
      <c r="F188" s="1858">
        <v>0.05</v>
      </c>
    </row>
    <row r="189" spans="1:6" ht="24.75" thickBot="1">
      <c r="A189" s="1852" t="s">
        <v>1377</v>
      </c>
      <c r="B189" s="1856" t="s">
        <v>2098</v>
      </c>
      <c r="C189" s="1866"/>
      <c r="D189" s="1866"/>
      <c r="E189" s="1866"/>
      <c r="F189" s="1858">
        <v>0.05</v>
      </c>
    </row>
    <row r="190" spans="1:6" ht="24.75" thickBot="1">
      <c r="A190" s="1852" t="s">
        <v>1377</v>
      </c>
      <c r="B190" s="1856" t="s">
        <v>2099</v>
      </c>
      <c r="C190" s="1866"/>
      <c r="D190" s="1866"/>
      <c r="E190" s="1866"/>
      <c r="F190" s="1858">
        <v>0.05</v>
      </c>
    </row>
    <row r="191" spans="1:6" ht="24.75" thickBot="1">
      <c r="A191" s="1852" t="s">
        <v>1377</v>
      </c>
      <c r="B191" s="1856" t="s">
        <v>2100</v>
      </c>
      <c r="C191" s="1866"/>
      <c r="D191" s="1866"/>
      <c r="E191" s="1866"/>
      <c r="F191" s="1858">
        <v>0.05</v>
      </c>
    </row>
    <row r="192" spans="1:6" ht="24.75" thickBot="1">
      <c r="A192" s="1852" t="s">
        <v>1377</v>
      </c>
      <c r="B192" s="1856" t="s">
        <v>2101</v>
      </c>
      <c r="C192" s="1866"/>
      <c r="D192" s="1866"/>
      <c r="E192" s="1866"/>
      <c r="F192" s="1858">
        <v>0.05</v>
      </c>
    </row>
    <row r="193" spans="1:6" ht="24.75" thickBot="1">
      <c r="A193" s="1852" t="s">
        <v>1377</v>
      </c>
      <c r="B193" s="1856" t="s">
        <v>2102</v>
      </c>
      <c r="C193" s="1866"/>
      <c r="D193" s="1866"/>
      <c r="E193" s="1866"/>
      <c r="F193" s="1858">
        <v>0.05</v>
      </c>
    </row>
    <row r="194" spans="1:6" ht="24.75" thickBot="1">
      <c r="A194" s="1852" t="s">
        <v>1377</v>
      </c>
      <c r="B194" s="1856" t="s">
        <v>2103</v>
      </c>
      <c r="C194" s="1866"/>
      <c r="D194" s="1866"/>
      <c r="E194" s="1866"/>
      <c r="F194" s="1858">
        <v>0.05</v>
      </c>
    </row>
    <row r="195" spans="1:6" ht="14.25" thickBot="1">
      <c r="A195" s="1852" t="s">
        <v>1377</v>
      </c>
      <c r="B195" s="1856" t="s">
        <v>2104</v>
      </c>
      <c r="C195" s="1866"/>
      <c r="D195" s="1866"/>
      <c r="E195" s="1866"/>
      <c r="F195" s="1858">
        <v>0.05</v>
      </c>
    </row>
    <row r="196" spans="1:6" ht="24.75" thickBot="1">
      <c r="A196" s="1852" t="s">
        <v>1377</v>
      </c>
      <c r="B196" s="1856" t="s">
        <v>2105</v>
      </c>
      <c r="C196" s="1866"/>
      <c r="D196" s="1866"/>
      <c r="E196" s="1866"/>
      <c r="F196" s="1858">
        <v>0.05</v>
      </c>
    </row>
    <row r="197" spans="1:6" ht="24.75" thickBot="1">
      <c r="A197" s="1852" t="s">
        <v>1377</v>
      </c>
      <c r="B197" s="1856" t="s">
        <v>2106</v>
      </c>
      <c r="C197" s="1866"/>
      <c r="D197" s="1866"/>
      <c r="E197" s="1866"/>
      <c r="F197" s="1858">
        <v>0.05</v>
      </c>
    </row>
    <row r="198" spans="1:6" ht="24.75" thickBot="1">
      <c r="A198" s="1852" t="s">
        <v>1377</v>
      </c>
      <c r="B198" s="1856" t="s">
        <v>2107</v>
      </c>
      <c r="C198" s="1866"/>
      <c r="D198" s="1866"/>
      <c r="E198" s="1866"/>
      <c r="F198" s="1858">
        <v>0.05</v>
      </c>
    </row>
    <row r="199" spans="1:6" ht="24.75" thickBot="1">
      <c r="A199" s="1852" t="s">
        <v>1377</v>
      </c>
      <c r="B199" s="1856" t="s">
        <v>2108</v>
      </c>
      <c r="C199" s="1866"/>
      <c r="D199" s="1866"/>
      <c r="E199" s="1866"/>
      <c r="F199" s="1858">
        <v>0.05</v>
      </c>
    </row>
    <row r="200" spans="1:6" ht="24.75" thickBot="1">
      <c r="A200" s="1852" t="s">
        <v>1377</v>
      </c>
      <c r="B200" s="1856" t="s">
        <v>2109</v>
      </c>
      <c r="C200" s="1866"/>
      <c r="D200" s="1866"/>
      <c r="E200" s="1866"/>
      <c r="F200" s="1858">
        <v>0.05</v>
      </c>
    </row>
    <row r="201" spans="1:6" ht="24.75" thickBot="1">
      <c r="A201" s="1852" t="s">
        <v>1377</v>
      </c>
      <c r="B201" s="1856" t="s">
        <v>2110</v>
      </c>
      <c r="C201" s="1866"/>
      <c r="D201" s="1866"/>
      <c r="E201" s="1866"/>
      <c r="F201" s="1858">
        <v>0.05</v>
      </c>
    </row>
    <row r="202" spans="1:6" ht="24.75" thickBot="1">
      <c r="A202" s="1852" t="s">
        <v>1377</v>
      </c>
      <c r="B202" s="1856" t="s">
        <v>2111</v>
      </c>
      <c r="C202" s="1866"/>
      <c r="D202" s="1866"/>
      <c r="E202" s="1866"/>
      <c r="F202" s="1858">
        <v>0.05</v>
      </c>
    </row>
    <row r="203" spans="1:6" ht="24.75" thickBot="1">
      <c r="A203" s="1852" t="s">
        <v>1377</v>
      </c>
      <c r="B203" s="1856" t="s">
        <v>2112</v>
      </c>
      <c r="C203" s="1866"/>
      <c r="D203" s="1866"/>
      <c r="E203" s="1866"/>
      <c r="F203" s="1858">
        <v>0.05</v>
      </c>
    </row>
    <row r="204" spans="1:6" ht="14.25" thickBot="1">
      <c r="A204" s="1852" t="s">
        <v>1377</v>
      </c>
      <c r="B204" s="1856" t="s">
        <v>2113</v>
      </c>
      <c r="C204" s="1866"/>
      <c r="D204" s="1866"/>
      <c r="E204" s="1866"/>
      <c r="F204" s="1858">
        <v>0.05</v>
      </c>
    </row>
    <row r="205" spans="1:6" ht="14.25" thickBot="1">
      <c r="A205" s="1860" t="s">
        <v>1377</v>
      </c>
      <c r="B205" s="1867" t="s">
        <v>2114</v>
      </c>
      <c r="C205" s="1863"/>
      <c r="D205" s="1863"/>
      <c r="E205" s="1863"/>
      <c r="F205" s="1868">
        <v>0.05</v>
      </c>
    </row>
    <row r="206" spans="1:6" ht="14.25" thickBot="1">
      <c r="A206" s="1852" t="s">
        <v>1379</v>
      </c>
      <c r="B206" s="1853" t="s">
        <v>2115</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2116</v>
      </c>
      <c r="C210" s="1857">
        <v>0.15</v>
      </c>
      <c r="D210" s="1857">
        <v>0.15</v>
      </c>
      <c r="E210" s="1857">
        <v>0.15</v>
      </c>
      <c r="F210" s="1858">
        <v>0.13800000000000001</v>
      </c>
    </row>
    <row r="211" spans="1:6" ht="14.25" thickBot="1">
      <c r="A211" s="1852" t="s">
        <v>1379</v>
      </c>
      <c r="B211" s="1856" t="s">
        <v>2117</v>
      </c>
      <c r="C211" s="1857">
        <v>0.13700000000000001</v>
      </c>
      <c r="D211" s="1857">
        <v>0.13500000000000001</v>
      </c>
      <c r="E211" s="1857">
        <v>0.13600000000000001</v>
      </c>
      <c r="F211" s="1858">
        <v>0.1</v>
      </c>
    </row>
    <row r="212" spans="1:6" ht="14.25" thickBot="1">
      <c r="A212" s="1852" t="s">
        <v>1379</v>
      </c>
      <c r="B212" s="1856" t="s">
        <v>2118</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2119</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2120</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2121</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2122</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2123</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2124</v>
      </c>
      <c r="C231" s="1857">
        <v>0.128</v>
      </c>
      <c r="D231" s="1857">
        <v>0.125</v>
      </c>
      <c r="E231" s="1857">
        <v>0.13200000000000001</v>
      </c>
      <c r="F231" s="1865"/>
    </row>
    <row r="232" spans="1:6" ht="14.25" thickBot="1">
      <c r="A232" s="1852" t="s">
        <v>1379</v>
      </c>
      <c r="B232" s="1856" t="s">
        <v>2125</v>
      </c>
      <c r="C232" s="1857">
        <v>0.14499999999999999</v>
      </c>
      <c r="D232" s="1857">
        <v>0.14399999999999999</v>
      </c>
      <c r="E232" s="1857">
        <v>0.14599999999999999</v>
      </c>
      <c r="F232" s="1858">
        <v>0.13800000000000001</v>
      </c>
    </row>
    <row r="233" spans="1:6" ht="14.25" thickBot="1">
      <c r="A233" s="1852" t="s">
        <v>1379</v>
      </c>
      <c r="B233" s="1856" t="s">
        <v>2126</v>
      </c>
      <c r="C233" s="1857">
        <v>0.14499999999999999</v>
      </c>
      <c r="D233" s="1857">
        <v>0.14299999999999999</v>
      </c>
      <c r="E233" s="1857">
        <v>0.14199999999999999</v>
      </c>
      <c r="F233" s="1865"/>
    </row>
    <row r="234" spans="1:6" ht="14.25" thickBot="1">
      <c r="A234" s="1852" t="s">
        <v>1379</v>
      </c>
      <c r="B234" s="1856" t="s">
        <v>2127</v>
      </c>
      <c r="C234" s="1857">
        <v>0.14000000000000001</v>
      </c>
      <c r="D234" s="1857">
        <v>0.14000000000000001</v>
      </c>
      <c r="E234" s="1857">
        <v>0.14399999999999999</v>
      </c>
      <c r="F234" s="1865"/>
    </row>
    <row r="235" spans="1:6" ht="14.25" thickBot="1">
      <c r="A235" s="1852" t="s">
        <v>1379</v>
      </c>
      <c r="B235" s="1856" t="s">
        <v>2128</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2129</v>
      </c>
      <c r="C237" s="1866"/>
      <c r="D237" s="1866"/>
      <c r="E237" s="1866"/>
      <c r="F237" s="1858">
        <v>0.05</v>
      </c>
    </row>
    <row r="238" spans="1:6" ht="24.75" thickBot="1">
      <c r="A238" s="1852" t="s">
        <v>1379</v>
      </c>
      <c r="B238" s="1856" t="s">
        <v>2130</v>
      </c>
      <c r="C238" s="1866"/>
      <c r="D238" s="1866"/>
      <c r="E238" s="1866"/>
      <c r="F238" s="1858">
        <v>0.05</v>
      </c>
    </row>
    <row r="239" spans="1:6" ht="24.75" thickBot="1">
      <c r="A239" s="1852" t="s">
        <v>1379</v>
      </c>
      <c r="B239" s="1856" t="s">
        <v>2131</v>
      </c>
      <c r="C239" s="1866"/>
      <c r="D239" s="1866"/>
      <c r="E239" s="1866"/>
      <c r="F239" s="1858">
        <v>0.05</v>
      </c>
    </row>
    <row r="240" spans="1:6" ht="24.75" thickBot="1">
      <c r="A240" s="1852" t="s">
        <v>1379</v>
      </c>
      <c r="B240" s="1856" t="s">
        <v>2132</v>
      </c>
      <c r="C240" s="1866"/>
      <c r="D240" s="1866"/>
      <c r="E240" s="1866"/>
      <c r="F240" s="1858">
        <v>0.05</v>
      </c>
    </row>
    <row r="241" spans="1:6" ht="24.75" thickBot="1">
      <c r="A241" s="1852" t="s">
        <v>1379</v>
      </c>
      <c r="B241" s="1856" t="s">
        <v>2133</v>
      </c>
      <c r="C241" s="1866"/>
      <c r="D241" s="1866"/>
      <c r="E241" s="1866"/>
      <c r="F241" s="1858">
        <v>0.05</v>
      </c>
    </row>
    <row r="242" spans="1:6" ht="24.75" thickBot="1">
      <c r="A242" s="1852" t="s">
        <v>1379</v>
      </c>
      <c r="B242" s="1856" t="s">
        <v>2134</v>
      </c>
      <c r="C242" s="1866"/>
      <c r="D242" s="1866"/>
      <c r="E242" s="1866"/>
      <c r="F242" s="1858">
        <v>0.05</v>
      </c>
    </row>
    <row r="243" spans="1:6" ht="24.75" thickBot="1">
      <c r="A243" s="1852" t="s">
        <v>1379</v>
      </c>
      <c r="B243" s="1856" t="s">
        <v>2135</v>
      </c>
      <c r="C243" s="1866"/>
      <c r="D243" s="1866"/>
      <c r="E243" s="1866"/>
      <c r="F243" s="1858">
        <v>0.05</v>
      </c>
    </row>
    <row r="244" spans="1:6" ht="24.75" thickBot="1">
      <c r="A244" s="1860" t="s">
        <v>1379</v>
      </c>
      <c r="B244" s="1867" t="s">
        <v>2136</v>
      </c>
      <c r="C244" s="1863"/>
      <c r="D244" s="1863"/>
      <c r="E244" s="1863"/>
      <c r="F244" s="1868">
        <v>0.05</v>
      </c>
    </row>
    <row r="245" spans="1:6" ht="14.25" thickBot="1">
      <c r="A245" s="1852" t="s">
        <v>1381</v>
      </c>
      <c r="B245" s="1853" t="s">
        <v>2137</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2138</v>
      </c>
      <c r="C247" s="1857">
        <v>0.15</v>
      </c>
      <c r="D247" s="1857">
        <v>0.15</v>
      </c>
      <c r="E247" s="1857">
        <v>0.15</v>
      </c>
      <c r="F247" s="1858">
        <v>0.15</v>
      </c>
    </row>
    <row r="248" spans="1:6" ht="14.25" thickBot="1">
      <c r="A248" s="1852" t="s">
        <v>1381</v>
      </c>
      <c r="B248" s="1856" t="s">
        <v>2139</v>
      </c>
      <c r="C248" s="1857">
        <v>0.15</v>
      </c>
      <c r="D248" s="1857">
        <v>0.15</v>
      </c>
      <c r="E248" s="1857">
        <v>0.15</v>
      </c>
      <c r="F248" s="1858">
        <v>0.14000000000000001</v>
      </c>
    </row>
    <row r="249" spans="1:6" ht="14.25" thickBot="1">
      <c r="A249" s="1852" t="s">
        <v>1381</v>
      </c>
      <c r="B249" s="1856" t="s">
        <v>2140</v>
      </c>
      <c r="C249" s="1857">
        <v>0.15</v>
      </c>
      <c r="D249" s="1857">
        <v>0.14899999999999999</v>
      </c>
      <c r="E249" s="1857">
        <v>0.15</v>
      </c>
      <c r="F249" s="1858">
        <v>0.1</v>
      </c>
    </row>
    <row r="250" spans="1:6" ht="14.25" thickBot="1">
      <c r="A250" s="1852" t="s">
        <v>1381</v>
      </c>
      <c r="B250" s="1856" t="s">
        <v>2141</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2142</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2143</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2144</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2145</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2146</v>
      </c>
      <c r="C273" s="1857">
        <v>0.14199999999999999</v>
      </c>
      <c r="D273" s="1857">
        <v>0.14299999999999999</v>
      </c>
      <c r="E273" s="1857">
        <v>0.15</v>
      </c>
      <c r="F273" s="1858">
        <v>0.1</v>
      </c>
    </row>
    <row r="274" spans="1:6" ht="14.25" thickBot="1">
      <c r="A274" s="1852" t="s">
        <v>1381</v>
      </c>
      <c r="B274" s="1856" t="s">
        <v>2147</v>
      </c>
      <c r="C274" s="1857">
        <v>0.14799999999999999</v>
      </c>
      <c r="D274" s="1857">
        <v>0.14799999999999999</v>
      </c>
      <c r="E274" s="1857">
        <v>0.15</v>
      </c>
      <c r="F274" s="1858">
        <v>6.7000000000000004E-2</v>
      </c>
    </row>
    <row r="275" spans="1:6" ht="14.25" thickBot="1">
      <c r="A275" s="1852" t="s">
        <v>1381</v>
      </c>
      <c r="B275" s="1856" t="s">
        <v>2148</v>
      </c>
      <c r="C275" s="1857">
        <v>0.15</v>
      </c>
      <c r="D275" s="1857">
        <v>0.15</v>
      </c>
      <c r="E275" s="1857">
        <v>0.15</v>
      </c>
      <c r="F275" s="1858">
        <v>0.15</v>
      </c>
    </row>
    <row r="276" spans="1:6" ht="14.25" thickBot="1">
      <c r="A276" s="1852" t="s">
        <v>1381</v>
      </c>
      <c r="B276" s="1856" t="s">
        <v>2149</v>
      </c>
      <c r="C276" s="1857">
        <v>0.14499999999999999</v>
      </c>
      <c r="D276" s="1857">
        <v>0.14299999999999999</v>
      </c>
      <c r="E276" s="1857">
        <v>0.15</v>
      </c>
      <c r="F276" s="1858">
        <v>5.8999999999999997E-2</v>
      </c>
    </row>
    <row r="277" spans="1:6" ht="14.25" thickBot="1">
      <c r="A277" s="1852" t="s">
        <v>1381</v>
      </c>
      <c r="B277" s="1856" t="s">
        <v>2150</v>
      </c>
      <c r="C277" s="1857">
        <v>0.15</v>
      </c>
      <c r="D277" s="1857">
        <v>0.15</v>
      </c>
      <c r="E277" s="1857">
        <v>0.15</v>
      </c>
      <c r="F277" s="1858">
        <v>0.121</v>
      </c>
    </row>
    <row r="278" spans="1:6" ht="14.25" thickBot="1">
      <c r="A278" s="1852" t="s">
        <v>1381</v>
      </c>
      <c r="B278" s="1856" t="s">
        <v>2151</v>
      </c>
      <c r="C278" s="1857">
        <v>0.15</v>
      </c>
      <c r="D278" s="1857">
        <v>0.15</v>
      </c>
      <c r="E278" s="1857">
        <v>0.15</v>
      </c>
      <c r="F278" s="1858">
        <v>0.13800000000000001</v>
      </c>
    </row>
    <row r="279" spans="1:6" ht="24.75" thickBot="1">
      <c r="A279" s="1852" t="s">
        <v>1381</v>
      </c>
      <c r="B279" s="1856" t="s">
        <v>2152</v>
      </c>
      <c r="C279" s="1866"/>
      <c r="D279" s="1866"/>
      <c r="E279" s="1866"/>
      <c r="F279" s="1858">
        <v>0.05</v>
      </c>
    </row>
    <row r="280" spans="1:6" ht="24.75" thickBot="1">
      <c r="A280" s="1852" t="s">
        <v>1381</v>
      </c>
      <c r="B280" s="1856" t="s">
        <v>2153</v>
      </c>
      <c r="C280" s="1866"/>
      <c r="D280" s="1866"/>
      <c r="E280" s="1866"/>
      <c r="F280" s="1858">
        <v>0.05</v>
      </c>
    </row>
    <row r="281" spans="1:6" ht="24.75" thickBot="1">
      <c r="A281" s="1852" t="s">
        <v>1381</v>
      </c>
      <c r="B281" s="1856" t="s">
        <v>2154</v>
      </c>
      <c r="C281" s="1866"/>
      <c r="D281" s="1866"/>
      <c r="E281" s="1866"/>
      <c r="F281" s="1858">
        <v>0.05</v>
      </c>
    </row>
    <row r="282" spans="1:6" ht="24.75" thickBot="1">
      <c r="A282" s="1852" t="s">
        <v>1381</v>
      </c>
      <c r="B282" s="1856" t="s">
        <v>2155</v>
      </c>
      <c r="C282" s="1866"/>
      <c r="D282" s="1866"/>
      <c r="E282" s="1866"/>
      <c r="F282" s="1858">
        <v>0.05</v>
      </c>
    </row>
    <row r="283" spans="1:6" ht="24.75" thickBot="1">
      <c r="A283" s="1852" t="s">
        <v>1381</v>
      </c>
      <c r="B283" s="1856" t="s">
        <v>2156</v>
      </c>
      <c r="C283" s="1866"/>
      <c r="D283" s="1866"/>
      <c r="E283" s="1866"/>
      <c r="F283" s="1858">
        <v>0.05</v>
      </c>
    </row>
    <row r="284" spans="1:6" ht="24.75" thickBot="1">
      <c r="A284" s="1852" t="s">
        <v>1381</v>
      </c>
      <c r="B284" s="1856" t="s">
        <v>2157</v>
      </c>
      <c r="C284" s="1866"/>
      <c r="D284" s="1866"/>
      <c r="E284" s="1866"/>
      <c r="F284" s="1858">
        <v>0.05</v>
      </c>
    </row>
    <row r="285" spans="1:6" ht="24.75" thickBot="1">
      <c r="A285" s="1852" t="s">
        <v>1381</v>
      </c>
      <c r="B285" s="1856" t="s">
        <v>2158</v>
      </c>
      <c r="C285" s="1866"/>
      <c r="D285" s="1866"/>
      <c r="E285" s="1866"/>
      <c r="F285" s="1858">
        <v>0.05</v>
      </c>
    </row>
    <row r="286" spans="1:6" ht="24.75" thickBot="1">
      <c r="A286" s="1852" t="s">
        <v>1381</v>
      </c>
      <c r="B286" s="1856" t="s">
        <v>2159</v>
      </c>
      <c r="C286" s="1866"/>
      <c r="D286" s="1866"/>
      <c r="E286" s="1866"/>
      <c r="F286" s="1858">
        <v>0.05</v>
      </c>
    </row>
    <row r="287" spans="1:6" ht="24.75" thickBot="1">
      <c r="A287" s="1852" t="s">
        <v>1381</v>
      </c>
      <c r="B287" s="1856" t="s">
        <v>2160</v>
      </c>
      <c r="C287" s="1866"/>
      <c r="D287" s="1866"/>
      <c r="E287" s="1866"/>
      <c r="F287" s="1858">
        <v>0.05</v>
      </c>
    </row>
    <row r="288" spans="1:6" ht="24.75" thickBot="1">
      <c r="A288" s="1852" t="s">
        <v>1381</v>
      </c>
      <c r="B288" s="1856" t="s">
        <v>2161</v>
      </c>
      <c r="C288" s="1866"/>
      <c r="D288" s="1866"/>
      <c r="E288" s="1866"/>
      <c r="F288" s="1858">
        <v>0.05</v>
      </c>
    </row>
    <row r="289" spans="1:6" ht="24.75" thickBot="1">
      <c r="A289" s="1860" t="s">
        <v>1381</v>
      </c>
      <c r="B289" s="1867" t="s">
        <v>2162</v>
      </c>
      <c r="C289" s="1863"/>
      <c r="D289" s="1863"/>
      <c r="E289" s="1863"/>
      <c r="F289" s="1868">
        <v>0.05</v>
      </c>
    </row>
    <row r="290" spans="1:6" ht="14.25" thickBot="1">
      <c r="A290" s="1852" t="s">
        <v>1385</v>
      </c>
      <c r="B290" s="1853" t="s">
        <v>2163</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2164</v>
      </c>
      <c r="C292" s="1857">
        <v>0.15</v>
      </c>
      <c r="D292" s="1857">
        <v>0.15</v>
      </c>
      <c r="E292" s="1857">
        <v>0.15</v>
      </c>
      <c r="F292" s="1858">
        <v>0.14699999999999999</v>
      </c>
    </row>
    <row r="293" spans="1:6" ht="14.25" thickBot="1">
      <c r="A293" s="1852" t="s">
        <v>1385</v>
      </c>
      <c r="B293" s="1856" t="s">
        <v>2165</v>
      </c>
      <c r="C293" s="1866"/>
      <c r="D293" s="1866"/>
      <c r="E293" s="1866"/>
      <c r="F293" s="1858">
        <v>0.1</v>
      </c>
    </row>
    <row r="294" spans="1:6" ht="14.25" thickBot="1">
      <c r="A294" s="1852" t="s">
        <v>1385</v>
      </c>
      <c r="B294" s="1856" t="s">
        <v>2166</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2167</v>
      </c>
      <c r="C296" s="1857">
        <v>0.15</v>
      </c>
      <c r="D296" s="1857">
        <v>0.15</v>
      </c>
      <c r="E296" s="1857">
        <v>0.15</v>
      </c>
      <c r="F296" s="1858">
        <v>0.15</v>
      </c>
    </row>
    <row r="297" spans="1:6" ht="14.25" thickBot="1">
      <c r="A297" s="1852" t="s">
        <v>1385</v>
      </c>
      <c r="B297" s="1856" t="s">
        <v>2168</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2169</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2170</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2171</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2172</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2173</v>
      </c>
      <c r="C310" s="1857">
        <v>0.15</v>
      </c>
      <c r="D310" s="1857">
        <v>0.15</v>
      </c>
      <c r="E310" s="1857">
        <v>0.15</v>
      </c>
      <c r="F310" s="1858">
        <v>0.13700000000000001</v>
      </c>
    </row>
    <row r="311" spans="1:6" ht="14.25" thickBot="1">
      <c r="A311" s="1852" t="s">
        <v>1385</v>
      </c>
      <c r="B311" s="1856" t="s">
        <v>2174</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2175</v>
      </c>
      <c r="C313" s="1857">
        <v>0.15</v>
      </c>
      <c r="D313" s="1857">
        <v>0.15</v>
      </c>
      <c r="E313" s="1857">
        <v>0.15</v>
      </c>
      <c r="F313" s="1858">
        <v>0.15</v>
      </c>
    </row>
    <row r="314" spans="1:6" ht="24.75" thickBot="1">
      <c r="A314" s="1852" t="s">
        <v>1385</v>
      </c>
      <c r="B314" s="1856" t="s">
        <v>2176</v>
      </c>
      <c r="C314" s="1866"/>
      <c r="D314" s="1866"/>
      <c r="E314" s="1866"/>
      <c r="F314" s="1858">
        <v>0.05</v>
      </c>
    </row>
    <row r="315" spans="1:6" ht="24.75" thickBot="1">
      <c r="A315" s="1852" t="s">
        <v>1385</v>
      </c>
      <c r="B315" s="1856" t="s">
        <v>2177</v>
      </c>
      <c r="C315" s="1866"/>
      <c r="D315" s="1866"/>
      <c r="E315" s="1866"/>
      <c r="F315" s="1858">
        <v>0.05</v>
      </c>
    </row>
    <row r="316" spans="1:6" ht="24.75" thickBot="1">
      <c r="A316" s="1860" t="s">
        <v>1385</v>
      </c>
      <c r="B316" s="1867" t="s">
        <v>2178</v>
      </c>
      <c r="C316" s="1863"/>
      <c r="D316" s="1863"/>
      <c r="E316" s="1863"/>
      <c r="F316" s="1868">
        <v>0.05</v>
      </c>
    </row>
    <row r="317" spans="1:6" ht="14.25" thickBot="1">
      <c r="A317" s="1852" t="s">
        <v>2179</v>
      </c>
      <c r="B317" s="1853" t="s">
        <v>2180</v>
      </c>
      <c r="C317" s="1854">
        <v>0.15</v>
      </c>
      <c r="D317" s="1854">
        <v>0.15</v>
      </c>
      <c r="E317" s="1854">
        <v>0.15</v>
      </c>
      <c r="F317" s="1855">
        <v>0.15</v>
      </c>
    </row>
    <row r="318" spans="1:6" ht="14.25" thickBot="1">
      <c r="A318" s="1852" t="s">
        <v>2179</v>
      </c>
      <c r="B318" s="1856" t="s">
        <v>2181</v>
      </c>
      <c r="C318" s="1857">
        <v>0.107</v>
      </c>
      <c r="D318" s="1857">
        <v>0.11</v>
      </c>
      <c r="E318" s="1857">
        <v>0.112</v>
      </c>
      <c r="F318" s="1865"/>
    </row>
    <row r="319" spans="1:6" ht="14.25" thickBot="1">
      <c r="A319" s="1852" t="s">
        <v>2179</v>
      </c>
      <c r="B319" s="1856" t="s">
        <v>2182</v>
      </c>
      <c r="C319" s="1857">
        <v>0.15</v>
      </c>
      <c r="D319" s="1857">
        <v>0.15</v>
      </c>
      <c r="E319" s="1857">
        <v>0.15</v>
      </c>
      <c r="F319" s="1858">
        <v>0.15</v>
      </c>
    </row>
    <row r="320" spans="1:6" ht="14.25" thickBot="1">
      <c r="A320" s="1852" t="s">
        <v>2179</v>
      </c>
      <c r="B320" s="1856" t="s">
        <v>1073</v>
      </c>
      <c r="C320" s="1857">
        <v>0.15</v>
      </c>
      <c r="D320" s="1857">
        <v>0.15</v>
      </c>
      <c r="E320" s="1857">
        <v>0.15</v>
      </c>
      <c r="F320" s="1865"/>
    </row>
    <row r="321" spans="1:6" ht="14.25" thickBot="1">
      <c r="A321" s="1852" t="s">
        <v>2179</v>
      </c>
      <c r="B321" s="1856" t="s">
        <v>2183</v>
      </c>
      <c r="C321" s="1857">
        <v>0.15</v>
      </c>
      <c r="D321" s="1857">
        <v>0.15</v>
      </c>
      <c r="E321" s="1857">
        <v>0.15</v>
      </c>
      <c r="F321" s="1865"/>
    </row>
    <row r="322" spans="1:6" ht="14.25" thickBot="1">
      <c r="A322" s="1852" t="s">
        <v>2179</v>
      </c>
      <c r="B322" s="1856" t="s">
        <v>2184</v>
      </c>
      <c r="C322" s="1857">
        <v>0.15</v>
      </c>
      <c r="D322" s="1857">
        <v>0.15</v>
      </c>
      <c r="E322" s="1857">
        <v>0.15</v>
      </c>
      <c r="F322" s="1858">
        <v>0.15</v>
      </c>
    </row>
    <row r="323" spans="1:6" ht="14.25" thickBot="1">
      <c r="A323" s="1852" t="s">
        <v>2179</v>
      </c>
      <c r="B323" s="1856" t="s">
        <v>2185</v>
      </c>
      <c r="C323" s="1857">
        <v>0.15</v>
      </c>
      <c r="D323" s="1857">
        <v>0.15</v>
      </c>
      <c r="E323" s="1857">
        <v>0.15</v>
      </c>
      <c r="F323" s="1865"/>
    </row>
    <row r="324" spans="1:6" ht="14.25" thickBot="1">
      <c r="A324" s="1852" t="s">
        <v>2179</v>
      </c>
      <c r="B324" s="1856" t="s">
        <v>2186</v>
      </c>
      <c r="C324" s="1857">
        <v>0.15</v>
      </c>
      <c r="D324" s="1857">
        <v>0.15</v>
      </c>
      <c r="E324" s="1857">
        <v>0.15</v>
      </c>
      <c r="F324" s="1865"/>
    </row>
    <row r="325" spans="1:6" ht="14.25" thickBot="1">
      <c r="A325" s="1852" t="s">
        <v>2179</v>
      </c>
      <c r="B325" s="1856" t="s">
        <v>2187</v>
      </c>
      <c r="C325" s="1857">
        <v>0.15</v>
      </c>
      <c r="D325" s="1857">
        <v>0.15</v>
      </c>
      <c r="E325" s="1857">
        <v>0.15</v>
      </c>
      <c r="F325" s="1858">
        <v>0.14699999999999999</v>
      </c>
    </row>
    <row r="326" spans="1:6" ht="14.25" thickBot="1">
      <c r="A326" s="1852" t="s">
        <v>2179</v>
      </c>
      <c r="B326" s="1856" t="s">
        <v>1142</v>
      </c>
      <c r="C326" s="1857">
        <v>0.15</v>
      </c>
      <c r="D326" s="1857">
        <v>0.15</v>
      </c>
      <c r="E326" s="1857">
        <v>0.15</v>
      </c>
      <c r="F326" s="1865"/>
    </row>
    <row r="327" spans="1:6" ht="14.25" thickBot="1">
      <c r="A327" s="1852" t="s">
        <v>2179</v>
      </c>
      <c r="B327" s="1856" t="s">
        <v>2188</v>
      </c>
      <c r="C327" s="1857">
        <v>0.15</v>
      </c>
      <c r="D327" s="1857">
        <v>0.15</v>
      </c>
      <c r="E327" s="1857">
        <v>0.15</v>
      </c>
      <c r="F327" s="1858">
        <v>0.15</v>
      </c>
    </row>
    <row r="328" spans="1:6" ht="14.25" thickBot="1">
      <c r="A328" s="1852" t="s">
        <v>2179</v>
      </c>
      <c r="B328" s="1856" t="s">
        <v>1162</v>
      </c>
      <c r="C328" s="1857">
        <v>0.15</v>
      </c>
      <c r="D328" s="1857">
        <v>0.15</v>
      </c>
      <c r="E328" s="1857">
        <v>0.15</v>
      </c>
      <c r="F328" s="1858">
        <v>0.14099999999999999</v>
      </c>
    </row>
    <row r="329" spans="1:6" ht="14.25" thickBot="1">
      <c r="A329" s="1852" t="s">
        <v>2179</v>
      </c>
      <c r="B329" s="1856" t="s">
        <v>1172</v>
      </c>
      <c r="C329" s="1857">
        <v>0.15</v>
      </c>
      <c r="D329" s="1857">
        <v>0.15</v>
      </c>
      <c r="E329" s="1857">
        <v>0.15</v>
      </c>
      <c r="F329" s="1858">
        <v>0.15</v>
      </c>
    </row>
    <row r="330" spans="1:6" ht="14.25" thickBot="1">
      <c r="A330" s="1852" t="s">
        <v>2179</v>
      </c>
      <c r="B330" s="1856" t="s">
        <v>1182</v>
      </c>
      <c r="C330" s="1857">
        <v>0.15</v>
      </c>
      <c r="D330" s="1857">
        <v>0.15</v>
      </c>
      <c r="E330" s="1857">
        <v>0.15</v>
      </c>
      <c r="F330" s="1865"/>
    </row>
    <row r="331" spans="1:6" ht="14.25" thickBot="1">
      <c r="A331" s="1852" t="s">
        <v>2179</v>
      </c>
      <c r="B331" s="1856" t="s">
        <v>2189</v>
      </c>
      <c r="C331" s="1857">
        <v>0.15</v>
      </c>
      <c r="D331" s="1857">
        <v>0.15</v>
      </c>
      <c r="E331" s="1857">
        <v>0.15</v>
      </c>
      <c r="F331" s="1858">
        <v>0.15</v>
      </c>
    </row>
    <row r="332" spans="1:6" ht="14.25" thickBot="1">
      <c r="A332" s="1852" t="s">
        <v>2179</v>
      </c>
      <c r="B332" s="1856" t="s">
        <v>1202</v>
      </c>
      <c r="C332" s="1857">
        <v>0.15</v>
      </c>
      <c r="D332" s="1857">
        <v>0.15</v>
      </c>
      <c r="E332" s="1857">
        <v>0.15</v>
      </c>
      <c r="F332" s="1858">
        <v>0.15</v>
      </c>
    </row>
    <row r="333" spans="1:6" ht="14.25" thickBot="1">
      <c r="A333" s="1852" t="s">
        <v>2179</v>
      </c>
      <c r="B333" s="1856" t="s">
        <v>2190</v>
      </c>
      <c r="C333" s="1857">
        <v>0.15</v>
      </c>
      <c r="D333" s="1857">
        <v>0.15</v>
      </c>
      <c r="E333" s="1857">
        <v>0.15</v>
      </c>
      <c r="F333" s="1858">
        <v>0.14099999999999999</v>
      </c>
    </row>
    <row r="334" spans="1:6" ht="14.25" thickBot="1">
      <c r="A334" s="1852" t="s">
        <v>2179</v>
      </c>
      <c r="B334" s="1856" t="s">
        <v>1222</v>
      </c>
      <c r="C334" s="1857">
        <v>0.15</v>
      </c>
      <c r="D334" s="1857">
        <v>0.15</v>
      </c>
      <c r="E334" s="1857">
        <v>0.15</v>
      </c>
      <c r="F334" s="1858">
        <v>0.15</v>
      </c>
    </row>
    <row r="335" spans="1:6" ht="14.25" thickBot="1">
      <c r="A335" s="1852" t="s">
        <v>2179</v>
      </c>
      <c r="B335" s="1856" t="s">
        <v>1232</v>
      </c>
      <c r="C335" s="1857">
        <v>0.15</v>
      </c>
      <c r="D335" s="1857">
        <v>0.15</v>
      </c>
      <c r="E335" s="1857">
        <v>0.15</v>
      </c>
      <c r="F335" s="1865"/>
    </row>
    <row r="336" spans="1:6" ht="14.25" thickBot="1">
      <c r="A336" s="1852" t="s">
        <v>2179</v>
      </c>
      <c r="B336" s="1856" t="s">
        <v>2191</v>
      </c>
      <c r="C336" s="1857">
        <v>0.15</v>
      </c>
      <c r="D336" s="1857">
        <v>0.15</v>
      </c>
      <c r="E336" s="1857">
        <v>0.15</v>
      </c>
      <c r="F336" s="1858">
        <v>0.11799999999999999</v>
      </c>
    </row>
    <row r="337" spans="1:6" ht="14.25" thickBot="1">
      <c r="A337" s="1860" t="s">
        <v>2179</v>
      </c>
      <c r="B337" s="1867" t="s">
        <v>1250</v>
      </c>
      <c r="C337" s="1863"/>
      <c r="D337" s="1863"/>
      <c r="E337" s="1863"/>
      <c r="F337" s="1868">
        <v>0.14299999999999999</v>
      </c>
    </row>
    <row r="338" spans="1:6" ht="14.25" thickBot="1">
      <c r="A338" s="1852" t="s">
        <v>2192</v>
      </c>
      <c r="B338" s="1853" t="s">
        <v>2193</v>
      </c>
      <c r="C338" s="1854">
        <v>0.15</v>
      </c>
      <c r="D338" s="1854">
        <v>0.15</v>
      </c>
      <c r="E338" s="1854">
        <v>0.15</v>
      </c>
      <c r="F338" s="1876"/>
    </row>
    <row r="339" spans="1:6" ht="14.25" thickBot="1">
      <c r="A339" s="1852" t="s">
        <v>2192</v>
      </c>
      <c r="B339" s="1856" t="s">
        <v>2194</v>
      </c>
      <c r="C339" s="1857">
        <v>0.15</v>
      </c>
      <c r="D339" s="1857">
        <v>0.15</v>
      </c>
      <c r="E339" s="1857">
        <v>0.15</v>
      </c>
      <c r="F339" s="1865"/>
    </row>
    <row r="340" spans="1:6" ht="14.25" thickBot="1">
      <c r="A340" s="1852" t="s">
        <v>2192</v>
      </c>
      <c r="B340" s="1856" t="s">
        <v>2195</v>
      </c>
      <c r="C340" s="1857">
        <v>0.15</v>
      </c>
      <c r="D340" s="1857">
        <v>0.15</v>
      </c>
      <c r="E340" s="1857">
        <v>0.15</v>
      </c>
      <c r="F340" s="1865"/>
    </row>
    <row r="341" spans="1:6" ht="14.25" thickBot="1">
      <c r="A341" s="1852" t="s">
        <v>2196</v>
      </c>
      <c r="B341" s="1856" t="s">
        <v>2197</v>
      </c>
      <c r="C341" s="1857">
        <v>0.15</v>
      </c>
      <c r="D341" s="1857">
        <v>0.15</v>
      </c>
      <c r="E341" s="1857">
        <v>0.15</v>
      </c>
      <c r="F341" s="1858">
        <v>0.15</v>
      </c>
    </row>
    <row r="342" spans="1:6" ht="14.25" thickBot="1">
      <c r="A342" s="1852" t="s">
        <v>2192</v>
      </c>
      <c r="B342" s="1856" t="s">
        <v>2198</v>
      </c>
      <c r="C342" s="1857">
        <v>0.15</v>
      </c>
      <c r="D342" s="1857">
        <v>0.15</v>
      </c>
      <c r="E342" s="1857">
        <v>0.15</v>
      </c>
      <c r="F342" s="1858">
        <v>0.15</v>
      </c>
    </row>
    <row r="343" spans="1:6" ht="14.25" thickBot="1">
      <c r="A343" s="1852" t="s">
        <v>2192</v>
      </c>
      <c r="B343" s="1856" t="s">
        <v>2199</v>
      </c>
      <c r="C343" s="1857">
        <v>0.15</v>
      </c>
      <c r="D343" s="1857">
        <v>0.15</v>
      </c>
      <c r="E343" s="1857">
        <v>0.15</v>
      </c>
      <c r="F343" s="1858">
        <v>0.15</v>
      </c>
    </row>
    <row r="344" spans="1:6" ht="14.25" thickBot="1">
      <c r="A344" s="1860" t="s">
        <v>2192</v>
      </c>
      <c r="B344" s="1867" t="s">
        <v>2200</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2904</v>
      </c>
      <c r="B1" s="3130"/>
      <c r="C1" s="3130"/>
      <c r="D1" s="3130"/>
      <c r="E1" s="3130"/>
      <c r="F1" s="3130"/>
    </row>
    <row r="2" spans="1:6" ht="14.25">
      <c r="A2" s="3131" t="s">
        <v>2898</v>
      </c>
      <c r="B2" s="3132" t="e">
        <f ca="1">SUMIF(B7:B14,"&lt;&gt;#ref!",B7:B14)</f>
        <v>#DIV/0!</v>
      </c>
      <c r="C2" s="3131" t="s">
        <v>2899</v>
      </c>
      <c r="D2" s="3130"/>
      <c r="E2" s="3130"/>
      <c r="F2" s="3130"/>
    </row>
    <row r="3" spans="1:6" ht="14.25">
      <c r="A3" s="3131" t="s">
        <v>2901</v>
      </c>
      <c r="B3" s="3132" t="e">
        <f ca="1">ROUND(B2*10000/E3,0)</f>
        <v>#DIV/0!</v>
      </c>
      <c r="C3" s="3131" t="s">
        <v>2041</v>
      </c>
      <c r="D3" s="3131" t="s">
        <v>2900</v>
      </c>
      <c r="E3" s="3132" t="e">
        <f ca="1">SUM(E7:E14)</f>
        <v>#REF!</v>
      </c>
      <c r="F3" s="3130"/>
    </row>
    <row r="4" spans="1:6" ht="14.25">
      <c r="A4" s="3131" t="s">
        <v>2908</v>
      </c>
      <c r="B4" s="3132" t="e">
        <f ca="1">ROUND(B2*10000/E4,0)</f>
        <v>#DIV/0!</v>
      </c>
      <c r="C4" s="3131" t="s">
        <v>2041</v>
      </c>
      <c r="D4" s="3131" t="s">
        <v>2909</v>
      </c>
      <c r="E4" s="3132" t="e">
        <f ca="1">SUM(F7:F14)</f>
        <v>#REF!</v>
      </c>
      <c r="F4" s="3130"/>
    </row>
    <row r="5" spans="1:6" ht="14.25">
      <c r="A5" s="3133"/>
      <c r="B5" s="1878"/>
      <c r="C5" s="1878"/>
      <c r="D5" s="1878"/>
      <c r="E5" s="1878"/>
      <c r="F5" s="3130"/>
    </row>
    <row r="6" spans="1:6" ht="28.5">
      <c r="A6" s="3134" t="s">
        <v>2905</v>
      </c>
      <c r="B6" s="3131" t="s">
        <v>2902</v>
      </c>
      <c r="C6" s="3132"/>
      <c r="D6" s="1878"/>
      <c r="E6" s="3131" t="s">
        <v>2903</v>
      </c>
      <c r="F6" s="3131" t="s">
        <v>2907</v>
      </c>
    </row>
    <row r="7" spans="1:6" ht="14.25">
      <c r="A7" s="258" t="s">
        <v>2906</v>
      </c>
      <c r="B7" s="3135" t="e">
        <f ca="1">SUMIF(INDIRECT("'"&amp;A7&amp;"'"&amp;"!A:A"),"总价",INDIRECT("'"&amp;A7&amp;"'"&amp;"!B:B"))</f>
        <v>#DIV/0!</v>
      </c>
      <c r="C7" s="3131" t="s">
        <v>2899</v>
      </c>
      <c r="D7" s="1878"/>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2899</v>
      </c>
      <c r="D8" s="1878"/>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2899</v>
      </c>
      <c r="D9" s="1878"/>
      <c r="E9" s="3136" t="e">
        <f t="shared" ca="1" si="1"/>
        <v>#REF!</v>
      </c>
      <c r="F9" s="3136" t="e">
        <f t="shared" ca="1" si="2"/>
        <v>#REF!</v>
      </c>
    </row>
    <row r="10" spans="1:6" ht="14.25">
      <c r="A10" s="258"/>
      <c r="B10" s="3135" t="e">
        <f t="shared" ca="1" si="0"/>
        <v>#REF!</v>
      </c>
      <c r="C10" s="3131" t="s">
        <v>2899</v>
      </c>
      <c r="D10" s="1878"/>
      <c r="E10" s="3136" t="e">
        <f t="shared" ca="1" si="1"/>
        <v>#REF!</v>
      </c>
      <c r="F10" s="3136" t="e">
        <f t="shared" ca="1" si="2"/>
        <v>#REF!</v>
      </c>
    </row>
    <row r="11" spans="1:6" ht="14.25">
      <c r="A11" s="258"/>
      <c r="B11" s="3135" t="e">
        <f t="shared" ca="1" si="0"/>
        <v>#REF!</v>
      </c>
      <c r="C11" s="3131" t="s">
        <v>2899</v>
      </c>
      <c r="D11" s="1878"/>
      <c r="E11" s="3136" t="e">
        <f t="shared" ca="1" si="1"/>
        <v>#REF!</v>
      </c>
      <c r="F11" s="3136" t="e">
        <f t="shared" ca="1" si="2"/>
        <v>#REF!</v>
      </c>
    </row>
    <row r="12" spans="1:6" ht="14.25">
      <c r="A12" s="258"/>
      <c r="B12" s="3135" t="e">
        <f t="shared" ca="1" si="0"/>
        <v>#REF!</v>
      </c>
      <c r="C12" s="3131" t="s">
        <v>2899</v>
      </c>
      <c r="D12" s="1878"/>
      <c r="E12" s="3136" t="e">
        <f t="shared" ca="1" si="1"/>
        <v>#REF!</v>
      </c>
      <c r="F12" s="3136" t="e">
        <f t="shared" ca="1" si="2"/>
        <v>#REF!</v>
      </c>
    </row>
    <row r="13" spans="1:6" ht="14.25">
      <c r="A13" s="258"/>
      <c r="B13" s="3135" t="e">
        <f t="shared" ca="1" si="0"/>
        <v>#REF!</v>
      </c>
      <c r="C13" s="3131" t="s">
        <v>2899</v>
      </c>
      <c r="D13" s="1878"/>
      <c r="E13" s="3136" t="e">
        <f t="shared" ca="1" si="1"/>
        <v>#REF!</v>
      </c>
      <c r="F13" s="3136" t="e">
        <f t="shared" ca="1" si="2"/>
        <v>#REF!</v>
      </c>
    </row>
    <row r="14" spans="1:6" ht="14.25">
      <c r="A14" s="3129"/>
      <c r="B14" s="3135" t="e">
        <f t="shared" ca="1" si="0"/>
        <v>#REF!</v>
      </c>
      <c r="C14" s="3131" t="s">
        <v>2899</v>
      </c>
      <c r="D14" s="1878"/>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408" t="s">
        <v>2337</v>
      </c>
      <c r="F1" s="2409">
        <f ca="1">J54</f>
        <v>0</v>
      </c>
      <c r="G1" s="772">
        <f>MATCH(C1,'数据-取费表'!A6:A16,0)+5</f>
        <v>7</v>
      </c>
      <c r="H1" s="1348"/>
      <c r="I1" s="2048"/>
      <c r="J1" s="2048"/>
      <c r="K1" s="2049"/>
      <c r="L1" s="2048"/>
      <c r="M1" s="2048"/>
      <c r="N1" s="2050"/>
      <c r="O1" s="2050"/>
      <c r="P1" s="2050"/>
      <c r="Q1" s="2050"/>
      <c r="R1" s="2050"/>
      <c r="S1" s="2050"/>
      <c r="T1" s="2050"/>
      <c r="U1" s="2050"/>
      <c r="V1" s="2050"/>
      <c r="W1" s="2050"/>
      <c r="X1" s="2050"/>
      <c r="Y1" s="2050"/>
    </row>
    <row r="2" spans="1:25" ht="18" customHeight="1">
      <c r="A2" s="1642" t="s">
        <v>594</v>
      </c>
      <c r="B2" s="773">
        <f ca="1">IF(ISERROR(C45+J31),0,C45+J31)</f>
        <v>0</v>
      </c>
      <c r="C2" s="1349"/>
      <c r="D2" s="2052"/>
      <c r="E2" s="2053"/>
      <c r="F2" s="2053"/>
      <c r="G2" s="1588"/>
      <c r="H2" s="1361"/>
      <c r="I2" s="2054"/>
      <c r="J2" s="2054"/>
      <c r="K2" s="2055"/>
      <c r="L2" s="2054"/>
      <c r="M2" s="2054"/>
    </row>
    <row r="3" spans="1:25" ht="18" customHeight="1">
      <c r="A3" s="1643" t="s">
        <v>1648</v>
      </c>
      <c r="B3" s="1389">
        <f ca="1">ROUND(B2*10000/'数据-汇总表'!E3,0)</f>
        <v>0</v>
      </c>
      <c r="C3" s="1349"/>
      <c r="D3" s="2052"/>
      <c r="E3" s="2053"/>
      <c r="F3" s="2053"/>
      <c r="G3" s="1588"/>
      <c r="H3" s="774" t="s">
        <v>660</v>
      </c>
      <c r="I3" s="2054"/>
      <c r="J3" s="2054"/>
      <c r="K3" s="2055"/>
      <c r="L3" s="2054"/>
      <c r="M3" s="2054"/>
    </row>
    <row r="4" spans="1:25" ht="18" customHeight="1">
      <c r="A4" s="1644" t="s">
        <v>661</v>
      </c>
      <c r="B4" s="1350">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662</v>
      </c>
      <c r="D5" s="2052"/>
      <c r="E5" s="2053"/>
      <c r="F5" s="2053"/>
      <c r="G5" s="1588"/>
      <c r="H5" s="774"/>
      <c r="I5" s="2054"/>
      <c r="J5" s="2054"/>
      <c r="K5" s="2055"/>
      <c r="L5" s="2054"/>
      <c r="M5" s="2054"/>
    </row>
    <row r="6" spans="1:25" ht="18" customHeight="1">
      <c r="A6" s="1825" t="s">
        <v>663</v>
      </c>
      <c r="B6" s="1817" t="s">
        <v>664</v>
      </c>
      <c r="C6" s="1817" t="s">
        <v>597</v>
      </c>
      <c r="D6" s="1817" t="s">
        <v>598</v>
      </c>
      <c r="E6" s="777" t="s">
        <v>599</v>
      </c>
      <c r="F6" s="778"/>
      <c r="G6" s="1590"/>
      <c r="H6" s="1825" t="s">
        <v>595</v>
      </c>
      <c r="I6" s="1817" t="s">
        <v>596</v>
      </c>
      <c r="J6" s="1817" t="s">
        <v>597</v>
      </c>
      <c r="K6" s="1817" t="s">
        <v>598</v>
      </c>
      <c r="L6" s="777" t="s">
        <v>599</v>
      </c>
      <c r="M6" s="778"/>
    </row>
    <row r="7" spans="1:25" ht="18" customHeight="1">
      <c r="A7" s="779">
        <v>1</v>
      </c>
      <c r="B7" s="780" t="s">
        <v>2421</v>
      </c>
      <c r="C7" s="52">
        <f ca="1">C8+C12+C14</f>
        <v>0</v>
      </c>
      <c r="D7" s="2517" t="s">
        <v>2424</v>
      </c>
      <c r="E7" s="2511"/>
      <c r="F7" s="2512"/>
      <c r="G7" s="1590"/>
      <c r="H7" s="779">
        <v>1</v>
      </c>
      <c r="I7" s="780" t="s">
        <v>2421</v>
      </c>
      <c r="J7" s="52">
        <f ca="1">J8+J12+J14</f>
        <v>0</v>
      </c>
      <c r="K7" s="2517" t="s">
        <v>2424</v>
      </c>
      <c r="L7" s="2511"/>
      <c r="M7" s="2512"/>
    </row>
    <row r="8" spans="1:25" ht="18" customHeight="1">
      <c r="A8" s="1827" t="s">
        <v>1786</v>
      </c>
      <c r="B8" s="3485" t="s">
        <v>2426</v>
      </c>
      <c r="C8" s="1822">
        <f ca="1">ROUND(F8*F10*F9*(1-F11)/10000,0)</f>
        <v>0</v>
      </c>
      <c r="D8" s="1819" t="s">
        <v>2497</v>
      </c>
      <c r="E8" s="60" t="s">
        <v>602</v>
      </c>
      <c r="F8" s="783">
        <f ca="1">INDIRECT("'数据-取费表'!u"&amp;$G$1)</f>
        <v>0</v>
      </c>
      <c r="G8" s="1590"/>
      <c r="H8" s="2525" t="s">
        <v>1786</v>
      </c>
      <c r="I8" s="3485" t="s">
        <v>2426</v>
      </c>
      <c r="J8" s="781">
        <f ca="1">ROUND(M8*M10*M9*(1-M11)/10000,0)</f>
        <v>0</v>
      </c>
      <c r="K8" s="339" t="s">
        <v>2497</v>
      </c>
      <c r="L8" s="782" t="s">
        <v>1700</v>
      </c>
      <c r="M8" s="783">
        <f ca="1">INDIRECT("'数据-取费表'!z"&amp;$G$1)</f>
        <v>0</v>
      </c>
    </row>
    <row r="9" spans="1:25" ht="18" customHeight="1">
      <c r="A9" s="2521"/>
      <c r="B9" s="3486"/>
      <c r="C9" s="1823"/>
      <c r="D9" s="1820"/>
      <c r="E9" s="60" t="s">
        <v>603</v>
      </c>
      <c r="F9" s="783">
        <f ca="1">IF(INDIRECT("'数据-取费表'!ah"&amp;$G$1)="",INDIRECT("'数据-取费表'!k"&amp;$G$1),INDIRECT("'数据-取费表'!ah"&amp;$G$1))</f>
        <v>0</v>
      </c>
      <c r="G9" s="1590"/>
      <c r="H9" s="2510"/>
      <c r="I9" s="3486"/>
      <c r="J9" s="786"/>
      <c r="K9" s="787"/>
      <c r="L9" s="782" t="s">
        <v>1701</v>
      </c>
      <c r="M9" s="783">
        <f ca="1">F9</f>
        <v>0</v>
      </c>
    </row>
    <row r="10" spans="1:25" ht="18" customHeight="1">
      <c r="A10" s="2514"/>
      <c r="B10" s="3487"/>
      <c r="C10" s="1823"/>
      <c r="D10" s="1820"/>
      <c r="E10" s="60" t="s">
        <v>604</v>
      </c>
      <c r="F10" s="783">
        <f ca="1">INDIRECT("'数据-取费表'!ai"&amp;$G$1)</f>
        <v>0</v>
      </c>
      <c r="G10" s="1590"/>
      <c r="H10" s="2510"/>
      <c r="I10" s="3487"/>
      <c r="J10" s="786"/>
      <c r="K10" s="787"/>
      <c r="L10" s="782" t="s">
        <v>1702</v>
      </c>
      <c r="M10" s="783">
        <f ca="1">INDIRECT("'数据-取费表'!ai"&amp;$G$1)</f>
        <v>0</v>
      </c>
    </row>
    <row r="11" spans="1:25" ht="18" customHeight="1">
      <c r="A11" s="784"/>
      <c r="B11" s="3488"/>
      <c r="C11" s="1823"/>
      <c r="D11" s="1820"/>
      <c r="E11" s="60" t="s">
        <v>605</v>
      </c>
      <c r="F11" s="792">
        <f ca="1">INDIRECT("'数据-取费表'!w"&amp;$G$1)</f>
        <v>0</v>
      </c>
      <c r="G11" s="1590"/>
      <c r="H11" s="2526"/>
      <c r="I11" s="3487"/>
      <c r="J11" s="786"/>
      <c r="K11" s="787"/>
      <c r="L11" s="793" t="s">
        <v>1703</v>
      </c>
      <c r="M11" s="794">
        <f ca="1">INDIRECT("'数据-取费表'!ab"&amp;$G$1)</f>
        <v>0</v>
      </c>
    </row>
    <row r="12" spans="1:25" ht="18" customHeight="1">
      <c r="A12" s="1827" t="s">
        <v>1787</v>
      </c>
      <c r="B12" s="2515" t="s">
        <v>2422</v>
      </c>
      <c r="C12" s="797">
        <f ca="1">ROUND(IF(F12="押一",C8/12*F13,IF(F12="押二",C8/12*2*F13,IF(F12="押三",C8/12*3*F13,C13*F13))),0)</f>
        <v>0</v>
      </c>
      <c r="D12" s="2522" t="s">
        <v>2927</v>
      </c>
      <c r="E12" s="2519" t="s">
        <v>2427</v>
      </c>
      <c r="F12" s="2642"/>
      <c r="G12" s="1590"/>
      <c r="H12" s="2582" t="s">
        <v>1787</v>
      </c>
      <c r="I12" s="2587" t="s">
        <v>2422</v>
      </c>
      <c r="J12" s="781">
        <f ca="1">ROUND(IF(M12="押一",J8/12*M13,IF(M12="押二",J8/12*2*M13,IF(M12="押三",J8/12*3*M13,J13*M13))),0)</f>
        <v>0</v>
      </c>
      <c r="K12" s="2522" t="s">
        <v>2927</v>
      </c>
      <c r="L12" s="2519" t="s">
        <v>2427</v>
      </c>
      <c r="M12" s="2642"/>
    </row>
    <row r="13" spans="1:25" ht="18" customHeight="1">
      <c r="A13" s="788"/>
      <c r="B13" s="2516" t="s">
        <v>2536</v>
      </c>
      <c r="C13" s="2520"/>
      <c r="D13" s="787"/>
      <c r="E13" s="2519" t="s">
        <v>2419</v>
      </c>
      <c r="F13" s="794">
        <f ca="1">'数据-取费表'!B39</f>
        <v>1.4999999999999999E-2</v>
      </c>
      <c r="G13" s="1590"/>
      <c r="H13" s="2583"/>
      <c r="I13" s="2516" t="s">
        <v>2536</v>
      </c>
      <c r="J13" s="2520"/>
      <c r="K13" s="2584"/>
      <c r="L13" s="2519" t="s">
        <v>2419</v>
      </c>
      <c r="M13" s="2513">
        <f ca="1">'数据-取费表'!B39</f>
        <v>1.4999999999999999E-2</v>
      </c>
    </row>
    <row r="14" spans="1:25" ht="18" customHeight="1" thickBot="1">
      <c r="A14" s="2558" t="s">
        <v>2430</v>
      </c>
      <c r="B14" s="2559" t="s">
        <v>2423</v>
      </c>
      <c r="C14" s="2560"/>
      <c r="D14" s="2561"/>
      <c r="E14" s="2562"/>
      <c r="F14" s="2563"/>
      <c r="G14" s="1590"/>
      <c r="H14" s="2572" t="s">
        <v>2430</v>
      </c>
      <c r="I14" s="2585" t="s">
        <v>2423</v>
      </c>
      <c r="J14" s="2586"/>
      <c r="K14" s="2561"/>
      <c r="L14" s="2562"/>
      <c r="M14" s="2575"/>
    </row>
    <row r="15" spans="1:25" ht="18" customHeight="1" thickTop="1">
      <c r="A15" s="1826" t="s">
        <v>1836</v>
      </c>
      <c r="B15" s="1824" t="s">
        <v>606</v>
      </c>
      <c r="C15" s="790">
        <f ca="1">ROUND(C31*F15,0)</f>
        <v>0</v>
      </c>
      <c r="D15" s="1831" t="s">
        <v>607</v>
      </c>
      <c r="E15" s="793" t="s">
        <v>608</v>
      </c>
      <c r="F15" s="798">
        <f ca="1">INDIRECT("'数据-取费表'!y"&amp;$G$1)</f>
        <v>0</v>
      </c>
      <c r="G15" s="1590"/>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90"/>
      <c r="H16" s="801" t="s">
        <v>2032</v>
      </c>
      <c r="I16" s="2228" t="s">
        <v>2787</v>
      </c>
      <c r="J16" s="52">
        <f ca="1">C31</f>
        <v>0</v>
      </c>
      <c r="K16" s="25"/>
      <c r="L16" s="799"/>
      <c r="M16" s="800"/>
    </row>
    <row r="17" spans="1:25" s="2061" customFormat="1" ht="18" customHeight="1">
      <c r="A17" s="801" t="s">
        <v>1811</v>
      </c>
      <c r="B17" s="782" t="s">
        <v>612</v>
      </c>
      <c r="C17" s="52">
        <f ca="1">ROUND(C16*F17,0)</f>
        <v>0</v>
      </c>
      <c r="D17" s="804" t="s">
        <v>613</v>
      </c>
      <c r="E17" s="804" t="s">
        <v>614</v>
      </c>
      <c r="F17" s="805">
        <f>'数据-取费表'!B33</f>
        <v>0.03</v>
      </c>
      <c r="G17" s="1591"/>
      <c r="H17" s="801" t="s">
        <v>2033</v>
      </c>
      <c r="I17" s="782" t="s">
        <v>608</v>
      </c>
      <c r="J17" s="806">
        <f ca="1">INDIRECT("'数据-取费表'!ad"&amp;$G$1)</f>
        <v>0</v>
      </c>
      <c r="K17" s="25"/>
      <c r="L17" s="799"/>
      <c r="M17" s="800"/>
      <c r="N17" s="2060"/>
      <c r="O17" s="2060"/>
      <c r="P17" s="2060"/>
      <c r="Q17" s="2060"/>
      <c r="R17" s="2060"/>
      <c r="S17" s="2060"/>
      <c r="T17" s="2060"/>
      <c r="U17" s="2060"/>
      <c r="V17" s="2060"/>
      <c r="W17" s="2060"/>
      <c r="X17" s="2060"/>
      <c r="Y17" s="2060"/>
    </row>
    <row r="18" spans="1:25" ht="18" customHeight="1">
      <c r="A18" s="801" t="s">
        <v>1812</v>
      </c>
      <c r="B18" s="782" t="s">
        <v>615</v>
      </c>
      <c r="C18" s="52">
        <f ca="1">ROUND(INDIRECT("'数据-取费表'!m"&amp;$G$1)*F18,0)</f>
        <v>0</v>
      </c>
      <c r="D18" s="782" t="s">
        <v>613</v>
      </c>
      <c r="E18" s="782" t="s">
        <v>614</v>
      </c>
      <c r="F18" s="807">
        <f ca="1">IF(INDIRECT("'数据-取费表'!c"&amp;$G$1)="住宅",'数据-取费表'!B34,0)</f>
        <v>0.05</v>
      </c>
      <c r="G18" s="1590"/>
      <c r="H18" s="795" t="s">
        <v>1789</v>
      </c>
      <c r="I18" s="796" t="s">
        <v>616</v>
      </c>
      <c r="J18" s="797">
        <f ca="1">ROUND(J19+J24+J25+J26,0)</f>
        <v>0</v>
      </c>
      <c r="K18" s="25" t="s">
        <v>617</v>
      </c>
      <c r="L18" s="1979"/>
      <c r="M18" s="55"/>
    </row>
    <row r="19" spans="1:25" s="2061" customFormat="1" ht="18" customHeight="1">
      <c r="A19" s="801" t="s">
        <v>1813</v>
      </c>
      <c r="B19" s="782" t="s">
        <v>618</v>
      </c>
      <c r="C19" s="52">
        <f ca="1">ROUND(F19*(INDIRECT("'数据-取费表'!k"&amp;$G$1)+INDIRECT("'数据-取费表'!S"&amp;$G$1))/10000,0)</f>
        <v>0</v>
      </c>
      <c r="D19" s="782" t="s">
        <v>619</v>
      </c>
      <c r="E19" s="782" t="s">
        <v>620</v>
      </c>
      <c r="F19" s="55">
        <f>'数据-取费表'!B35</f>
        <v>200</v>
      </c>
      <c r="G19" s="1591"/>
      <c r="H19" s="801" t="s">
        <v>2032</v>
      </c>
      <c r="I19" s="782" t="s">
        <v>621</v>
      </c>
      <c r="J19" s="52">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2">
        <f ca="1">ROUND(C16*F20,0)</f>
        <v>0</v>
      </c>
      <c r="D20" s="782" t="s">
        <v>613</v>
      </c>
      <c r="E20" s="782" t="s">
        <v>614</v>
      </c>
      <c r="F20" s="807">
        <f>'数据-取费表'!B36</f>
        <v>1.4999999999999999E-2</v>
      </c>
      <c r="G20" s="1591"/>
      <c r="H20" s="801" t="s">
        <v>1793</v>
      </c>
      <c r="I20" s="782" t="s">
        <v>625</v>
      </c>
      <c r="J20" s="52">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2">
        <f ca="1">SUM(C16:C20)</f>
        <v>0</v>
      </c>
      <c r="D21" s="259" t="s">
        <v>628</v>
      </c>
      <c r="E21" s="1979"/>
      <c r="F21" s="55"/>
      <c r="G21" s="1590"/>
      <c r="H21" s="1827" t="s">
        <v>1811</v>
      </c>
      <c r="I21" s="782" t="s">
        <v>629</v>
      </c>
      <c r="J21" s="52">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2">
        <f ca="1">ROUND(C21*F22,0)</f>
        <v>0</v>
      </c>
      <c r="D22" s="810" t="s">
        <v>632</v>
      </c>
      <c r="E22" s="782" t="s">
        <v>614</v>
      </c>
      <c r="F22" s="807">
        <f>'数据-取费表'!B37</f>
        <v>0.02</v>
      </c>
      <c r="G22" s="1591"/>
      <c r="H22" s="1829" t="s">
        <v>1812</v>
      </c>
      <c r="I22" s="1819" t="s">
        <v>633</v>
      </c>
      <c r="J22" s="53">
        <f ca="1">ROUND(M22*M23/10000,0)</f>
        <v>0</v>
      </c>
      <c r="K22" s="812" t="s">
        <v>634</v>
      </c>
      <c r="L22" s="782" t="s">
        <v>635</v>
      </c>
      <c r="M22" s="638">
        <f>'数据-取费表'!B52</f>
        <v>3</v>
      </c>
      <c r="N22" s="2060"/>
      <c r="O22" s="2060"/>
      <c r="P22" s="2060"/>
      <c r="Q22" s="2060"/>
      <c r="R22" s="2060"/>
      <c r="S22" s="2060"/>
      <c r="T22" s="2060"/>
      <c r="U22" s="2060"/>
      <c r="V22" s="2060"/>
      <c r="W22" s="2060"/>
      <c r="X22" s="2060"/>
      <c r="Y22" s="2060"/>
    </row>
    <row r="23" spans="1:25" s="2061" customFormat="1" ht="18" customHeight="1">
      <c r="A23" s="801" t="s">
        <v>1840</v>
      </c>
      <c r="B23" s="782" t="s">
        <v>636</v>
      </c>
      <c r="C23" s="52" t="s">
        <v>1</v>
      </c>
      <c r="D23" s="810" t="s">
        <v>637</v>
      </c>
      <c r="E23" s="782" t="s">
        <v>638</v>
      </c>
      <c r="F23" s="807">
        <f>'数据-取费表'!B38</f>
        <v>0.02</v>
      </c>
      <c r="G23" s="1591"/>
      <c r="H23" s="1830"/>
      <c r="I23" s="1821"/>
      <c r="J23" s="68"/>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2"/>
      <c r="D24" s="2593" t="str">
        <f>IF(F25&lt;=1,"单利计息。","复利计息。")&amp;"建造成本、管理费用、销售费用产生的利息。"</f>
        <v>复利计息。建造成本、管理费用、销售费用产生的利息。</v>
      </c>
      <c r="E24" s="1979"/>
      <c r="F24" s="55"/>
      <c r="G24" s="1590"/>
      <c r="H24" s="1828" t="s">
        <v>2033</v>
      </c>
      <c r="I24" s="782" t="s">
        <v>641</v>
      </c>
      <c r="J24" s="52">
        <f ca="1">ROUND(J16*M24,0)</f>
        <v>0</v>
      </c>
      <c r="K24" s="1974" t="s">
        <v>642</v>
      </c>
      <c r="L24" s="782" t="s">
        <v>614</v>
      </c>
      <c r="M24" s="815">
        <f ca="1">INDIRECT("'数据-取费表'!Ak"&amp;$G$1)</f>
        <v>0</v>
      </c>
    </row>
    <row r="25" spans="1:25" s="2061" customFormat="1" ht="18" customHeight="1">
      <c r="A25" s="801" t="s">
        <v>1837</v>
      </c>
      <c r="B25" s="782" t="s">
        <v>2400</v>
      </c>
      <c r="C25" s="52">
        <f ca="1">ROUND(IF('数据-取费表'!B22&lt;=1,(C21+C22)*F26*F25/2,(C21+C22)*(POWER((1+F26),F25/2)-1)),0)</f>
        <v>0</v>
      </c>
      <c r="D25" s="2592" t="str">
        <f>IF(F25&lt;=1,"(建造成本+管理费用)×利率×(建设周期÷2)","(建造成本+管理费用)×((1+利率)^(建设周期÷2)-1)")</f>
        <v>(建造成本+管理费用)×((1+利率)^(建设周期÷2)-1)</v>
      </c>
      <c r="E25" s="782" t="s">
        <v>643</v>
      </c>
      <c r="F25" s="638">
        <f>'数据-取费表'!B20</f>
        <v>2</v>
      </c>
      <c r="G25" s="1591"/>
      <c r="H25" s="801" t="s">
        <v>1840</v>
      </c>
      <c r="I25" s="782" t="s">
        <v>644</v>
      </c>
      <c r="J25" s="52">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2">
        <f ca="1">ROUND(IF('数据-取费表'!B22&lt;=1,F23*F26*F25/2,F23*(POWER((1+F26),F25/2)-1)),4)</f>
        <v>1E-3</v>
      </c>
      <c r="D26" s="2592" t="str">
        <f>IF(F25&lt;=1,"销售费用×利率×(建设周期÷2)","销售费用×((1+利率)^(建设周期÷2)-1)")</f>
        <v>销售费用×((1+利率)^(建设周期÷2)-1)</v>
      </c>
      <c r="E26" s="782" t="s">
        <v>647</v>
      </c>
      <c r="F26" s="817">
        <f ca="1">'数据-取费表'!B40</f>
        <v>4.7500000000000001E-2</v>
      </c>
      <c r="G26" s="1591"/>
      <c r="H26" s="801" t="s">
        <v>1841</v>
      </c>
      <c r="I26" s="782" t="s">
        <v>631</v>
      </c>
      <c r="J26" s="52">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2"/>
      <c r="D27" s="259" t="s">
        <v>650</v>
      </c>
      <c r="E27" s="1979"/>
      <c r="F27" s="55"/>
      <c r="G27" s="1590"/>
      <c r="H27" s="795" t="s">
        <v>1790</v>
      </c>
      <c r="I27" s="3032" t="s">
        <v>2784</v>
      </c>
      <c r="J27" s="797">
        <f ca="1">J7-J18</f>
        <v>0</v>
      </c>
      <c r="K27" s="1976" t="s">
        <v>665</v>
      </c>
      <c r="L27" s="1978"/>
      <c r="M27" s="818"/>
    </row>
    <row r="28" spans="1:25" ht="18" customHeight="1">
      <c r="A28" s="801" t="s">
        <v>1837</v>
      </c>
      <c r="B28" s="782" t="s">
        <v>2401</v>
      </c>
      <c r="C28" s="52">
        <f ca="1">ROUND((C21+C22)*F28,0)</f>
        <v>0</v>
      </c>
      <c r="D28" s="810" t="s">
        <v>666</v>
      </c>
      <c r="E28" s="793" t="s">
        <v>667</v>
      </c>
      <c r="F28" s="792">
        <f ca="1">INDIRECT("'数据-取费表'!q"&amp;$G$1)</f>
        <v>0</v>
      </c>
      <c r="G28" s="1590"/>
      <c r="H28" s="779" t="s">
        <v>1799</v>
      </c>
      <c r="I28" s="780" t="s">
        <v>668</v>
      </c>
      <c r="J28" s="781">
        <f ca="1">IF(J7&lt;&gt;0,ROUND(J27*(1-((1+M30)/(1+M28))^M29)/(M28-M30),0),0)</f>
        <v>0</v>
      </c>
      <c r="K28" s="812" t="s">
        <v>669</v>
      </c>
      <c r="L28" s="782" t="s">
        <v>670</v>
      </c>
      <c r="M28" s="792">
        <f ca="1">INDIRECT("'数据-取费表'!I"&amp;$G$1)</f>
        <v>4.4999999999999998E-2</v>
      </c>
    </row>
    <row r="29" spans="1:25" ht="18" customHeight="1">
      <c r="A29" s="801" t="s">
        <v>1811</v>
      </c>
      <c r="B29" s="782" t="s">
        <v>651</v>
      </c>
      <c r="C29" s="52">
        <f ca="1">ROUND(F23*F28,4)</f>
        <v>0</v>
      </c>
      <c r="D29" s="810" t="s">
        <v>671</v>
      </c>
      <c r="E29" s="804"/>
      <c r="F29" s="805"/>
      <c r="G29" s="1590"/>
      <c r="H29" s="784"/>
      <c r="I29" s="785"/>
      <c r="J29" s="786"/>
      <c r="K29" s="819" t="s">
        <v>672</v>
      </c>
      <c r="L29" s="782" t="s">
        <v>673</v>
      </c>
      <c r="M29" s="820">
        <f ca="1">INDIRECT("'数据-取费表'!ag"&amp;$G$1)</f>
        <v>0</v>
      </c>
    </row>
    <row r="30" spans="1:25" s="2061" customFormat="1" ht="18" customHeight="1">
      <c r="A30" s="801" t="s">
        <v>1844</v>
      </c>
      <c r="B30" s="782" t="s">
        <v>652</v>
      </c>
      <c r="C30" s="52">
        <f>ROUND(F30/(1+'数据-取费表'!C42),4)</f>
        <v>5.33E-2</v>
      </c>
      <c r="D30" s="810" t="s">
        <v>674</v>
      </c>
      <c r="E30" s="782" t="s">
        <v>614</v>
      </c>
      <c r="F30" s="807">
        <f>'数据-取费表'!B41</f>
        <v>5.6000000000000001E-2</v>
      </c>
      <c r="G30" s="1591"/>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1845</v>
      </c>
      <c r="B31" s="2562" t="s">
        <v>2785</v>
      </c>
      <c r="C31" s="2565">
        <f ca="1">ROUND((C21+C22+C25+C28)/(1-F23-C26-C29-C30),0)</f>
        <v>0</v>
      </c>
      <c r="D31" s="2566"/>
      <c r="E31" s="2567"/>
      <c r="F31" s="2568"/>
      <c r="G31" s="1591"/>
      <c r="H31" s="821" t="s">
        <v>1834</v>
      </c>
      <c r="I31" s="3033" t="s">
        <v>2786</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508"/>
      <c r="F32" s="2512"/>
      <c r="G32" s="2059"/>
      <c r="H32" s="2062"/>
      <c r="I32" s="2063"/>
      <c r="J32" s="2064"/>
      <c r="K32" s="2065"/>
      <c r="L32" s="2066"/>
      <c r="M32" s="2067"/>
    </row>
    <row r="33" spans="1:18" ht="18" customHeight="1">
      <c r="A33" s="801" t="s">
        <v>1838</v>
      </c>
      <c r="B33" s="782" t="s">
        <v>621</v>
      </c>
      <c r="C33" s="52">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2">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2">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3">
        <f ca="1">ROUND(F36*F37/10000,1)</f>
        <v>0</v>
      </c>
      <c r="D36" s="812" t="s">
        <v>634</v>
      </c>
      <c r="E36" s="782" t="s">
        <v>635</v>
      </c>
      <c r="F36" s="638">
        <f>'数据-取费表'!B52</f>
        <v>3</v>
      </c>
      <c r="G36" s="2059"/>
      <c r="H36" s="2062"/>
      <c r="I36" s="3484"/>
      <c r="J36" s="2076"/>
      <c r="K36" s="2077"/>
      <c r="L36" s="2076"/>
      <c r="M36" s="2076"/>
    </row>
    <row r="37" spans="1:18" ht="18" customHeight="1">
      <c r="A37" s="813"/>
      <c r="B37" s="791"/>
      <c r="C37" s="68"/>
      <c r="D37" s="814"/>
      <c r="E37" s="782" t="s">
        <v>639</v>
      </c>
      <c r="F37" s="783">
        <f ca="1">INDIRECT("'数据-取费表'!r"&amp;$G$1)</f>
        <v>0</v>
      </c>
      <c r="G37" s="2059"/>
      <c r="H37" s="2062"/>
      <c r="I37" s="3484"/>
      <c r="J37" s="2074"/>
      <c r="K37" s="2075"/>
      <c r="L37" s="2074"/>
      <c r="M37" s="2074"/>
    </row>
    <row r="38" spans="1:18" ht="18" customHeight="1">
      <c r="A38" s="801" t="s">
        <v>1839</v>
      </c>
      <c r="B38" s="782" t="s">
        <v>641</v>
      </c>
      <c r="C38" s="52">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2">
        <f ca="1">ROUND(C15*F39,1)</f>
        <v>0</v>
      </c>
      <c r="D39" s="1974" t="s">
        <v>645</v>
      </c>
      <c r="E39" s="782" t="s">
        <v>614</v>
      </c>
      <c r="F39" s="816">
        <f ca="1">INDIRECT("'数据-取费表'!Al"&amp;$G$1)</f>
        <v>0</v>
      </c>
      <c r="G39" s="2059"/>
      <c r="H39" s="2074"/>
      <c r="I39" s="2078"/>
      <c r="J39" s="1985"/>
      <c r="K39" s="2079"/>
      <c r="L39" s="2074"/>
      <c r="M39" s="2074"/>
    </row>
    <row r="40" spans="1:18" ht="18" customHeight="1" thickBot="1">
      <c r="A40" s="2581" t="s">
        <v>1841</v>
      </c>
      <c r="B40" s="2567" t="s">
        <v>631</v>
      </c>
      <c r="C40" s="2565">
        <f ca="1">ROUND(C7*F40,1)</f>
        <v>0</v>
      </c>
      <c r="D40" s="2566" t="s">
        <v>648</v>
      </c>
      <c r="E40" s="2567" t="s">
        <v>614</v>
      </c>
      <c r="F40" s="2563">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149" t="s">
        <v>2916</v>
      </c>
      <c r="F43" s="3150">
        <f ca="1">INDIRECT("'数据-取费表'!j"&amp;$G$1)</f>
        <v>8.5000000000000006E-2</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59">
        <f ca="1">ROUND(-PV(F45,F46,C44,0),0)</f>
        <v>0</v>
      </c>
      <c r="D45" s="1356" t="s">
        <v>681</v>
      </c>
      <c r="E45" s="804" t="s">
        <v>682</v>
      </c>
      <c r="F45" s="828">
        <f ca="1">INDIRECT("'数据-取费表'!h"&amp;$G$1)</f>
        <v>0.04</v>
      </c>
      <c r="G45" s="2059"/>
      <c r="H45" s="2059"/>
      <c r="I45" s="2059"/>
      <c r="J45" s="2059"/>
      <c r="K45" s="2080"/>
      <c r="L45" s="2059"/>
      <c r="M45" s="2059"/>
    </row>
    <row r="46" spans="1:18" ht="18" customHeight="1" thickBot="1">
      <c r="A46" s="829"/>
      <c r="B46" s="1357"/>
      <c r="C46" s="1358"/>
      <c r="D46" s="1359"/>
      <c r="E46" s="3151"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2305</v>
      </c>
      <c r="J47" s="2376"/>
      <c r="K47" s="2377"/>
      <c r="L47" s="2378" t="e">
        <f ca="1">IF(M48="住宅",0,IF(L49&gt;J52,L61,J61))</f>
        <v>#DIV/0!</v>
      </c>
      <c r="O47" s="2415" t="s">
        <v>2373</v>
      </c>
      <c r="P47" s="1590"/>
      <c r="Q47" s="1602"/>
      <c r="R47" s="1590"/>
    </row>
    <row r="48" spans="1:18" s="2056" customFormat="1" ht="18" customHeight="1" thickBot="1">
      <c r="A48" s="2081"/>
      <c r="C48" s="2084"/>
      <c r="D48" s="2085"/>
      <c r="E48" s="2085"/>
      <c r="F48" s="2086"/>
      <c r="G48" s="2087"/>
      <c r="I48" s="2379" t="s">
        <v>2306</v>
      </c>
      <c r="J48" s="2384"/>
      <c r="K48" s="2385" t="s">
        <v>2312</v>
      </c>
      <c r="L48" s="2386">
        <f ca="1">INDIRECT("'数据-取费表'!d"&amp;$G$1)</f>
        <v>70</v>
      </c>
      <c r="M48" s="3146" t="str">
        <f>IF(ISNUMBER(FIND("住宅",C1)),"住宅","非住宅")</f>
        <v>非住宅</v>
      </c>
      <c r="O48" s="2416" t="s">
        <v>2338</v>
      </c>
      <c r="P48" s="2417" t="s">
        <v>2339</v>
      </c>
      <c r="Q48" s="2418" t="s">
        <v>2340</v>
      </c>
      <c r="R48" s="2417" t="s">
        <v>2341</v>
      </c>
    </row>
    <row r="49" spans="1:18" s="2056" customFormat="1" ht="18" customHeight="1" thickBot="1">
      <c r="A49" s="2081"/>
      <c r="D49" s="2088"/>
      <c r="E49" s="2089"/>
      <c r="F49" s="2086"/>
      <c r="G49" s="2087"/>
      <c r="H49" s="2090"/>
      <c r="I49" s="2380" t="s">
        <v>2307</v>
      </c>
      <c r="J49" s="2387"/>
      <c r="K49" s="2388" t="s">
        <v>2314</v>
      </c>
      <c r="L49" s="2389">
        <f ca="1">INDIRECT("'数据-取费表'!f"&amp;$G$1)</f>
        <v>69.11</v>
      </c>
      <c r="O49" s="2419" t="s">
        <v>2342</v>
      </c>
      <c r="P49" s="2420" t="s">
        <v>2368</v>
      </c>
      <c r="Q49" s="2421">
        <f ca="1">C41+J31</f>
        <v>0</v>
      </c>
      <c r="R49" s="2420" t="s">
        <v>2343</v>
      </c>
    </row>
    <row r="50" spans="1:18" s="2056" customFormat="1" ht="18" customHeight="1" thickBot="1">
      <c r="A50" s="2081"/>
      <c r="D50" s="2091"/>
      <c r="E50" s="2091"/>
      <c r="F50" s="2085"/>
      <c r="G50" s="2092"/>
      <c r="H50" s="2090"/>
      <c r="I50" s="2380" t="s">
        <v>2308</v>
      </c>
      <c r="J50" s="2390"/>
      <c r="K50" s="2391" t="s">
        <v>2315</v>
      </c>
      <c r="L50" s="2392"/>
      <c r="O50" s="2419" t="s">
        <v>2344</v>
      </c>
      <c r="P50" s="2420" t="s">
        <v>2369</v>
      </c>
      <c r="Q50" s="2421" t="str">
        <f ca="1">J61</f>
        <v>0</v>
      </c>
      <c r="R50" s="2420" t="s">
        <v>2345</v>
      </c>
    </row>
    <row r="51" spans="1:18" s="2056" customFormat="1" ht="18" customHeight="1" thickBot="1">
      <c r="A51" s="2093"/>
      <c r="D51" s="2091"/>
      <c r="E51" s="2091"/>
      <c r="F51" s="2082"/>
      <c r="H51" s="2090"/>
      <c r="I51" s="2380" t="s">
        <v>2309</v>
      </c>
      <c r="J51" s="2393">
        <f>SUMPRODUCT((I64:I66=J48)*(J63:L63=J49)*(J64:L66))</f>
        <v>0</v>
      </c>
      <c r="K51" s="2391" t="s">
        <v>2316</v>
      </c>
      <c r="L51" s="2392"/>
      <c r="O51" s="2422" t="s">
        <v>2346</v>
      </c>
      <c r="P51" s="2420" t="s">
        <v>2370</v>
      </c>
      <c r="Q51" s="2421">
        <f ca="1">C31</f>
        <v>0</v>
      </c>
      <c r="R51" s="2420" t="s">
        <v>2343</v>
      </c>
    </row>
    <row r="52" spans="1:18" s="2056" customFormat="1" ht="18" customHeight="1" thickBot="1">
      <c r="A52" s="2093"/>
      <c r="F52" s="2082"/>
      <c r="I52" s="2381" t="s">
        <v>2310</v>
      </c>
      <c r="J52" s="2394">
        <f>IF(J50="",J51,J50+J51-YEAR('数据-取费表'!B3))</f>
        <v>0</v>
      </c>
      <c r="K52" s="2380" t="s">
        <v>2317</v>
      </c>
      <c r="L52" s="2395">
        <f ca="1">ROUND(-PV(INDIRECT("'数据-取费表'!h"&amp;$G$1),L49,(C40-C14*J36),0),0)</f>
        <v>0</v>
      </c>
      <c r="O52" s="2422" t="s">
        <v>2347</v>
      </c>
      <c r="P52" s="2420" t="s">
        <v>2348</v>
      </c>
      <c r="Q52" s="2423" t="e">
        <f ca="1">J59</f>
        <v>#VALUE!</v>
      </c>
      <c r="R52" s="2424"/>
    </row>
    <row r="53" spans="1:18" s="2056" customFormat="1" ht="18" customHeight="1" thickBot="1">
      <c r="A53" s="2093"/>
      <c r="F53" s="2082"/>
      <c r="I53" s="2382" t="s">
        <v>2384</v>
      </c>
      <c r="J53" s="2396"/>
      <c r="K53" s="2382" t="s">
        <v>2383</v>
      </c>
      <c r="L53" s="2396"/>
      <c r="O53" s="2422" t="s">
        <v>2349</v>
      </c>
      <c r="P53" s="2420" t="s">
        <v>2350</v>
      </c>
      <c r="Q53" s="2423">
        <f>J53</f>
        <v>0</v>
      </c>
      <c r="R53" s="2424"/>
    </row>
    <row r="54" spans="1:18" s="2056" customFormat="1" ht="43.5" thickBot="1">
      <c r="A54" s="2093"/>
      <c r="I54" s="2383" t="s">
        <v>2311</v>
      </c>
      <c r="J54" s="2397">
        <f ca="1">IF(M48="住宅",J52,IF(J52&gt;L49,L49-'数据-取费表'!B25,J52))</f>
        <v>0</v>
      </c>
      <c r="K54" s="3489"/>
      <c r="L54" s="3490"/>
      <c r="O54" s="2422" t="s">
        <v>2351</v>
      </c>
      <c r="P54" s="2420" t="s">
        <v>2352</v>
      </c>
      <c r="Q54" s="2421">
        <f ca="1">J54</f>
        <v>0</v>
      </c>
      <c r="R54" s="2420" t="s">
        <v>2353</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2354</v>
      </c>
      <c r="P55" s="2420" t="s">
        <v>2371</v>
      </c>
      <c r="Q55" s="2421">
        <f ca="1">Q49+Q50</f>
        <v>0</v>
      </c>
      <c r="R55" s="2424" t="s">
        <v>2355</v>
      </c>
    </row>
    <row r="56" spans="1:18" s="2056" customFormat="1" ht="16.5" thickBot="1">
      <c r="A56" s="2093"/>
      <c r="B56" s="2094"/>
      <c r="C56" s="2094"/>
      <c r="I56" s="3123" t="s">
        <v>2318</v>
      </c>
      <c r="J56" s="3147" t="e">
        <f ca="1">ROUND(IF(J48="钢混",J58/J51,1-(1-2%)*(J51-J58)/J51),3)</f>
        <v>#VALUE!</v>
      </c>
      <c r="K56" s="2398" t="s">
        <v>2319</v>
      </c>
      <c r="L56" s="2399"/>
      <c r="O56" s="2425" t="s">
        <v>2374</v>
      </c>
      <c r="P56" s="1590"/>
      <c r="Q56" s="1602"/>
      <c r="R56" s="1590"/>
    </row>
    <row r="57" spans="1:18" s="2056" customFormat="1" ht="43.5" thickBot="1">
      <c r="A57" s="2093"/>
      <c r="B57" s="2094"/>
      <c r="C57" s="2094"/>
      <c r="I57" s="2400" t="s">
        <v>2320</v>
      </c>
      <c r="J57" s="3146" t="s">
        <v>1643</v>
      </c>
      <c r="K57" s="2380" t="s">
        <v>2325</v>
      </c>
      <c r="L57" s="2389">
        <f ca="1">IF(L49&lt;J52,"——",L49-J52)</f>
        <v>69.11</v>
      </c>
      <c r="O57" s="2416" t="s">
        <v>2338</v>
      </c>
      <c r="P57" s="2417" t="s">
        <v>2339</v>
      </c>
      <c r="Q57" s="2418" t="s">
        <v>2340</v>
      </c>
      <c r="R57" s="2417" t="s">
        <v>2341</v>
      </c>
    </row>
    <row r="58" spans="1:18" s="2056" customFormat="1" ht="29.25" thickBot="1">
      <c r="A58" s="2093"/>
      <c r="B58" s="2094"/>
      <c r="C58" s="2094"/>
      <c r="I58" s="2401" t="s">
        <v>2321</v>
      </c>
      <c r="J58" s="2403" t="str">
        <f ca="1">IF(OR(M48="住宅",J52&lt;L49,J57="是"),"——",J52-L49)</f>
        <v>——</v>
      </c>
      <c r="K58" s="2380" t="s">
        <v>2326</v>
      </c>
      <c r="L58" s="2389">
        <f ca="1">IF(L49&lt;J52,"——",IF(L56="比较法",L50,IF(L56="基准地价",L51,L52)))</f>
        <v>0</v>
      </c>
      <c r="O58" s="2419" t="s">
        <v>2342</v>
      </c>
      <c r="P58" s="2420" t="s">
        <v>2368</v>
      </c>
      <c r="Q58" s="2421">
        <f ca="1">C41+J31</f>
        <v>0</v>
      </c>
      <c r="R58" s="2420" t="s">
        <v>2343</v>
      </c>
    </row>
    <row r="59" spans="1:18" s="2056" customFormat="1" ht="29.25" thickBot="1">
      <c r="A59" s="2093"/>
      <c r="B59" s="2094"/>
      <c r="C59" s="2094"/>
      <c r="I59" s="2401" t="s">
        <v>2322</v>
      </c>
      <c r="J59" s="3148" t="e">
        <f ca="1">IF(J56&lt;0.4,0.4,J56)</f>
        <v>#VALUE!</v>
      </c>
      <c r="K59" s="2380" t="s">
        <v>2327</v>
      </c>
      <c r="L59" s="2389">
        <f ca="1">IF(ISERROR(POWER(1+L53,L48-L49)*(POWER(1+L53,L49)-1)/(POWER(1+L53,L48)-1)),0,POWER(1+L53,L48-L49)*(POWER(1+L53,L49)-1)/(POWER(1+L53,L48)-1))</f>
        <v>0</v>
      </c>
      <c r="O59" s="2419" t="s">
        <v>2344</v>
      </c>
      <c r="P59" s="2420" t="s">
        <v>2375</v>
      </c>
      <c r="Q59" s="2421" t="e">
        <f ca="1">L61</f>
        <v>#DIV/0!</v>
      </c>
      <c r="R59" s="2424" t="s">
        <v>2377</v>
      </c>
    </row>
    <row r="60" spans="1:18" s="2056" customFormat="1" ht="29.25" thickBot="1">
      <c r="A60" s="2093"/>
      <c r="B60" s="2094"/>
      <c r="C60" s="2094"/>
      <c r="I60" s="2401" t="s">
        <v>2323</v>
      </c>
      <c r="J60" s="2403" t="str">
        <f ca="1">IF(OR(M48="住宅",J52&lt;L49,J57="是"),"——",ROUND(C30*J59,0))</f>
        <v>——</v>
      </c>
      <c r="K60" s="2380" t="s">
        <v>2328</v>
      </c>
      <c r="L60" s="2389">
        <f ca="1">IF(ISERROR(POWER(1+L53,L48-J52)*(POWER(1+L53,J52)-1)/(POWER(1+L53,L48)-1)),0,POWER(1+L53,L48-J52)*(POWER(1+L53,J52)-1)/(POWER(1+L53,L48)-1))</f>
        <v>0</v>
      </c>
      <c r="O60" s="2422" t="s">
        <v>2346</v>
      </c>
      <c r="P60" s="2420" t="s">
        <v>2376</v>
      </c>
      <c r="Q60" s="2421">
        <f>IF(L56="比较法",L50,IF(L56="基准地价",L51,0))</f>
        <v>0</v>
      </c>
      <c r="R60" s="2420" t="s">
        <v>2343</v>
      </c>
    </row>
    <row r="61" spans="1:18" s="2056" customFormat="1" ht="15.75" thickBot="1">
      <c r="A61" s="2093"/>
      <c r="B61" s="2094"/>
      <c r="C61" s="2094"/>
      <c r="I61" s="2402" t="s">
        <v>2324</v>
      </c>
      <c r="J61" s="2404" t="str">
        <f ca="1">IF(OR(M48="住宅",J52&lt;L49,J57="是"),"0",ROUND(J60/(1+J53)^J54,0))</f>
        <v>0</v>
      </c>
      <c r="K61" s="2405" t="s">
        <v>2329</v>
      </c>
      <c r="L61" s="2404" t="e">
        <f ca="1">IF(OR(M48="住宅",L49&lt;J52),0,ROUND(L58*(L59/L60-1),0))</f>
        <v>#DIV/0!</v>
      </c>
      <c r="O61" s="2422" t="s">
        <v>2347</v>
      </c>
      <c r="P61" s="2420" t="s">
        <v>2356</v>
      </c>
      <c r="Q61" s="2423">
        <f>L53</f>
        <v>0</v>
      </c>
      <c r="R61" s="2424"/>
    </row>
    <row r="62" spans="1:18" s="2056" customFormat="1" ht="20.25" thickBot="1">
      <c r="A62" s="2093"/>
      <c r="B62" s="2094"/>
      <c r="C62" s="2094"/>
      <c r="K62" s="2083"/>
      <c r="O62" s="2422" t="s">
        <v>2349</v>
      </c>
      <c r="P62" s="2420" t="s">
        <v>2357</v>
      </c>
      <c r="Q62" s="2421">
        <f ca="1">L59</f>
        <v>0</v>
      </c>
      <c r="R62" s="2424" t="s">
        <v>2358</v>
      </c>
    </row>
    <row r="63" spans="1:18" s="2056" customFormat="1" ht="20.25" thickBot="1">
      <c r="A63" s="2093"/>
      <c r="B63" s="2094"/>
      <c r="C63" s="2094"/>
      <c r="I63" s="2406" t="s">
        <v>2330</v>
      </c>
      <c r="J63" s="2407" t="s">
        <v>2331</v>
      </c>
      <c r="K63" s="2407" t="s">
        <v>2332</v>
      </c>
      <c r="L63" s="2407" t="s">
        <v>2313</v>
      </c>
      <c r="M63" s="3125" t="s">
        <v>2896</v>
      </c>
      <c r="O63" s="2422" t="s">
        <v>2351</v>
      </c>
      <c r="P63" s="2420" t="s">
        <v>2359</v>
      </c>
      <c r="Q63" s="2421">
        <f ca="1">L60</f>
        <v>0</v>
      </c>
      <c r="R63" s="2424" t="s">
        <v>2360</v>
      </c>
    </row>
    <row r="64" spans="1:18" s="2056" customFormat="1" ht="15.75" thickBot="1">
      <c r="A64" s="2093"/>
      <c r="B64" s="2094"/>
      <c r="C64" s="2094"/>
      <c r="I64" s="2406" t="s">
        <v>2333</v>
      </c>
      <c r="J64" s="2407">
        <v>70</v>
      </c>
      <c r="K64" s="2407">
        <v>50</v>
      </c>
      <c r="L64" s="2407">
        <v>80</v>
      </c>
      <c r="M64" s="3126">
        <v>0.02</v>
      </c>
      <c r="O64" s="2419" t="s">
        <v>2354</v>
      </c>
      <c r="P64" s="2420" t="s">
        <v>2371</v>
      </c>
      <c r="Q64" s="2421" t="e">
        <f ca="1">Q58+Q59</f>
        <v>#DIV/0!</v>
      </c>
      <c r="R64" s="2424" t="s">
        <v>2355</v>
      </c>
    </row>
    <row r="65" spans="1:18" s="2056" customFormat="1" ht="16.5" thickBot="1">
      <c r="A65" s="2093"/>
      <c r="B65" s="2094"/>
      <c r="C65" s="2094"/>
      <c r="I65" s="2406" t="s">
        <v>2334</v>
      </c>
      <c r="J65" s="2407">
        <v>50</v>
      </c>
      <c r="K65" s="2407">
        <v>35</v>
      </c>
      <c r="L65" s="2407">
        <v>60</v>
      </c>
      <c r="M65" s="3127">
        <v>0</v>
      </c>
      <c r="O65" s="2425" t="s">
        <v>2378</v>
      </c>
      <c r="P65" s="1590"/>
      <c r="Q65" s="1602"/>
      <c r="R65" s="1590"/>
    </row>
    <row r="66" spans="1:18" s="2056" customFormat="1" ht="15.75" thickBot="1">
      <c r="A66" s="2093"/>
      <c r="B66" s="2094"/>
      <c r="C66" s="2094"/>
      <c r="I66" s="2406" t="s">
        <v>2335</v>
      </c>
      <c r="J66" s="2407">
        <v>40</v>
      </c>
      <c r="K66" s="2407">
        <v>30</v>
      </c>
      <c r="L66" s="2407">
        <v>50</v>
      </c>
      <c r="M66" s="3126">
        <v>0.02</v>
      </c>
      <c r="O66" s="2416" t="s">
        <v>2338</v>
      </c>
      <c r="P66" s="2417" t="s">
        <v>2339</v>
      </c>
      <c r="Q66" s="2418" t="s">
        <v>2340</v>
      </c>
      <c r="R66" s="2417" t="s">
        <v>2341</v>
      </c>
    </row>
    <row r="67" spans="1:18" s="2056" customFormat="1" ht="15.75" thickBot="1">
      <c r="A67" s="2093"/>
      <c r="B67" s="2094"/>
      <c r="C67" s="2094"/>
      <c r="K67" s="2083"/>
      <c r="O67" s="2419" t="s">
        <v>2342</v>
      </c>
      <c r="P67" s="2420" t="s">
        <v>2368</v>
      </c>
      <c r="Q67" s="2421">
        <f ca="1">C41+J31</f>
        <v>0</v>
      </c>
      <c r="R67" s="2420" t="s">
        <v>2343</v>
      </c>
    </row>
    <row r="68" spans="1:18" s="2056" customFormat="1" ht="20.25" thickBot="1">
      <c r="A68" s="2093"/>
      <c r="B68" s="2094"/>
      <c r="C68" s="2094"/>
      <c r="K68" s="2083"/>
      <c r="O68" s="2419" t="s">
        <v>2344</v>
      </c>
      <c r="P68" s="2420" t="s">
        <v>2375</v>
      </c>
      <c r="Q68" s="2421" t="e">
        <f ca="1">L61</f>
        <v>#DIV/0!</v>
      </c>
      <c r="R68" s="2424" t="s">
        <v>2377</v>
      </c>
    </row>
    <row r="69" spans="1:18" s="2056" customFormat="1" ht="21.75" thickBot="1">
      <c r="A69" s="2093"/>
      <c r="B69" s="2094"/>
      <c r="C69" s="2094"/>
      <c r="K69" s="2083"/>
      <c r="O69" s="2422" t="s">
        <v>2346</v>
      </c>
      <c r="P69" s="2420" t="s">
        <v>2376</v>
      </c>
      <c r="Q69" s="2426">
        <f ca="1">L52</f>
        <v>0</v>
      </c>
      <c r="R69" s="2427" t="s">
        <v>2379</v>
      </c>
    </row>
    <row r="70" spans="1:18" s="2056" customFormat="1" ht="20.25" thickBot="1">
      <c r="A70" s="2093"/>
      <c r="B70" s="2094"/>
      <c r="C70" s="2094"/>
      <c r="K70" s="2083"/>
      <c r="O70" s="2422" t="s">
        <v>2347</v>
      </c>
      <c r="P70" s="2428" t="s">
        <v>2361</v>
      </c>
      <c r="Q70" s="2421">
        <f ca="1">ROUND(Q71-Q72*Q73,0)</f>
        <v>0</v>
      </c>
      <c r="R70" s="2424"/>
    </row>
    <row r="71" spans="1:18" s="2056" customFormat="1" ht="15.75" thickBot="1">
      <c r="A71" s="2093"/>
      <c r="B71" s="2094"/>
      <c r="C71" s="2094"/>
      <c r="K71" s="2083"/>
      <c r="O71" s="2422" t="s">
        <v>2362</v>
      </c>
      <c r="P71" s="2428" t="s">
        <v>2363</v>
      </c>
      <c r="Q71" s="2421">
        <f ca="1">C42</f>
        <v>0</v>
      </c>
      <c r="R71" s="2420" t="s">
        <v>2343</v>
      </c>
    </row>
    <row r="72" spans="1:18" s="2056" customFormat="1" ht="15.75" thickBot="1">
      <c r="A72" s="2093"/>
      <c r="B72" s="2094"/>
      <c r="C72" s="2094"/>
      <c r="K72" s="2083"/>
      <c r="O72" s="2422" t="s">
        <v>2364</v>
      </c>
      <c r="P72" s="2428" t="s">
        <v>2365</v>
      </c>
      <c r="Q72" s="2421">
        <f ca="1">C15</f>
        <v>0</v>
      </c>
      <c r="R72" s="2420" t="s">
        <v>2343</v>
      </c>
    </row>
    <row r="73" spans="1:18" s="2056" customFormat="1" ht="15.75" thickBot="1">
      <c r="A73" s="2093"/>
      <c r="B73" s="2094"/>
      <c r="C73" s="2094"/>
      <c r="K73" s="2083"/>
      <c r="O73" s="2422" t="s">
        <v>2366</v>
      </c>
      <c r="P73" s="2428" t="s">
        <v>2367</v>
      </c>
      <c r="Q73" s="2423">
        <f ca="1">F43</f>
        <v>8.5000000000000006E-2</v>
      </c>
      <c r="R73" s="2424"/>
    </row>
    <row r="74" spans="1:18" s="2056" customFormat="1" ht="15.75" thickBot="1">
      <c r="A74" s="2093"/>
      <c r="B74" s="2094"/>
      <c r="C74" s="2094"/>
      <c r="K74" s="2083"/>
      <c r="O74" s="2422" t="s">
        <v>2349</v>
      </c>
      <c r="P74" s="2420" t="s">
        <v>2356</v>
      </c>
      <c r="Q74" s="2423">
        <f>L53</f>
        <v>0</v>
      </c>
      <c r="R74" s="2424"/>
    </row>
    <row r="75" spans="1:18" s="2056" customFormat="1" ht="20.25" thickBot="1">
      <c r="A75" s="2093"/>
      <c r="B75" s="2094"/>
      <c r="C75" s="2094"/>
      <c r="K75" s="2083"/>
      <c r="O75" s="2422" t="s">
        <v>2351</v>
      </c>
      <c r="P75" s="2420" t="s">
        <v>2357</v>
      </c>
      <c r="Q75" s="2421">
        <f ca="1">L59</f>
        <v>0</v>
      </c>
      <c r="R75" s="2424" t="s">
        <v>2358</v>
      </c>
    </row>
    <row r="76" spans="1:18" s="2056" customFormat="1" ht="20.25" thickBot="1">
      <c r="A76" s="2093"/>
      <c r="B76" s="2094"/>
      <c r="C76" s="2094"/>
      <c r="K76" s="2083"/>
      <c r="O76" s="2422" t="s">
        <v>2380</v>
      </c>
      <c r="P76" s="2420" t="s">
        <v>2359</v>
      </c>
      <c r="Q76" s="2421">
        <f ca="1">L60</f>
        <v>0</v>
      </c>
      <c r="R76" s="2424" t="s">
        <v>2360</v>
      </c>
    </row>
    <row r="77" spans="1:18" s="2056" customFormat="1" ht="15.75" thickBot="1">
      <c r="A77" s="2093"/>
      <c r="B77" s="2094"/>
      <c r="C77" s="2094"/>
      <c r="K77" s="2083"/>
      <c r="O77" s="2419" t="s">
        <v>2354</v>
      </c>
      <c r="P77" s="2420" t="s">
        <v>2371</v>
      </c>
      <c r="Q77" s="2421" t="e">
        <f ca="1">Q67+Q68</f>
        <v>#DIV/0!</v>
      </c>
      <c r="R77" s="2424" t="s">
        <v>2355</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28" sqref="B28"/>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93" t="s">
        <v>2539</v>
      </c>
      <c r="C1" s="3493"/>
      <c r="D1" s="3493"/>
      <c r="E1" s="3493"/>
      <c r="F1" s="3493"/>
      <c r="G1" s="3492" t="s">
        <v>2540</v>
      </c>
      <c r="H1" s="3492"/>
      <c r="I1" s="3492"/>
      <c r="J1" s="3492"/>
      <c r="K1" s="3492"/>
      <c r="L1" s="3492"/>
      <c r="N1" s="3492" t="s">
        <v>2541</v>
      </c>
      <c r="O1" s="3492"/>
      <c r="P1" s="3492"/>
      <c r="Q1" s="3492"/>
      <c r="R1" s="2675"/>
      <c r="S1" s="3492" t="s">
        <v>2542</v>
      </c>
      <c r="T1" s="3492"/>
      <c r="U1" s="3492"/>
      <c r="V1" s="3492"/>
      <c r="X1" s="3491" t="s">
        <v>2602</v>
      </c>
      <c r="Y1" s="3492"/>
      <c r="Z1" s="3492"/>
      <c r="AA1" s="3492"/>
      <c r="AB1" s="3492"/>
      <c r="AD1" s="3491" t="s">
        <v>2606</v>
      </c>
      <c r="AE1" s="3492"/>
      <c r="AF1" s="3492"/>
      <c r="AG1" s="3492"/>
      <c r="AH1" s="3492"/>
    </row>
    <row r="2" spans="1:34" s="2777" customFormat="1" ht="14.25" thickBot="1">
      <c r="B2" s="2785" t="s">
        <v>2543</v>
      </c>
      <c r="C2" s="2785" t="s">
        <v>2604</v>
      </c>
      <c r="D2" s="2778" t="s">
        <v>1609</v>
      </c>
      <c r="E2" s="2778" t="s">
        <v>1913</v>
      </c>
      <c r="F2" s="2785" t="s">
        <v>2605</v>
      </c>
      <c r="G2" s="2781"/>
      <c r="H2" s="2780"/>
      <c r="I2" s="2785" t="s">
        <v>2910</v>
      </c>
      <c r="J2" s="2778" t="s">
        <v>2912</v>
      </c>
      <c r="K2" s="2778" t="s">
        <v>2913</v>
      </c>
      <c r="L2" s="2785" t="s">
        <v>2914</v>
      </c>
      <c r="N2" s="2785" t="s">
        <v>2543</v>
      </c>
      <c r="O2" s="2778" t="s">
        <v>2911</v>
      </c>
      <c r="P2" s="2778" t="s">
        <v>1913</v>
      </c>
      <c r="Q2" s="2785" t="s">
        <v>2605</v>
      </c>
      <c r="R2" s="2779"/>
      <c r="S2" s="2785" t="s">
        <v>2543</v>
      </c>
      <c r="T2" s="2778" t="s">
        <v>2911</v>
      </c>
      <c r="U2" s="2778" t="s">
        <v>1913</v>
      </c>
      <c r="V2" s="2785" t="s">
        <v>2605</v>
      </c>
      <c r="X2" s="2785" t="s">
        <v>2543</v>
      </c>
      <c r="Y2" s="2785" t="s">
        <v>2604</v>
      </c>
      <c r="Z2" s="2778" t="s">
        <v>1609</v>
      </c>
      <c r="AA2" s="2778" t="s">
        <v>1913</v>
      </c>
      <c r="AB2" s="2785" t="s">
        <v>2605</v>
      </c>
      <c r="AD2" s="2785" t="s">
        <v>2543</v>
      </c>
      <c r="AE2" s="2785" t="s">
        <v>2604</v>
      </c>
      <c r="AF2" s="2778" t="s">
        <v>1609</v>
      </c>
      <c r="AG2" s="2778" t="s">
        <v>1913</v>
      </c>
      <c r="AH2" s="2785" t="s">
        <v>2605</v>
      </c>
    </row>
    <row r="3" spans="1:34" s="3161" customFormat="1" ht="14.25">
      <c r="A3" s="3173" t="s">
        <v>2922</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2929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2923</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2930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2920</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2924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2544</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2545</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936</v>
      </c>
      <c r="B11" s="2682">
        <v>392</v>
      </c>
      <c r="C11" s="2682">
        <v>302</v>
      </c>
      <c r="D11" s="2682">
        <f t="shared" si="13"/>
        <v>302</v>
      </c>
      <c r="E11" s="2682">
        <v>553</v>
      </c>
      <c r="F11" s="2683">
        <v>266</v>
      </c>
      <c r="G11" s="3500">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935</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95"/>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925</v>
      </c>
      <c r="B13" s="2690">
        <f t="shared" si="34"/>
        <v>360.06949782209392</v>
      </c>
      <c r="C13" s="2690">
        <f t="shared" si="34"/>
        <v>289.84672674747821</v>
      </c>
      <c r="D13" s="2690">
        <f t="shared" si="35"/>
        <v>289.84672674747821</v>
      </c>
      <c r="E13" s="2690">
        <f t="shared" si="36"/>
        <v>501.06543001181495</v>
      </c>
      <c r="F13" s="2690">
        <f t="shared" si="36"/>
        <v>256.82882500744967</v>
      </c>
      <c r="G13" s="3495"/>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934</v>
      </c>
      <c r="B14" s="2690">
        <f t="shared" si="34"/>
        <v>346.720748986128</v>
      </c>
      <c r="C14" s="2690">
        <f t="shared" si="34"/>
        <v>284.30282172386285</v>
      </c>
      <c r="D14" s="2690">
        <f t="shared" si="35"/>
        <v>284.30282172386285</v>
      </c>
      <c r="E14" s="2690">
        <f t="shared" si="36"/>
        <v>479.58023546306947</v>
      </c>
      <c r="F14" s="2690">
        <f t="shared" si="36"/>
        <v>253.25788877571213</v>
      </c>
      <c r="G14" s="3496"/>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933</v>
      </c>
      <c r="B15" s="2682">
        <v>333</v>
      </c>
      <c r="C15" s="2682">
        <v>277</v>
      </c>
      <c r="D15" s="2682">
        <f t="shared" si="35"/>
        <v>277</v>
      </c>
      <c r="E15" s="2682">
        <v>459</v>
      </c>
      <c r="F15" s="2683">
        <v>249</v>
      </c>
      <c r="G15" s="3494">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932</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95"/>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931</v>
      </c>
      <c r="B17" s="2690">
        <f t="shared" si="38"/>
        <v>322.34053690220776</v>
      </c>
      <c r="C17" s="2690">
        <f t="shared" si="38"/>
        <v>271.46160770422546</v>
      </c>
      <c r="D17" s="2690">
        <f t="shared" si="35"/>
        <v>271.46160770422546</v>
      </c>
      <c r="E17" s="2690">
        <f t="shared" si="39"/>
        <v>442.69434542172456</v>
      </c>
      <c r="F17" s="2690">
        <f t="shared" si="39"/>
        <v>241.34030753190925</v>
      </c>
      <c r="G17" s="3495"/>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930</v>
      </c>
      <c r="B18" s="2690">
        <f t="shared" si="38"/>
        <v>319.87748030386797</v>
      </c>
      <c r="C18" s="2690">
        <f t="shared" si="38"/>
        <v>269.60135833173649</v>
      </c>
      <c r="D18" s="2690">
        <f t="shared" si="35"/>
        <v>269.60135833173649</v>
      </c>
      <c r="E18" s="2690">
        <f t="shared" si="39"/>
        <v>439.18089823583784</v>
      </c>
      <c r="F18" s="2690">
        <f t="shared" si="39"/>
        <v>239.23503918706311</v>
      </c>
      <c r="G18" s="3496"/>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929</v>
      </c>
      <c r="B19" s="2704">
        <v>318</v>
      </c>
      <c r="C19" s="2704">
        <v>268</v>
      </c>
      <c r="D19" s="2704">
        <f t="shared" si="35"/>
        <v>268</v>
      </c>
      <c r="E19" s="2704">
        <v>437</v>
      </c>
      <c r="F19" s="2705">
        <v>237</v>
      </c>
      <c r="G19" s="3494">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928</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95"/>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927</v>
      </c>
      <c r="B21" s="2690">
        <f t="shared" si="40"/>
        <v>314.72141172386546</v>
      </c>
      <c r="C21" s="2690">
        <f t="shared" si="40"/>
        <v>263.03901319069001</v>
      </c>
      <c r="D21" s="2690">
        <f t="shared" si="35"/>
        <v>263.03901319069001</v>
      </c>
      <c r="E21" s="2690">
        <f t="shared" si="41"/>
        <v>433.65745506782821</v>
      </c>
      <c r="F21" s="2690">
        <f t="shared" si="41"/>
        <v>233.23005080045735</v>
      </c>
      <c r="G21" s="3495"/>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926</v>
      </c>
      <c r="B22" s="2709">
        <f t="shared" si="40"/>
        <v>307.34512863658733</v>
      </c>
      <c r="C22" s="2709">
        <f t="shared" si="40"/>
        <v>257.80556031626975</v>
      </c>
      <c r="D22" s="2709">
        <f t="shared" si="35"/>
        <v>257.80556031626975</v>
      </c>
      <c r="E22" s="2709">
        <f t="shared" si="41"/>
        <v>422.70928459677179</v>
      </c>
      <c r="F22" s="2709">
        <f t="shared" si="41"/>
        <v>229.73803270336617</v>
      </c>
      <c r="G22" s="3496"/>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2603</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2546</v>
      </c>
      <c r="B23" s="2682">
        <v>299</v>
      </c>
      <c r="C23" s="2682">
        <v>252</v>
      </c>
      <c r="D23" s="2682">
        <f t="shared" si="35"/>
        <v>252</v>
      </c>
      <c r="E23" s="2682">
        <v>409</v>
      </c>
      <c r="F23" s="2683">
        <v>227</v>
      </c>
      <c r="G23" s="3497">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2547</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98"/>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2548</v>
      </c>
      <c r="B25" s="2690">
        <f t="shared" si="44"/>
        <v>288.2649053828776</v>
      </c>
      <c r="C25" s="2690">
        <f t="shared" si="44"/>
        <v>243.64564425013293</v>
      </c>
      <c r="D25" s="2690">
        <f t="shared" si="35"/>
        <v>243.64564425013293</v>
      </c>
      <c r="E25" s="2690">
        <f t="shared" si="45"/>
        <v>393.31080825986544</v>
      </c>
      <c r="F25" s="2690">
        <f t="shared" si="45"/>
        <v>223.07903790551154</v>
      </c>
      <c r="G25" s="3498"/>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2549</v>
      </c>
      <c r="B26" s="2690">
        <f t="shared" si="44"/>
        <v>282.50186729015837</v>
      </c>
      <c r="C26" s="2690">
        <f t="shared" si="44"/>
        <v>238.09796174155468</v>
      </c>
      <c r="D26" s="2690">
        <f t="shared" si="35"/>
        <v>238.09796174155468</v>
      </c>
      <c r="E26" s="2690">
        <f t="shared" si="45"/>
        <v>385.33438646014054</v>
      </c>
      <c r="F26" s="2690">
        <f t="shared" si="45"/>
        <v>221.55034055567739</v>
      </c>
      <c r="G26" s="3499"/>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2550</v>
      </c>
      <c r="B27" s="2720">
        <v>278</v>
      </c>
      <c r="C27" s="2720">
        <v>234</v>
      </c>
      <c r="D27" s="2720">
        <f t="shared" si="35"/>
        <v>234</v>
      </c>
      <c r="E27" s="2720">
        <v>379</v>
      </c>
      <c r="F27" s="2721">
        <v>220</v>
      </c>
      <c r="G27" s="3494">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2551</v>
      </c>
      <c r="B28" s="2690">
        <f>B27/(1+N27)</f>
        <v>275.49301357645425</v>
      </c>
      <c r="C28" s="2690">
        <f>C27/(1+O27)</f>
        <v>232.41954707985698</v>
      </c>
      <c r="D28" s="2690">
        <f t="shared" si="35"/>
        <v>232.41954707985698</v>
      </c>
      <c r="E28" s="2690">
        <f t="shared" ref="E28:F30" si="46">E27/(1+P27)</f>
        <v>375.32184591008121</v>
      </c>
      <c r="F28" s="2690">
        <f t="shared" si="46"/>
        <v>218.03766105054513</v>
      </c>
      <c r="G28" s="3495"/>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2552</v>
      </c>
      <c r="B29" s="2690">
        <f>B28/(1+N28)</f>
        <v>275.24529281292263</v>
      </c>
      <c r="C29" s="2690">
        <f>C28/(1+O28)</f>
        <v>231.74747938962707</v>
      </c>
      <c r="D29" s="2690">
        <f t="shared" si="35"/>
        <v>231.74747938962707</v>
      </c>
      <c r="E29" s="2690">
        <f t="shared" si="46"/>
        <v>375.35938184826603</v>
      </c>
      <c r="F29" s="2690">
        <f t="shared" si="46"/>
        <v>216.78033510692495</v>
      </c>
      <c r="G29" s="3495"/>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2553</v>
      </c>
      <c r="B30" s="2690">
        <f>B29/(1+N29)</f>
        <v>275.19025476197027</v>
      </c>
      <c r="C30" s="2722">
        <v>232</v>
      </c>
      <c r="D30" s="2722">
        <f t="shared" si="35"/>
        <v>232</v>
      </c>
      <c r="E30" s="2690">
        <f t="shared" si="46"/>
        <v>375.65990977608692</v>
      </c>
      <c r="F30" s="2690">
        <f t="shared" si="46"/>
        <v>214.12518283971252</v>
      </c>
      <c r="G30" s="3496"/>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2554</v>
      </c>
      <c r="B31" s="2682">
        <v>275</v>
      </c>
      <c r="C31" s="2682">
        <v>232</v>
      </c>
      <c r="D31" s="2682">
        <f t="shared" si="35"/>
        <v>232</v>
      </c>
      <c r="E31" s="2682">
        <v>376</v>
      </c>
      <c r="F31" s="2683">
        <v>213</v>
      </c>
      <c r="G31" s="3494">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2555</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95">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2556</v>
      </c>
      <c r="B33" s="2690">
        <f t="shared" si="47"/>
        <v>275.19335084830601</v>
      </c>
      <c r="C33" s="2690">
        <f t="shared" si="47"/>
        <v>230.18088050139744</v>
      </c>
      <c r="D33" s="2690">
        <f t="shared" si="35"/>
        <v>230.18088050139744</v>
      </c>
      <c r="E33" s="2690">
        <f t="shared" si="48"/>
        <v>377.58482925212331</v>
      </c>
      <c r="F33" s="2690">
        <f t="shared" si="48"/>
        <v>210.90687997847917</v>
      </c>
      <c r="G33" s="3495">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2557</v>
      </c>
      <c r="B34" s="2690">
        <f t="shared" si="47"/>
        <v>276.29854502841971</v>
      </c>
      <c r="C34" s="2690">
        <f t="shared" si="47"/>
        <v>229.79023709833027</v>
      </c>
      <c r="D34" s="2690">
        <f t="shared" si="35"/>
        <v>229.79023709833027</v>
      </c>
      <c r="E34" s="2690">
        <f t="shared" si="48"/>
        <v>379.78759731655936</v>
      </c>
      <c r="F34" s="2690">
        <f t="shared" si="48"/>
        <v>211.32953905659235</v>
      </c>
      <c r="G34" s="3496">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2558</v>
      </c>
      <c r="B35" s="2682">
        <v>269</v>
      </c>
      <c r="C35" s="2682">
        <v>221</v>
      </c>
      <c r="D35" s="2682">
        <f t="shared" si="35"/>
        <v>221</v>
      </c>
      <c r="E35" s="2682">
        <v>373</v>
      </c>
      <c r="F35" s="2683">
        <v>196</v>
      </c>
      <c r="G35" s="3494">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2559</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95">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2560</v>
      </c>
      <c r="B37" s="2690">
        <f t="shared" si="49"/>
        <v>242.95398227588385</v>
      </c>
      <c r="C37" s="2690">
        <f t="shared" si="49"/>
        <v>199.59137053614126</v>
      </c>
      <c r="D37" s="2690">
        <f t="shared" si="35"/>
        <v>199.59137053614126</v>
      </c>
      <c r="E37" s="2690">
        <f t="shared" si="50"/>
        <v>335.92189522342125</v>
      </c>
      <c r="F37" s="2690">
        <f t="shared" si="50"/>
        <v>183.10139991109489</v>
      </c>
      <c r="G37" s="3495">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2561</v>
      </c>
      <c r="B38" s="2690">
        <f t="shared" si="49"/>
        <v>232.06990378821649</v>
      </c>
      <c r="C38" s="2690">
        <f t="shared" si="49"/>
        <v>192.74878854286936</v>
      </c>
      <c r="D38" s="2690">
        <f t="shared" si="35"/>
        <v>192.74878854286936</v>
      </c>
      <c r="E38" s="2690">
        <f t="shared" si="50"/>
        <v>319.71247284992984</v>
      </c>
      <c r="F38" s="2690">
        <f t="shared" si="50"/>
        <v>175.67053622862409</v>
      </c>
      <c r="G38" s="3496">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2562</v>
      </c>
      <c r="B39" s="2682">
        <v>220</v>
      </c>
      <c r="C39" s="2682">
        <v>187</v>
      </c>
      <c r="D39" s="2682">
        <f t="shared" si="35"/>
        <v>187</v>
      </c>
      <c r="E39" s="2682">
        <v>301</v>
      </c>
      <c r="F39" s="2683">
        <v>168</v>
      </c>
      <c r="G39" s="3494">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2563</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95">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2564</v>
      </c>
      <c r="B41" s="2690">
        <f t="shared" si="51"/>
        <v>210.630522469011</v>
      </c>
      <c r="C41" s="2690">
        <f t="shared" si="51"/>
        <v>181.69567812247232</v>
      </c>
      <c r="D41" s="2690">
        <f t="shared" si="35"/>
        <v>181.69567812247232</v>
      </c>
      <c r="E41" s="2690">
        <f t="shared" si="52"/>
        <v>286.13517466736738</v>
      </c>
      <c r="F41" s="2690">
        <f t="shared" si="52"/>
        <v>165.47535084591149</v>
      </c>
      <c r="G41" s="3495">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2565</v>
      </c>
      <c r="B42" s="2690">
        <f t="shared" si="51"/>
        <v>208.83454537875372</v>
      </c>
      <c r="C42" s="2690">
        <f t="shared" si="51"/>
        <v>183.77230517090351</v>
      </c>
      <c r="D42" s="2690">
        <f t="shared" si="35"/>
        <v>183.77230517090351</v>
      </c>
      <c r="E42" s="2690">
        <f t="shared" si="52"/>
        <v>281.10342338870947</v>
      </c>
      <c r="F42" s="2690">
        <f t="shared" si="52"/>
        <v>168.97309388942256</v>
      </c>
      <c r="G42" s="3496">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2566</v>
      </c>
      <c r="B43" s="2720">
        <v>214</v>
      </c>
      <c r="C43" s="2720">
        <v>188</v>
      </c>
      <c r="D43" s="2720">
        <f t="shared" si="35"/>
        <v>188</v>
      </c>
      <c r="E43" s="2720">
        <v>289</v>
      </c>
      <c r="F43" s="2721">
        <v>166</v>
      </c>
      <c r="G43" s="3494">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2567</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95">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2568</v>
      </c>
      <c r="B45" s="2690">
        <f t="shared" si="53"/>
        <v>206.31694671589116</v>
      </c>
      <c r="C45" s="2690">
        <f t="shared" si="53"/>
        <v>183.61041121036101</v>
      </c>
      <c r="D45" s="2690">
        <f t="shared" si="35"/>
        <v>183.61041121036101</v>
      </c>
      <c r="E45" s="2690">
        <f t="shared" si="54"/>
        <v>276.66850301795557</v>
      </c>
      <c r="F45" s="2690">
        <f t="shared" si="54"/>
        <v>165.1360938278614</v>
      </c>
      <c r="G45" s="3495">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2569</v>
      </c>
      <c r="B46" s="2723">
        <f t="shared" si="53"/>
        <v>196.62341248059772</v>
      </c>
      <c r="C46" s="2723">
        <f t="shared" si="53"/>
        <v>170.99125648199012</v>
      </c>
      <c r="D46" s="2723">
        <f t="shared" si="35"/>
        <v>170.99125648199012</v>
      </c>
      <c r="E46" s="2723">
        <f t="shared" si="54"/>
        <v>266.07857570490052</v>
      </c>
      <c r="F46" s="2723">
        <f t="shared" si="54"/>
        <v>154.53499328828505</v>
      </c>
      <c r="G46" s="3496">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2570</v>
      </c>
      <c r="B47" s="2682">
        <v>188</v>
      </c>
      <c r="C47" s="2682">
        <v>165</v>
      </c>
      <c r="D47" s="2682">
        <f t="shared" si="35"/>
        <v>165</v>
      </c>
      <c r="E47" s="2682">
        <v>254</v>
      </c>
      <c r="F47" s="2683">
        <v>148</v>
      </c>
      <c r="G47" s="3494">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2571</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95">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2572</v>
      </c>
      <c r="B49" s="2690">
        <f t="shared" si="57"/>
        <v>168.82017748715555</v>
      </c>
      <c r="C49" s="2690">
        <f t="shared" si="57"/>
        <v>148.06267029972753</v>
      </c>
      <c r="D49" s="2690">
        <f t="shared" si="35"/>
        <v>148.06267029972753</v>
      </c>
      <c r="E49" s="2690">
        <f t="shared" si="58"/>
        <v>216.46288379323747</v>
      </c>
      <c r="F49" s="2690">
        <f t="shared" si="58"/>
        <v>134.23529411764704</v>
      </c>
      <c r="G49" s="3495">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2573</v>
      </c>
      <c r="B50" s="2690">
        <f t="shared" si="57"/>
        <v>163.84913591779542</v>
      </c>
      <c r="C50" s="2690">
        <f t="shared" si="57"/>
        <v>145.0283378746594</v>
      </c>
      <c r="D50" s="2690">
        <f t="shared" si="35"/>
        <v>145.0283378746594</v>
      </c>
      <c r="E50" s="2690">
        <f t="shared" si="58"/>
        <v>204.95180722891567</v>
      </c>
      <c r="F50" s="2690">
        <f t="shared" si="58"/>
        <v>125.95920303605313</v>
      </c>
      <c r="G50" s="3496">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2574</v>
      </c>
      <c r="B51" s="2704">
        <v>159</v>
      </c>
      <c r="C51" s="2704">
        <v>141</v>
      </c>
      <c r="D51" s="2704">
        <f t="shared" si="35"/>
        <v>141</v>
      </c>
      <c r="E51" s="2704">
        <v>195</v>
      </c>
      <c r="F51" s="2705">
        <v>122</v>
      </c>
      <c r="G51" s="3494">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2575</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95">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2576</v>
      </c>
      <c r="B53" s="2690">
        <f t="shared" si="61"/>
        <v>146.57412060301507</v>
      </c>
      <c r="C53" s="2690">
        <f t="shared" si="61"/>
        <v>136.46831955922866</v>
      </c>
      <c r="D53" s="2690">
        <f t="shared" si="35"/>
        <v>136.46831955922866</v>
      </c>
      <c r="E53" s="2690">
        <f t="shared" si="62"/>
        <v>166.73864894795128</v>
      </c>
      <c r="F53" s="2690">
        <f t="shared" si="62"/>
        <v>115.05882352941177</v>
      </c>
      <c r="G53" s="3495">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2577</v>
      </c>
      <c r="B54" s="2690">
        <f t="shared" si="61"/>
        <v>144.04145728643215</v>
      </c>
      <c r="C54" s="2690">
        <f t="shared" si="61"/>
        <v>136.12396694214877</v>
      </c>
      <c r="D54" s="2690">
        <f t="shared" si="35"/>
        <v>136.12396694214877</v>
      </c>
      <c r="E54" s="2690">
        <f t="shared" si="62"/>
        <v>158.32225913621264</v>
      </c>
      <c r="F54" s="2690">
        <f t="shared" si="62"/>
        <v>114.04278074866311</v>
      </c>
      <c r="G54" s="3496">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2578</v>
      </c>
      <c r="B55" s="2704">
        <v>138</v>
      </c>
      <c r="C55" s="2704">
        <v>131</v>
      </c>
      <c r="D55" s="2704">
        <f t="shared" si="35"/>
        <v>131</v>
      </c>
      <c r="E55" s="2704">
        <v>155</v>
      </c>
      <c r="F55" s="2705">
        <v>114</v>
      </c>
      <c r="G55" s="3494">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2579</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95">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2580</v>
      </c>
      <c r="B57" s="2690">
        <f t="shared" si="65"/>
        <v>124.29032258064517</v>
      </c>
      <c r="C57" s="2690">
        <f t="shared" si="65"/>
        <v>123.8968609865471</v>
      </c>
      <c r="D57" s="2690">
        <f t="shared" si="35"/>
        <v>123.8968609865471</v>
      </c>
      <c r="E57" s="2690">
        <f t="shared" si="66"/>
        <v>138.00507614213197</v>
      </c>
      <c r="F57" s="2690">
        <f t="shared" si="66"/>
        <v>107.96106557377048</v>
      </c>
      <c r="G57" s="3495">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2581</v>
      </c>
      <c r="B58" s="2690">
        <f t="shared" si="65"/>
        <v>122.57204301075269</v>
      </c>
      <c r="C58" s="2690">
        <f t="shared" si="65"/>
        <v>123.4932735426009</v>
      </c>
      <c r="D58" s="2690">
        <f t="shared" si="35"/>
        <v>123.4932735426009</v>
      </c>
      <c r="E58" s="2690">
        <f t="shared" si="66"/>
        <v>129.82233502538071</v>
      </c>
      <c r="F58" s="2690">
        <f t="shared" si="66"/>
        <v>107.39446721311475</v>
      </c>
      <c r="G58" s="3496">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2582</v>
      </c>
      <c r="B59" s="2720">
        <v>121</v>
      </c>
      <c r="C59" s="2720">
        <v>122</v>
      </c>
      <c r="D59" s="2720">
        <f t="shared" si="35"/>
        <v>122</v>
      </c>
      <c r="E59" s="2720">
        <v>124</v>
      </c>
      <c r="F59" s="2721">
        <v>107</v>
      </c>
      <c r="G59" s="3494">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2583</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95">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2584</v>
      </c>
      <c r="B61" s="2690">
        <f t="shared" si="69"/>
        <v>116.99099099099099</v>
      </c>
      <c r="C61" s="2690">
        <f t="shared" si="69"/>
        <v>118.84848484848486</v>
      </c>
      <c r="D61" s="2690">
        <f t="shared" si="35"/>
        <v>118.84848484848486</v>
      </c>
      <c r="E61" s="2690">
        <f t="shared" si="70"/>
        <v>117.60960960960961</v>
      </c>
      <c r="F61" s="2690">
        <f t="shared" si="70"/>
        <v>104</v>
      </c>
      <c r="G61" s="3495">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2585</v>
      </c>
      <c r="B62" s="2723">
        <f t="shared" si="69"/>
        <v>112.48648648648648</v>
      </c>
      <c r="C62" s="2723">
        <f t="shared" si="69"/>
        <v>115.21212121212122</v>
      </c>
      <c r="D62" s="2723">
        <f t="shared" si="35"/>
        <v>115.21212121212122</v>
      </c>
      <c r="E62" s="2723">
        <f t="shared" si="70"/>
        <v>110.4024024024024</v>
      </c>
      <c r="F62" s="2723">
        <f t="shared" si="70"/>
        <v>104</v>
      </c>
      <c r="G62" s="3496">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2586</v>
      </c>
      <c r="B63" s="2741">
        <v>111</v>
      </c>
      <c r="C63" s="2741">
        <v>114</v>
      </c>
      <c r="D63" s="2741">
        <f t="shared" si="35"/>
        <v>114</v>
      </c>
      <c r="E63" s="2741">
        <v>108</v>
      </c>
      <c r="F63" s="2742">
        <v>104</v>
      </c>
      <c r="G63" s="3494">
        <v>2003</v>
      </c>
      <c r="H63" s="2731">
        <v>4</v>
      </c>
      <c r="I63" s="2743"/>
      <c r="J63" s="2743"/>
      <c r="K63" s="2743"/>
      <c r="L63" s="2743"/>
      <c r="N63" s="2744"/>
      <c r="O63" s="2743"/>
      <c r="P63" s="2743"/>
      <c r="Q63" s="2743"/>
      <c r="S63" s="2744"/>
      <c r="T63" s="2743"/>
      <c r="U63" s="2743"/>
      <c r="V63" s="2743"/>
      <c r="X63" s="2735"/>
      <c r="Y63" s="2735"/>
      <c r="Z63" s="2735"/>
    </row>
    <row r="64" spans="1:26">
      <c r="A64" s="2676" t="s">
        <v>2587</v>
      </c>
      <c r="B64" s="2745">
        <f t="shared" ref="B64:C66" si="71">B65+(B$63-B$67)/4</f>
        <v>109.75</v>
      </c>
      <c r="C64" s="2745">
        <f t="shared" si="71"/>
        <v>112.25</v>
      </c>
      <c r="D64" s="2745">
        <f t="shared" si="35"/>
        <v>112.25</v>
      </c>
      <c r="E64" s="2745">
        <f t="shared" ref="E64:F66" si="72">E65+(E$63-E$67)/4</f>
        <v>107.25</v>
      </c>
      <c r="F64" s="2745">
        <f t="shared" si="72"/>
        <v>103.5</v>
      </c>
      <c r="G64" s="3495">
        <v>2003</v>
      </c>
      <c r="H64" s="2701">
        <v>3</v>
      </c>
      <c r="I64" s="2743"/>
      <c r="J64" s="2743"/>
      <c r="K64" s="2743"/>
      <c r="L64" s="2743"/>
      <c r="X64" s="2735"/>
      <c r="Y64" s="2735"/>
      <c r="Z64" s="2735"/>
    </row>
    <row r="65" spans="1:26">
      <c r="A65" s="2676" t="s">
        <v>2588</v>
      </c>
      <c r="B65" s="2745">
        <f t="shared" si="71"/>
        <v>108.5</v>
      </c>
      <c r="C65" s="2745">
        <f t="shared" si="71"/>
        <v>110.5</v>
      </c>
      <c r="D65" s="2745">
        <f t="shared" si="35"/>
        <v>110.5</v>
      </c>
      <c r="E65" s="2745">
        <f t="shared" si="72"/>
        <v>106.5</v>
      </c>
      <c r="F65" s="2745">
        <f t="shared" si="72"/>
        <v>103</v>
      </c>
      <c r="G65" s="3495">
        <v>2003</v>
      </c>
      <c r="H65" s="2681">
        <v>2</v>
      </c>
      <c r="I65" s="2743"/>
      <c r="J65" s="2743"/>
      <c r="K65" s="2743"/>
      <c r="L65" s="2743"/>
      <c r="X65" s="2735"/>
      <c r="Y65" s="2735"/>
      <c r="Z65" s="2735"/>
    </row>
    <row r="66" spans="1:26" ht="13.5" thickBot="1">
      <c r="A66" s="2676" t="s">
        <v>2589</v>
      </c>
      <c r="B66" s="2745">
        <f t="shared" si="71"/>
        <v>107.25</v>
      </c>
      <c r="C66" s="2745">
        <f t="shared" si="71"/>
        <v>108.75</v>
      </c>
      <c r="D66" s="2745">
        <f t="shared" si="35"/>
        <v>108.75</v>
      </c>
      <c r="E66" s="2745">
        <f t="shared" si="72"/>
        <v>105.75</v>
      </c>
      <c r="F66" s="2745">
        <f t="shared" si="72"/>
        <v>102.5</v>
      </c>
      <c r="G66" s="3496">
        <v>2003</v>
      </c>
      <c r="H66" s="2746">
        <v>1</v>
      </c>
      <c r="I66" s="2743"/>
      <c r="J66" s="2743"/>
      <c r="K66" s="2743"/>
      <c r="L66" s="2743"/>
      <c r="S66" s="2685"/>
      <c r="T66" s="2686"/>
      <c r="U66" s="2686"/>
      <c r="X66" s="2735"/>
      <c r="Y66" s="2735"/>
      <c r="Z66" s="2735"/>
    </row>
    <row r="67" spans="1:26" ht="13.5" thickBot="1">
      <c r="A67" s="2676" t="s">
        <v>2590</v>
      </c>
      <c r="B67" s="2747">
        <v>106</v>
      </c>
      <c r="C67" s="2747">
        <v>107</v>
      </c>
      <c r="D67" s="2747">
        <f t="shared" si="35"/>
        <v>107</v>
      </c>
      <c r="E67" s="2747">
        <v>105</v>
      </c>
      <c r="F67" s="2748">
        <v>102</v>
      </c>
      <c r="G67" s="3494">
        <v>2002</v>
      </c>
      <c r="H67" s="2696">
        <v>4</v>
      </c>
      <c r="I67" s="2743"/>
      <c r="J67" s="2743"/>
      <c r="K67" s="2743"/>
      <c r="L67" s="2743"/>
      <c r="N67" s="2744"/>
      <c r="O67" s="2743"/>
      <c r="P67" s="2743"/>
      <c r="Q67" s="2743"/>
      <c r="S67" s="2744"/>
      <c r="T67" s="2743"/>
      <c r="U67" s="2743"/>
      <c r="V67" s="2743"/>
      <c r="X67" s="2735"/>
      <c r="Y67" s="2735"/>
      <c r="Z67" s="2735"/>
    </row>
    <row r="68" spans="1:26">
      <c r="A68" s="2676" t="s">
        <v>2591</v>
      </c>
      <c r="B68" s="2745">
        <f t="shared" ref="B68:C70" si="73">B69+(B$67-B$71)/4</f>
        <v>105</v>
      </c>
      <c r="C68" s="2745">
        <f t="shared" si="73"/>
        <v>106</v>
      </c>
      <c r="D68" s="2745">
        <f t="shared" si="35"/>
        <v>106</v>
      </c>
      <c r="E68" s="2745">
        <f t="shared" ref="E68:F70" si="74">E69+(E$67-E$71)/4</f>
        <v>104.5</v>
      </c>
      <c r="F68" s="2745">
        <f t="shared" si="74"/>
        <v>101.5</v>
      </c>
      <c r="G68" s="3495">
        <v>2002</v>
      </c>
      <c r="H68" s="2701">
        <v>3</v>
      </c>
      <c r="I68" s="2743"/>
      <c r="J68" s="2743"/>
      <c r="K68" s="2743"/>
      <c r="L68" s="2743"/>
      <c r="X68" s="2735"/>
      <c r="Y68" s="2735"/>
      <c r="Z68" s="2735"/>
    </row>
    <row r="69" spans="1:26">
      <c r="A69" s="2676" t="s">
        <v>2592</v>
      </c>
      <c r="B69" s="2745">
        <f t="shared" si="73"/>
        <v>104</v>
      </c>
      <c r="C69" s="2745">
        <f t="shared" si="73"/>
        <v>105</v>
      </c>
      <c r="D69" s="2745">
        <f t="shared" si="35"/>
        <v>105</v>
      </c>
      <c r="E69" s="2745">
        <f t="shared" si="74"/>
        <v>104</v>
      </c>
      <c r="F69" s="2745">
        <f t="shared" si="74"/>
        <v>101</v>
      </c>
      <c r="G69" s="3495">
        <v>2002</v>
      </c>
      <c r="H69" s="2681">
        <v>2</v>
      </c>
      <c r="I69" s="2743"/>
      <c r="J69" s="2743"/>
      <c r="K69" s="2743"/>
      <c r="L69" s="2743"/>
      <c r="X69" s="2735"/>
      <c r="Y69" s="2735"/>
      <c r="Z69" s="2735"/>
    </row>
    <row r="70" spans="1:26" s="2712" customFormat="1" ht="13.5" thickBot="1">
      <c r="A70" s="2708" t="s">
        <v>2593</v>
      </c>
      <c r="B70" s="2749">
        <f t="shared" si="73"/>
        <v>103</v>
      </c>
      <c r="C70" s="2749">
        <f t="shared" si="73"/>
        <v>104</v>
      </c>
      <c r="D70" s="2749">
        <f t="shared" si="35"/>
        <v>104</v>
      </c>
      <c r="E70" s="2749">
        <f t="shared" si="74"/>
        <v>103.5</v>
      </c>
      <c r="F70" s="2749">
        <f t="shared" si="74"/>
        <v>100.5</v>
      </c>
      <c r="G70" s="3496">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2594</v>
      </c>
      <c r="G73" s="2759"/>
      <c r="N73" s="2759"/>
      <c r="S73" s="2759"/>
    </row>
    <row r="74" spans="1:26" s="2758" customFormat="1">
      <c r="A74" s="2758" t="s">
        <v>2595</v>
      </c>
      <c r="G74" s="2759"/>
      <c r="N74" s="2759"/>
      <c r="S74" s="2759"/>
    </row>
    <row r="75" spans="1:26" s="2758" customFormat="1">
      <c r="A75" s="2758" t="s">
        <v>2596</v>
      </c>
      <c r="G75" s="2759"/>
      <c r="I75" s="2760"/>
      <c r="J75" s="2760"/>
      <c r="K75" s="2760"/>
      <c r="L75" s="2760"/>
      <c r="N75" s="2761"/>
      <c r="O75" s="2760"/>
      <c r="P75" s="2760"/>
      <c r="Q75" s="2760"/>
      <c r="S75" s="2761"/>
      <c r="T75" s="2760"/>
      <c r="U75" s="2760"/>
      <c r="V75" s="2760"/>
    </row>
    <row r="76" spans="1:26" s="2758" customFormat="1">
      <c r="A76" s="2758" t="s">
        <v>2597</v>
      </c>
      <c r="G76" s="2759"/>
      <c r="N76" s="2759"/>
      <c r="S76" s="2759"/>
    </row>
    <row r="83" spans="7:22" ht="13.5" thickBot="1"/>
    <row r="84" spans="7:22">
      <c r="G84" s="2684"/>
      <c r="S84" s="2762" t="s">
        <v>2598</v>
      </c>
      <c r="T84" s="2763" t="s">
        <v>2599</v>
      </c>
      <c r="U84" s="2763" t="s">
        <v>2600</v>
      </c>
      <c r="V84" s="2763" t="s">
        <v>2601</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56.25">
      <c r="A7" s="1792" t="s">
        <v>2709</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2895</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18.75">
      <c r="A21" s="1788" t="s">
        <v>2037</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本次估价对象为出让国有建设用地使用权，《规证附图》证载土地终止日期为住宅2087年6月8日地下车库2067年6月8日、地下仓储2067年6月8日。截至估价期日，出让国有建设用地使用权剩余土地使用年限为。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34" sqref="L3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644" t="s">
        <v>684</v>
      </c>
      <c r="C1" s="2645" t="s">
        <v>685</v>
      </c>
      <c r="D1" s="2646"/>
      <c r="E1" s="2647"/>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432</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486</v>
      </c>
      <c r="B4" s="511"/>
      <c r="C4" s="3426" t="s">
        <v>487</v>
      </c>
      <c r="D4" s="3427"/>
      <c r="E4" s="3451" t="s">
        <v>488</v>
      </c>
      <c r="F4" s="3452"/>
      <c r="G4" s="3426" t="s">
        <v>489</v>
      </c>
      <c r="H4" s="3427"/>
      <c r="I4" s="3426" t="s">
        <v>490</v>
      </c>
      <c r="J4" s="3427"/>
      <c r="K4" s="851" t="s">
        <v>491</v>
      </c>
      <c r="L4" s="2130"/>
      <c r="M4" s="2131"/>
      <c r="N4" s="2131"/>
      <c r="O4" s="2131"/>
      <c r="P4" s="3428" t="s">
        <v>492</v>
      </c>
      <c r="Q4" s="3429"/>
      <c r="R4" s="3414" t="s">
        <v>488</v>
      </c>
      <c r="S4" s="3415"/>
      <c r="T4" s="3414" t="s">
        <v>489</v>
      </c>
      <c r="U4" s="3415"/>
      <c r="V4" s="3434" t="s">
        <v>490</v>
      </c>
      <c r="W4" s="3434"/>
      <c r="X4" s="1565"/>
      <c r="Y4" s="3414" t="s">
        <v>492</v>
      </c>
      <c r="Z4" s="3415"/>
      <c r="AA4" s="3409" t="s">
        <v>488</v>
      </c>
      <c r="AB4" s="3409" t="s">
        <v>489</v>
      </c>
      <c r="AC4" s="3409" t="s">
        <v>490</v>
      </c>
    </row>
    <row r="5" spans="1:29" ht="15">
      <c r="A5" s="513"/>
      <c r="B5" s="514"/>
      <c r="C5" s="3455" t="s">
        <v>2881</v>
      </c>
      <c r="D5" s="3456"/>
      <c r="E5" s="3453" t="s">
        <v>2882</v>
      </c>
      <c r="F5" s="3454"/>
      <c r="G5" s="3455" t="s">
        <v>2883</v>
      </c>
      <c r="H5" s="3456"/>
      <c r="I5" s="3455" t="s">
        <v>2884</v>
      </c>
      <c r="J5" s="3456"/>
      <c r="K5" s="852"/>
      <c r="L5" s="2130"/>
      <c r="M5" s="2131"/>
      <c r="N5" s="2131"/>
      <c r="O5" s="2131"/>
      <c r="P5" s="3430"/>
      <c r="Q5" s="3431"/>
      <c r="R5" s="3416"/>
      <c r="S5" s="3417"/>
      <c r="T5" s="3416"/>
      <c r="U5" s="3417"/>
      <c r="V5" s="3434"/>
      <c r="W5" s="3434"/>
      <c r="X5" s="1565"/>
      <c r="Y5" s="3416"/>
      <c r="Z5" s="3417"/>
      <c r="AA5" s="3410"/>
      <c r="AB5" s="3410"/>
      <c r="AC5" s="3410"/>
    </row>
    <row r="6" spans="1:29" ht="15.75" thickBot="1">
      <c r="A6" s="515"/>
      <c r="B6" s="516"/>
      <c r="C6" s="3457" t="s">
        <v>2885</v>
      </c>
      <c r="D6" s="3458"/>
      <c r="E6" s="3459" t="s">
        <v>2885</v>
      </c>
      <c r="F6" s="3460"/>
      <c r="G6" s="3457" t="s">
        <v>2885</v>
      </c>
      <c r="H6" s="3458"/>
      <c r="I6" s="3457" t="s">
        <v>2885</v>
      </c>
      <c r="J6" s="3458"/>
      <c r="K6" s="852" t="s">
        <v>493</v>
      </c>
      <c r="L6" s="2130"/>
      <c r="M6" s="2131"/>
      <c r="N6" s="2131"/>
      <c r="O6" s="2131"/>
      <c r="P6" s="3432"/>
      <c r="Q6" s="3433"/>
      <c r="R6" s="3416"/>
      <c r="S6" s="3417"/>
      <c r="T6" s="3418"/>
      <c r="U6" s="3419"/>
      <c r="V6" s="3434"/>
      <c r="W6" s="3434"/>
      <c r="X6" s="1565"/>
      <c r="Y6" s="3418"/>
      <c r="Z6" s="3419"/>
      <c r="AA6" s="3411"/>
      <c r="AB6" s="3411"/>
      <c r="AC6" s="3411"/>
    </row>
    <row r="7" spans="1:29" s="1218" customFormat="1" ht="15.75" thickBot="1">
      <c r="A7" s="2933"/>
      <c r="B7" s="2940" t="s">
        <v>494</v>
      </c>
      <c r="C7" s="517">
        <f>'数据-取费表'!B2</f>
        <v>43234</v>
      </c>
      <c r="D7" s="518">
        <v>100</v>
      </c>
      <c r="E7" s="519"/>
      <c r="F7" s="520">
        <f>SUMIF(58:58,YEAR(E7)&amp;"-"&amp;MONTH(E7),59:59)</f>
        <v>0</v>
      </c>
      <c r="G7" s="521"/>
      <c r="H7" s="518">
        <f>SUMIF(58:58,YEAR(G7)&amp;"-"&amp;MONTH(G7),59:59)</f>
        <v>0</v>
      </c>
      <c r="I7" s="521"/>
      <c r="J7" s="518">
        <f>SUMIF(58:58,YEAR(I7)&amp;"-"&amp;MONTH(I7),59:59)</f>
        <v>0</v>
      </c>
      <c r="K7" s="853"/>
      <c r="L7" s="2132"/>
      <c r="M7" s="2133"/>
      <c r="N7" s="2133"/>
      <c r="O7" s="2133"/>
      <c r="P7" s="3412" t="s">
        <v>495</v>
      </c>
      <c r="Q7" s="3421"/>
      <c r="R7" s="1566" t="s">
        <v>12</v>
      </c>
      <c r="S7" s="1567">
        <f t="shared" ref="S7:S15" si="0">F7</f>
        <v>0</v>
      </c>
      <c r="T7" s="1566" t="s">
        <v>12</v>
      </c>
      <c r="U7" s="1567">
        <f t="shared" ref="U7:U15" si="1">H7</f>
        <v>0</v>
      </c>
      <c r="V7" s="1566" t="s">
        <v>12</v>
      </c>
      <c r="W7" s="1567">
        <f t="shared" ref="W7:W15" si="2">J7</f>
        <v>0</v>
      </c>
      <c r="X7" s="1568"/>
      <c r="Y7" s="3412" t="s">
        <v>495</v>
      </c>
      <c r="Z7" s="3413"/>
      <c r="AA7" s="1569" t="e">
        <f>D7/F7</f>
        <v>#DIV/0!</v>
      </c>
      <c r="AB7" s="1569" t="e">
        <f>D7/H7</f>
        <v>#DIV/0!</v>
      </c>
      <c r="AC7" s="1569" t="e">
        <f>D7/J7</f>
        <v>#DIV/0!</v>
      </c>
    </row>
    <row r="8" spans="1:29" s="1218" customFormat="1" ht="15.75" thickBot="1">
      <c r="A8" s="2934"/>
      <c r="B8" s="2941"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412" t="s">
        <v>498</v>
      </c>
      <c r="Q8" s="3413"/>
      <c r="R8" s="1566" t="s">
        <v>12</v>
      </c>
      <c r="S8" s="1567">
        <f t="shared" si="0"/>
        <v>0</v>
      </c>
      <c r="T8" s="1566" t="s">
        <v>12</v>
      </c>
      <c r="U8" s="1567">
        <f t="shared" si="1"/>
        <v>0</v>
      </c>
      <c r="V8" s="1566" t="s">
        <v>12</v>
      </c>
      <c r="W8" s="1567">
        <f t="shared" si="2"/>
        <v>0</v>
      </c>
      <c r="X8" s="1568"/>
      <c r="Y8" s="3412" t="s">
        <v>498</v>
      </c>
      <c r="Z8" s="3413"/>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420" t="s">
        <v>500</v>
      </c>
      <c r="Q9" s="1149" t="str">
        <f t="shared" ref="Q9:Q15" si="6">B9</f>
        <v>用途</v>
      </c>
      <c r="R9" s="1566" t="s">
        <v>8</v>
      </c>
      <c r="S9" s="1567">
        <f t="shared" si="0"/>
        <v>100</v>
      </c>
      <c r="T9" s="1566" t="s">
        <v>8</v>
      </c>
      <c r="U9" s="1567">
        <f t="shared" si="1"/>
        <v>100</v>
      </c>
      <c r="V9" s="1566" t="s">
        <v>8</v>
      </c>
      <c r="W9" s="1567">
        <f t="shared" si="2"/>
        <v>100</v>
      </c>
      <c r="X9" s="1568"/>
      <c r="Y9" s="3377"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7"/>
      <c r="B11" s="2941" t="s">
        <v>2720</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420"/>
      <c r="Q11" s="1149" t="str">
        <f t="shared" si="6"/>
        <v>容积率</v>
      </c>
      <c r="R11" s="1566" t="s">
        <v>11</v>
      </c>
      <c r="S11" s="1567" t="e">
        <f t="shared" si="0"/>
        <v>#N/A</v>
      </c>
      <c r="T11" s="1566" t="s">
        <v>11</v>
      </c>
      <c r="U11" s="1567" t="e">
        <f t="shared" si="1"/>
        <v>#N/A</v>
      </c>
      <c r="V11" s="1566" t="s">
        <v>11</v>
      </c>
      <c r="W11" s="1567" t="e">
        <f t="shared" si="2"/>
        <v>#N/A</v>
      </c>
      <c r="X11" s="1568"/>
      <c r="Y11" s="3377"/>
      <c r="Z11" s="1148" t="str">
        <f t="shared" si="7"/>
        <v>容积率</v>
      </c>
      <c r="AA11" s="1569" t="e">
        <f t="shared" si="3"/>
        <v>#N/A</v>
      </c>
      <c r="AB11" s="1569" t="e">
        <f t="shared" si="4"/>
        <v>#N/A</v>
      </c>
      <c r="AC11" s="1569" t="e">
        <f t="shared" si="5"/>
        <v>#N/A</v>
      </c>
    </row>
    <row r="12" spans="1:29" s="1218" customFormat="1" ht="15">
      <c r="A12" s="2938"/>
      <c r="B12" s="2944"/>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20"/>
      <c r="Q12" s="1149">
        <f t="shared" si="6"/>
        <v>0</v>
      </c>
      <c r="R12" s="1566" t="s">
        <v>11</v>
      </c>
      <c r="S12" s="1567">
        <f t="shared" si="0"/>
        <v>100</v>
      </c>
      <c r="T12" s="1566" t="s">
        <v>11</v>
      </c>
      <c r="U12" s="1567">
        <f t="shared" si="1"/>
        <v>100</v>
      </c>
      <c r="V12" s="1566" t="s">
        <v>11</v>
      </c>
      <c r="W12" s="1567">
        <f t="shared" si="2"/>
        <v>100</v>
      </c>
      <c r="X12" s="1568"/>
      <c r="Y12" s="3377"/>
      <c r="Z12" s="1148">
        <f t="shared" si="7"/>
        <v>0</v>
      </c>
      <c r="AA12" s="1569">
        <f>D12/F12</f>
        <v>1</v>
      </c>
      <c r="AB12" s="1569">
        <f>D12/H12</f>
        <v>1</v>
      </c>
      <c r="AC12" s="1569">
        <f>D12/J12</f>
        <v>1</v>
      </c>
    </row>
    <row r="13" spans="1:29" ht="15">
      <c r="A13" s="2938"/>
      <c r="B13" s="2944"/>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20"/>
      <c r="Q13" s="1149">
        <f t="shared" si="6"/>
        <v>0</v>
      </c>
      <c r="R13" s="1566" t="s">
        <v>11</v>
      </c>
      <c r="S13" s="1567">
        <f t="shared" si="0"/>
        <v>100</v>
      </c>
      <c r="T13" s="1566" t="s">
        <v>11</v>
      </c>
      <c r="U13" s="1567">
        <f t="shared" si="1"/>
        <v>100</v>
      </c>
      <c r="V13" s="1566" t="s">
        <v>11</v>
      </c>
      <c r="W13" s="1567">
        <f t="shared" si="2"/>
        <v>100</v>
      </c>
      <c r="X13" s="1568"/>
      <c r="Y13" s="3377"/>
      <c r="Z13" s="1148">
        <f t="shared" si="7"/>
        <v>0</v>
      </c>
      <c r="AA13" s="1569">
        <f t="shared" si="3"/>
        <v>1</v>
      </c>
      <c r="AB13" s="1569">
        <f t="shared" si="4"/>
        <v>1</v>
      </c>
      <c r="AC13" s="1569">
        <f t="shared" si="5"/>
        <v>1</v>
      </c>
    </row>
    <row r="14" spans="1:29" ht="15.75" thickBot="1">
      <c r="A14" s="2939"/>
      <c r="B14" s="2945"/>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20"/>
      <c r="Q14" s="1149">
        <f t="shared" si="6"/>
        <v>0</v>
      </c>
      <c r="R14" s="1566" t="s">
        <v>11</v>
      </c>
      <c r="S14" s="1567">
        <f t="shared" si="0"/>
        <v>100</v>
      </c>
      <c r="T14" s="1566" t="s">
        <v>11</v>
      </c>
      <c r="U14" s="1567">
        <f t="shared" si="1"/>
        <v>100</v>
      </c>
      <c r="V14" s="1566" t="s">
        <v>11</v>
      </c>
      <c r="W14" s="1567">
        <f t="shared" si="2"/>
        <v>100</v>
      </c>
      <c r="X14" s="1568"/>
      <c r="Y14" s="3377"/>
      <c r="Z14" s="1148">
        <f t="shared" si="7"/>
        <v>0</v>
      </c>
      <c r="AA14" s="1569">
        <f t="shared" si="3"/>
        <v>1</v>
      </c>
      <c r="AB14" s="1569">
        <f t="shared" si="4"/>
        <v>1</v>
      </c>
      <c r="AC14" s="1569">
        <f t="shared" si="5"/>
        <v>1</v>
      </c>
    </row>
    <row r="15" spans="1:29" ht="99.75">
      <c r="A15" s="2931" t="s">
        <v>2716</v>
      </c>
      <c r="B15" s="165" t="s">
        <v>260</v>
      </c>
      <c r="C15" s="865" t="str">
        <f>估价对象房地状况!C3</f>
        <v>估价对象周边居住用地比例一般、居住小区规模和社区发展完善程度一般，综合评价居住社区成熟度一般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22" t="s">
        <v>505</v>
      </c>
      <c r="Q15" s="1570" t="str">
        <f t="shared" si="6"/>
        <v>居住社区成熟度</v>
      </c>
      <c r="R15" s="1571" t="s">
        <v>11</v>
      </c>
      <c r="S15" s="1572">
        <f t="shared" si="0"/>
        <v>100</v>
      </c>
      <c r="T15" s="1571" t="s">
        <v>11</v>
      </c>
      <c r="U15" s="1572">
        <f t="shared" si="1"/>
        <v>100</v>
      </c>
      <c r="V15" s="1571" t="s">
        <v>11</v>
      </c>
      <c r="W15" s="1572">
        <f t="shared" si="2"/>
        <v>100</v>
      </c>
      <c r="X15" s="1565"/>
      <c r="Y15" s="3422" t="s">
        <v>505</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39"/>
      <c r="M16" s="2131"/>
      <c r="N16" s="2131"/>
      <c r="O16" s="2138"/>
      <c r="P16" s="3423"/>
      <c r="Q16" s="1570"/>
      <c r="R16" s="1571"/>
      <c r="S16" s="1572"/>
      <c r="T16" s="1571"/>
      <c r="U16" s="1572"/>
      <c r="V16" s="1571"/>
      <c r="W16" s="1572"/>
      <c r="X16" s="1565"/>
      <c r="Y16" s="3423"/>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23"/>
      <c r="Q17" s="1570" t="str">
        <f>B17</f>
        <v>交通便捷度</v>
      </c>
      <c r="R17" s="1571" t="s">
        <v>11</v>
      </c>
      <c r="S17" s="1572">
        <f>F17</f>
        <v>100</v>
      </c>
      <c r="T17" s="1571" t="s">
        <v>11</v>
      </c>
      <c r="U17" s="1572">
        <f>H17</f>
        <v>100</v>
      </c>
      <c r="V17" s="1571" t="s">
        <v>11</v>
      </c>
      <c r="W17" s="1572">
        <f>J17</f>
        <v>100</v>
      </c>
      <c r="X17" s="1565"/>
      <c r="Y17" s="342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39"/>
      <c r="M18" s="2131"/>
      <c r="N18" s="2131"/>
      <c r="O18" s="2138"/>
      <c r="P18" s="3423"/>
      <c r="Q18" s="1570"/>
      <c r="R18" s="1571"/>
      <c r="S18" s="1572"/>
      <c r="T18" s="1571"/>
      <c r="U18" s="1572"/>
      <c r="V18" s="1571"/>
      <c r="W18" s="1572"/>
      <c r="X18" s="1565"/>
      <c r="Y18" s="3423"/>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23"/>
      <c r="Q19" s="1570" t="str">
        <f>B19</f>
        <v>公共配套设施</v>
      </c>
      <c r="R19" s="1571" t="s">
        <v>11</v>
      </c>
      <c r="S19" s="1572">
        <f>F19</f>
        <v>100</v>
      </c>
      <c r="T19" s="1571" t="s">
        <v>11</v>
      </c>
      <c r="U19" s="1572">
        <f>H19</f>
        <v>100</v>
      </c>
      <c r="V19" s="1571" t="s">
        <v>11</v>
      </c>
      <c r="W19" s="1572">
        <f>J19</f>
        <v>100</v>
      </c>
      <c r="X19" s="1565"/>
      <c r="Y19" s="3423"/>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39"/>
      <c r="M20" s="2131"/>
      <c r="N20" s="2131"/>
      <c r="O20" s="2138"/>
      <c r="P20" s="3423"/>
      <c r="Q20" s="1570"/>
      <c r="R20" s="1571"/>
      <c r="S20" s="1572"/>
      <c r="T20" s="1571"/>
      <c r="U20" s="1572"/>
      <c r="V20" s="1571"/>
      <c r="W20" s="1572"/>
      <c r="X20" s="1565"/>
      <c r="Y20" s="3423"/>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23"/>
      <c r="Q21" s="2600" t="str">
        <f>B21</f>
        <v>基础设施水平</v>
      </c>
      <c r="R21" s="1571" t="s">
        <v>11</v>
      </c>
      <c r="S21" s="1572">
        <f>F21</f>
        <v>100</v>
      </c>
      <c r="T21" s="1571" t="s">
        <v>11</v>
      </c>
      <c r="U21" s="1572">
        <f>H21</f>
        <v>100</v>
      </c>
      <c r="V21" s="1571" t="s">
        <v>11</v>
      </c>
      <c r="W21" s="1572">
        <f>J21</f>
        <v>100</v>
      </c>
      <c r="X21" s="2602"/>
      <c r="Y21" s="3423"/>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23"/>
      <c r="Q22" s="2600"/>
      <c r="R22" s="1571"/>
      <c r="S22" s="1572"/>
      <c r="T22" s="1571"/>
      <c r="U22" s="1572"/>
      <c r="V22" s="1571"/>
      <c r="W22" s="1572"/>
      <c r="X22" s="2602"/>
      <c r="Y22" s="3423"/>
      <c r="Z22" s="2601"/>
      <c r="AA22" s="1574">
        <v>1</v>
      </c>
      <c r="AB22" s="1574">
        <v>1</v>
      </c>
      <c r="AC22" s="1574">
        <v>1</v>
      </c>
    </row>
    <row r="23" spans="1:29" ht="57">
      <c r="A23" s="530"/>
      <c r="B23" s="869" t="s">
        <v>262</v>
      </c>
      <c r="C23" s="870"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23"/>
      <c r="Q23" s="1570" t="str">
        <f>B23</f>
        <v>自然及人文环境</v>
      </c>
      <c r="R23" s="1571" t="s">
        <v>11</v>
      </c>
      <c r="S23" s="1572">
        <f>F23</f>
        <v>100</v>
      </c>
      <c r="T23" s="1571" t="s">
        <v>11</v>
      </c>
      <c r="U23" s="1572">
        <f>H23</f>
        <v>100</v>
      </c>
      <c r="V23" s="1571" t="s">
        <v>11</v>
      </c>
      <c r="W23" s="1572">
        <f>J23</f>
        <v>100</v>
      </c>
      <c r="X23" s="1565"/>
      <c r="Y23" s="3423"/>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39"/>
      <c r="M24" s="2131"/>
      <c r="N24" s="2131"/>
      <c r="O24" s="2138"/>
      <c r="P24" s="3423"/>
      <c r="Q24" s="1570"/>
      <c r="R24" s="1571"/>
      <c r="S24" s="1572"/>
      <c r="T24" s="1571"/>
      <c r="U24" s="1572"/>
      <c r="V24" s="1571"/>
      <c r="W24" s="1572"/>
      <c r="X24" s="1565"/>
      <c r="Y24" s="3423"/>
      <c r="Z24" s="1573"/>
      <c r="AA24" s="1574">
        <v>1</v>
      </c>
      <c r="AB24" s="1574">
        <v>1</v>
      </c>
      <c r="AC24" s="1574">
        <v>1</v>
      </c>
    </row>
    <row r="25" spans="1:29" ht="15">
      <c r="A25" s="530"/>
      <c r="B25" s="1892" t="s">
        <v>2219</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23"/>
      <c r="Q25" s="1570" t="str">
        <f t="shared" ref="Q25:Q46" si="11">B25</f>
        <v>楼层-1</v>
      </c>
      <c r="R25" s="1571" t="s">
        <v>11</v>
      </c>
      <c r="S25" s="1572">
        <f>F25</f>
        <v>100</v>
      </c>
      <c r="T25" s="1571" t="s">
        <v>11</v>
      </c>
      <c r="U25" s="1572">
        <f>H25</f>
        <v>100</v>
      </c>
      <c r="V25" s="1571" t="s">
        <v>11</v>
      </c>
      <c r="W25" s="1572">
        <f>J25</f>
        <v>100</v>
      </c>
      <c r="X25" s="1565"/>
      <c r="Y25" s="3423"/>
      <c r="Z25" s="1573" t="str">
        <f>Q25</f>
        <v>楼层-1</v>
      </c>
      <c r="AA25" s="1574">
        <f t="shared" si="3"/>
        <v>1</v>
      </c>
      <c r="AB25" s="1574">
        <f t="shared" si="4"/>
        <v>1</v>
      </c>
      <c r="AC25" s="1574">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23"/>
      <c r="Q26" s="1570" t="str">
        <f t="shared" si="11"/>
        <v>朝向</v>
      </c>
      <c r="R26" s="1571" t="s">
        <v>11</v>
      </c>
      <c r="S26" s="1572">
        <f>F26</f>
        <v>100</v>
      </c>
      <c r="T26" s="1571" t="s">
        <v>11</v>
      </c>
      <c r="U26" s="1572">
        <f>H26</f>
        <v>100</v>
      </c>
      <c r="V26" s="1571" t="s">
        <v>11</v>
      </c>
      <c r="W26" s="1572">
        <f>J26</f>
        <v>100</v>
      </c>
      <c r="X26" s="1565"/>
      <c r="Y26" s="3423"/>
      <c r="Z26" s="1573" t="str">
        <f>Q26</f>
        <v>朝向</v>
      </c>
      <c r="AA26" s="1574">
        <f t="shared" si="3"/>
        <v>1</v>
      </c>
      <c r="AB26" s="1574">
        <f t="shared" si="4"/>
        <v>1</v>
      </c>
      <c r="AC26" s="1574">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23"/>
      <c r="Q27" s="1149" t="str">
        <f t="shared" si="11"/>
        <v>道路级别</v>
      </c>
      <c r="R27" s="1566" t="s">
        <v>11</v>
      </c>
      <c r="S27" s="1567">
        <f>F27</f>
        <v>100</v>
      </c>
      <c r="T27" s="1566" t="s">
        <v>11</v>
      </c>
      <c r="U27" s="1567">
        <f>H27</f>
        <v>100</v>
      </c>
      <c r="V27" s="1566" t="s">
        <v>11</v>
      </c>
      <c r="W27" s="1567">
        <f>J27</f>
        <v>100</v>
      </c>
      <c r="X27" s="1568"/>
      <c r="Y27" s="3423"/>
      <c r="Z27" s="1148"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23"/>
      <c r="Q28" s="1570">
        <f t="shared" si="11"/>
        <v>0</v>
      </c>
      <c r="R28" s="1571" t="s">
        <v>11</v>
      </c>
      <c r="S28" s="1572">
        <f t="shared" ref="S28:S46" si="12">F28</f>
        <v>100</v>
      </c>
      <c r="T28" s="1571" t="s">
        <v>11</v>
      </c>
      <c r="U28" s="1572">
        <f t="shared" ref="U28:U46" si="13">H28</f>
        <v>100</v>
      </c>
      <c r="V28" s="1571" t="s">
        <v>11</v>
      </c>
      <c r="W28" s="1572">
        <f t="shared" ref="W28:W46" si="14">J28</f>
        <v>100</v>
      </c>
      <c r="X28" s="1565"/>
      <c r="Y28" s="3423"/>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23"/>
      <c r="Q29" s="1570">
        <f t="shared" si="11"/>
        <v>0</v>
      </c>
      <c r="R29" s="1571" t="s">
        <v>11</v>
      </c>
      <c r="S29" s="1572">
        <f t="shared" si="12"/>
        <v>100</v>
      </c>
      <c r="T29" s="1571" t="s">
        <v>11</v>
      </c>
      <c r="U29" s="1572">
        <f t="shared" si="13"/>
        <v>100</v>
      </c>
      <c r="V29" s="1571" t="s">
        <v>11</v>
      </c>
      <c r="W29" s="1572">
        <f t="shared" si="14"/>
        <v>100</v>
      </c>
      <c r="X29" s="1565"/>
      <c r="Y29" s="3423"/>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23"/>
      <c r="Q30" s="1570">
        <f t="shared" si="11"/>
        <v>0</v>
      </c>
      <c r="R30" s="1571" t="s">
        <v>11</v>
      </c>
      <c r="S30" s="1572">
        <f t="shared" si="12"/>
        <v>100</v>
      </c>
      <c r="T30" s="1571" t="s">
        <v>11</v>
      </c>
      <c r="U30" s="1572">
        <f t="shared" si="13"/>
        <v>100</v>
      </c>
      <c r="V30" s="1571" t="s">
        <v>11</v>
      </c>
      <c r="W30" s="1572">
        <f t="shared" si="14"/>
        <v>100</v>
      </c>
      <c r="X30" s="1565"/>
      <c r="Y30" s="3423"/>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23"/>
      <c r="Q31" s="1570">
        <f t="shared" si="11"/>
        <v>0</v>
      </c>
      <c r="R31" s="1571" t="s">
        <v>11</v>
      </c>
      <c r="S31" s="1572">
        <f t="shared" si="12"/>
        <v>100</v>
      </c>
      <c r="T31" s="1571" t="s">
        <v>11</v>
      </c>
      <c r="U31" s="1572">
        <f t="shared" si="13"/>
        <v>100</v>
      </c>
      <c r="V31" s="1571" t="s">
        <v>11</v>
      </c>
      <c r="W31" s="1572">
        <f t="shared" si="14"/>
        <v>100</v>
      </c>
      <c r="X31" s="1565"/>
      <c r="Y31" s="3423"/>
      <c r="Z31" s="1573">
        <f t="shared" si="15"/>
        <v>0</v>
      </c>
      <c r="AA31" s="1574">
        <f t="shared" si="3"/>
        <v>1</v>
      </c>
      <c r="AB31" s="1574">
        <f t="shared" si="4"/>
        <v>1</v>
      </c>
      <c r="AC31" s="1574">
        <f t="shared" si="5"/>
        <v>1</v>
      </c>
    </row>
    <row r="32" spans="1:29" ht="15">
      <c r="A32" s="2928" t="s">
        <v>2717</v>
      </c>
      <c r="B32" s="171"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24" t="s">
        <v>515</v>
      </c>
      <c r="Q32" s="1570" t="str">
        <f t="shared" si="11"/>
        <v>建筑类型</v>
      </c>
      <c r="R32" s="1571" t="s">
        <v>11</v>
      </c>
      <c r="S32" s="1572">
        <f t="shared" si="12"/>
        <v>100</v>
      </c>
      <c r="T32" s="1571" t="s">
        <v>11</v>
      </c>
      <c r="U32" s="1572">
        <f t="shared" si="13"/>
        <v>100</v>
      </c>
      <c r="V32" s="1571" t="s">
        <v>11</v>
      </c>
      <c r="W32" s="1572">
        <f t="shared" si="14"/>
        <v>100</v>
      </c>
      <c r="X32" s="1565"/>
      <c r="Y32" s="3425" t="s">
        <v>515</v>
      </c>
      <c r="Z32" s="1573" t="str">
        <f t="shared" si="15"/>
        <v>建筑类型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425"/>
      <c r="Q33" s="1603" t="str">
        <f t="shared" si="11"/>
        <v>项目建筑规模</v>
      </c>
      <c r="R33" s="1575" t="s">
        <v>11</v>
      </c>
      <c r="S33" s="1576" t="e">
        <f t="shared" si="12"/>
        <v>#N/A</v>
      </c>
      <c r="T33" s="1575" t="s">
        <v>11</v>
      </c>
      <c r="U33" s="1576" t="e">
        <f t="shared" si="13"/>
        <v>#N/A</v>
      </c>
      <c r="V33" s="1575" t="s">
        <v>11</v>
      </c>
      <c r="W33" s="1576" t="e">
        <f t="shared" si="14"/>
        <v>#N/A</v>
      </c>
      <c r="X33" s="1577"/>
      <c r="Y33" s="3425"/>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25"/>
      <c r="Q34" s="1570" t="str">
        <f t="shared" si="11"/>
        <v>建筑结构</v>
      </c>
      <c r="R34" s="1571" t="s">
        <v>11</v>
      </c>
      <c r="S34" s="1572">
        <f t="shared" si="12"/>
        <v>100</v>
      </c>
      <c r="T34" s="1571" t="s">
        <v>11</v>
      </c>
      <c r="U34" s="1572">
        <f t="shared" si="13"/>
        <v>100</v>
      </c>
      <c r="V34" s="1571" t="s">
        <v>11</v>
      </c>
      <c r="W34" s="1572">
        <f t="shared" si="14"/>
        <v>100</v>
      </c>
      <c r="X34" s="1565"/>
      <c r="Y34" s="3425"/>
      <c r="Z34" s="1573" t="str">
        <f t="shared" si="15"/>
        <v>建筑结构</v>
      </c>
      <c r="AA34" s="1574">
        <f t="shared" si="3"/>
        <v>1</v>
      </c>
      <c r="AB34" s="1574">
        <f t="shared" si="4"/>
        <v>1</v>
      </c>
      <c r="AC34" s="1574">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25"/>
      <c r="Q35" s="1570" t="str">
        <f t="shared" si="11"/>
        <v>建筑品质</v>
      </c>
      <c r="R35" s="1571" t="s">
        <v>11</v>
      </c>
      <c r="S35" s="1572">
        <f t="shared" si="12"/>
        <v>100</v>
      </c>
      <c r="T35" s="1571" t="s">
        <v>11</v>
      </c>
      <c r="U35" s="1572">
        <f t="shared" si="13"/>
        <v>100</v>
      </c>
      <c r="V35" s="1571" t="s">
        <v>11</v>
      </c>
      <c r="W35" s="1572">
        <f t="shared" si="14"/>
        <v>100</v>
      </c>
      <c r="X35" s="1565"/>
      <c r="Y35" s="3425"/>
      <c r="Z35" s="1573" t="str">
        <f t="shared" si="15"/>
        <v>建筑品质</v>
      </c>
      <c r="AA35" s="1574">
        <f t="shared" si="3"/>
        <v>1</v>
      </c>
      <c r="AB35" s="1574">
        <f t="shared" si="4"/>
        <v>1</v>
      </c>
      <c r="AC35" s="1574">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25"/>
      <c r="Q36" s="1570" t="str">
        <f t="shared" si="11"/>
        <v>公共部分装修</v>
      </c>
      <c r="R36" s="1571" t="s">
        <v>11</v>
      </c>
      <c r="S36" s="1572">
        <f t="shared" si="12"/>
        <v>100</v>
      </c>
      <c r="T36" s="1571" t="s">
        <v>11</v>
      </c>
      <c r="U36" s="1572">
        <f t="shared" si="13"/>
        <v>100</v>
      </c>
      <c r="V36" s="1571" t="s">
        <v>11</v>
      </c>
      <c r="W36" s="1572">
        <f t="shared" si="14"/>
        <v>100</v>
      </c>
      <c r="X36" s="1565"/>
      <c r="Y36" s="3425"/>
      <c r="Z36" s="1573" t="str">
        <f t="shared" si="15"/>
        <v>公共部分装修</v>
      </c>
      <c r="AA36" s="1574">
        <f t="shared" si="3"/>
        <v>1</v>
      </c>
      <c r="AB36" s="1574">
        <f t="shared" si="4"/>
        <v>1</v>
      </c>
      <c r="AC36" s="1574">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425"/>
      <c r="Q37" s="1149" t="str">
        <f t="shared" si="11"/>
        <v>成新度</v>
      </c>
      <c r="R37" s="1566" t="s">
        <v>11</v>
      </c>
      <c r="S37" s="1567" t="e">
        <f t="shared" si="12"/>
        <v>#N/A</v>
      </c>
      <c r="T37" s="1566" t="s">
        <v>11</v>
      </c>
      <c r="U37" s="1567" t="e">
        <f t="shared" si="13"/>
        <v>#N/A</v>
      </c>
      <c r="V37" s="1566" t="s">
        <v>11</v>
      </c>
      <c r="W37" s="1567" t="e">
        <f t="shared" si="14"/>
        <v>#N/A</v>
      </c>
      <c r="X37" s="1568"/>
      <c r="Y37" s="3425"/>
      <c r="Z37" s="1148" t="str">
        <f t="shared" si="15"/>
        <v>成新度</v>
      </c>
      <c r="AA37" s="1569" t="e">
        <f t="shared" si="3"/>
        <v>#N/A</v>
      </c>
      <c r="AB37" s="1569" t="e">
        <f t="shared" si="4"/>
        <v>#N/A</v>
      </c>
      <c r="AC37" s="1569"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25" t="s">
        <v>515</v>
      </c>
      <c r="Q38" s="1570" t="str">
        <f t="shared" si="11"/>
        <v>物业管理</v>
      </c>
      <c r="R38" s="1571" t="s">
        <v>11</v>
      </c>
      <c r="S38" s="1572">
        <f t="shared" si="12"/>
        <v>100</v>
      </c>
      <c r="T38" s="1571" t="s">
        <v>11</v>
      </c>
      <c r="U38" s="1572">
        <f t="shared" si="13"/>
        <v>100</v>
      </c>
      <c r="V38" s="1571" t="s">
        <v>11</v>
      </c>
      <c r="W38" s="1572">
        <f t="shared" si="14"/>
        <v>100</v>
      </c>
      <c r="X38" s="1565"/>
      <c r="Y38" s="3425" t="s">
        <v>515</v>
      </c>
      <c r="Z38" s="1573" t="str">
        <f t="shared" si="15"/>
        <v>物业管理</v>
      </c>
      <c r="AA38" s="1574">
        <f t="shared" si="3"/>
        <v>1</v>
      </c>
      <c r="AB38" s="1574">
        <f t="shared" si="4"/>
        <v>1</v>
      </c>
      <c r="AC38" s="1574">
        <f t="shared" si="5"/>
        <v>1</v>
      </c>
    </row>
    <row r="39" spans="1:29" ht="15">
      <c r="A39" s="592"/>
      <c r="B39" s="1892" t="s">
        <v>2527</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25"/>
      <c r="Q39" s="1570" t="str">
        <f t="shared" si="11"/>
        <v>市政基础设施</v>
      </c>
      <c r="R39" s="1571" t="s">
        <v>11</v>
      </c>
      <c r="S39" s="1572">
        <f t="shared" si="12"/>
        <v>100</v>
      </c>
      <c r="T39" s="1571" t="s">
        <v>11</v>
      </c>
      <c r="U39" s="1572">
        <f t="shared" si="13"/>
        <v>100</v>
      </c>
      <c r="V39" s="1571" t="s">
        <v>11</v>
      </c>
      <c r="W39" s="1572">
        <f t="shared" si="14"/>
        <v>100</v>
      </c>
      <c r="X39" s="1565"/>
      <c r="Y39" s="3425"/>
      <c r="Z39" s="1573" t="str">
        <f t="shared" si="15"/>
        <v>市政基础设施</v>
      </c>
      <c r="AA39" s="1574">
        <f t="shared" si="3"/>
        <v>1</v>
      </c>
      <c r="AB39" s="1574">
        <f t="shared" si="4"/>
        <v>1</v>
      </c>
      <c r="AC39" s="1574">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25"/>
      <c r="Q40" s="1570" t="str">
        <f t="shared" si="11"/>
        <v>房型</v>
      </c>
      <c r="R40" s="1571" t="s">
        <v>11</v>
      </c>
      <c r="S40" s="1572">
        <f t="shared" si="12"/>
        <v>100</v>
      </c>
      <c r="T40" s="1571" t="s">
        <v>11</v>
      </c>
      <c r="U40" s="1572">
        <f t="shared" si="13"/>
        <v>100</v>
      </c>
      <c r="V40" s="1571" t="s">
        <v>11</v>
      </c>
      <c r="W40" s="1572">
        <f t="shared" si="14"/>
        <v>100</v>
      </c>
      <c r="X40" s="1565"/>
      <c r="Y40" s="3425"/>
      <c r="Z40" s="1573" t="str">
        <f t="shared" si="15"/>
        <v>房型</v>
      </c>
      <c r="AA40" s="1574">
        <f t="shared" si="3"/>
        <v>1</v>
      </c>
      <c r="AB40" s="1574">
        <f t="shared" si="4"/>
        <v>1</v>
      </c>
      <c r="AC40" s="1574">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25"/>
      <c r="Q41" s="1603" t="str">
        <f t="shared" si="11"/>
        <v>单套/主力户型建筑面积</v>
      </c>
      <c r="R41" s="1575" t="s">
        <v>11</v>
      </c>
      <c r="S41" s="1576">
        <f t="shared" si="12"/>
        <v>100</v>
      </c>
      <c r="T41" s="1575" t="s">
        <v>11</v>
      </c>
      <c r="U41" s="1576">
        <f t="shared" si="13"/>
        <v>100</v>
      </c>
      <c r="V41" s="1575" t="s">
        <v>11</v>
      </c>
      <c r="W41" s="1576">
        <f t="shared" si="14"/>
        <v>100</v>
      </c>
      <c r="X41" s="1577"/>
      <c r="Y41" s="3425"/>
      <c r="Z41" s="1578" t="str">
        <f t="shared" si="15"/>
        <v>单套/主力户型建筑面积</v>
      </c>
      <c r="AA41" s="1574">
        <f t="shared" si="3"/>
        <v>1</v>
      </c>
      <c r="AB41" s="1574">
        <f t="shared" si="4"/>
        <v>1</v>
      </c>
      <c r="AC41" s="1574">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25"/>
      <c r="Q42" s="1570" t="str">
        <f t="shared" si="11"/>
        <v>内部装修</v>
      </c>
      <c r="R42" s="1571" t="s">
        <v>11</v>
      </c>
      <c r="S42" s="1572">
        <f t="shared" si="12"/>
        <v>100</v>
      </c>
      <c r="T42" s="1571" t="s">
        <v>11</v>
      </c>
      <c r="U42" s="1572">
        <f t="shared" si="13"/>
        <v>100</v>
      </c>
      <c r="V42" s="1571" t="s">
        <v>11</v>
      </c>
      <c r="W42" s="1572">
        <f t="shared" si="14"/>
        <v>100</v>
      </c>
      <c r="X42" s="1565"/>
      <c r="Y42" s="3425"/>
      <c r="Z42" s="1573" t="str">
        <f t="shared" si="15"/>
        <v>内部装修</v>
      </c>
      <c r="AA42" s="1574">
        <f t="shared" si="3"/>
        <v>1</v>
      </c>
      <c r="AB42" s="1574">
        <f t="shared" si="4"/>
        <v>1</v>
      </c>
      <c r="AC42" s="1574">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25"/>
      <c r="Q43" s="1570" t="str">
        <f t="shared" si="11"/>
        <v>内部装修维护情况</v>
      </c>
      <c r="R43" s="1571" t="s">
        <v>11</v>
      </c>
      <c r="S43" s="1572">
        <f t="shared" si="12"/>
        <v>100</v>
      </c>
      <c r="T43" s="1571" t="s">
        <v>11</v>
      </c>
      <c r="U43" s="1572">
        <f t="shared" si="13"/>
        <v>100</v>
      </c>
      <c r="V43" s="1571" t="s">
        <v>11</v>
      </c>
      <c r="W43" s="1572">
        <f t="shared" si="14"/>
        <v>100</v>
      </c>
      <c r="X43" s="1565"/>
      <c r="Y43" s="3425"/>
      <c r="Z43" s="1573" t="str">
        <f t="shared" si="15"/>
        <v>内部装修维护情况</v>
      </c>
      <c r="AA43" s="1574">
        <f t="shared" si="3"/>
        <v>1</v>
      </c>
      <c r="AB43" s="1574">
        <f t="shared" si="4"/>
        <v>1</v>
      </c>
      <c r="AC43" s="1574">
        <f t="shared" si="5"/>
        <v>1</v>
      </c>
    </row>
    <row r="44" spans="1:29" s="1218" customFormat="1" ht="15">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25"/>
      <c r="Q44" s="1149">
        <f t="shared" si="11"/>
        <v>0</v>
      </c>
      <c r="R44" s="1566" t="s">
        <v>11</v>
      </c>
      <c r="S44" s="1567">
        <f t="shared" si="12"/>
        <v>100</v>
      </c>
      <c r="T44" s="1566" t="s">
        <v>11</v>
      </c>
      <c r="U44" s="1567">
        <f t="shared" si="13"/>
        <v>100</v>
      </c>
      <c r="V44" s="1566" t="s">
        <v>11</v>
      </c>
      <c r="W44" s="1567">
        <f t="shared" si="14"/>
        <v>100</v>
      </c>
      <c r="X44" s="1568"/>
      <c r="Y44" s="3425"/>
      <c r="Z44" s="1148">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25"/>
      <c r="Q45" s="1570">
        <f t="shared" si="11"/>
        <v>0</v>
      </c>
      <c r="R45" s="1571" t="s">
        <v>11</v>
      </c>
      <c r="S45" s="1572">
        <f t="shared" si="12"/>
        <v>100</v>
      </c>
      <c r="T45" s="1571" t="s">
        <v>11</v>
      </c>
      <c r="U45" s="1572">
        <f t="shared" si="13"/>
        <v>100</v>
      </c>
      <c r="V45" s="1571" t="s">
        <v>11</v>
      </c>
      <c r="W45" s="1572">
        <f t="shared" si="14"/>
        <v>100</v>
      </c>
      <c r="X45" s="1565"/>
      <c r="Y45" s="3425"/>
      <c r="Z45" s="1573">
        <f t="shared" si="15"/>
        <v>0</v>
      </c>
      <c r="AA45" s="1574">
        <f t="shared" si="3"/>
        <v>1</v>
      </c>
      <c r="AB45" s="1574">
        <f t="shared" si="4"/>
        <v>1</v>
      </c>
      <c r="AC45" s="1574">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03"/>
      <c r="Q46" s="1570">
        <f t="shared" si="11"/>
        <v>0</v>
      </c>
      <c r="R46" s="1571" t="s">
        <v>10</v>
      </c>
      <c r="S46" s="1572">
        <f t="shared" si="12"/>
        <v>100</v>
      </c>
      <c r="T46" s="1571" t="s">
        <v>10</v>
      </c>
      <c r="U46" s="1572">
        <f t="shared" si="13"/>
        <v>100</v>
      </c>
      <c r="V46" s="1571" t="s">
        <v>10</v>
      </c>
      <c r="W46" s="1572">
        <f t="shared" si="14"/>
        <v>100</v>
      </c>
      <c r="X46" s="1565"/>
      <c r="Y46" s="3503"/>
      <c r="Z46" s="1573">
        <f t="shared" si="15"/>
        <v>0</v>
      </c>
      <c r="AA46" s="1574">
        <f t="shared" si="3"/>
        <v>1</v>
      </c>
      <c r="AB46" s="1574">
        <f t="shared" si="4"/>
        <v>1</v>
      </c>
      <c r="AC46" s="1574">
        <f t="shared" si="5"/>
        <v>1</v>
      </c>
    </row>
    <row r="47" spans="1:29" ht="15">
      <c r="A47" s="605" t="s">
        <v>701</v>
      </c>
      <c r="B47" s="885"/>
      <c r="C47" s="2648" t="s">
        <v>9</v>
      </c>
      <c r="D47" s="2649"/>
      <c r="E47" s="2650"/>
      <c r="F47" s="2651"/>
      <c r="G47" s="2652"/>
      <c r="H47" s="2653"/>
      <c r="I47" s="2650"/>
      <c r="J47" s="2653"/>
      <c r="K47" s="1604"/>
      <c r="L47" s="2141"/>
      <c r="M47" s="2142"/>
      <c r="N47" s="2131"/>
      <c r="O47" s="2142"/>
      <c r="P47" s="3420" t="str">
        <f>A47</f>
        <v>成交单价（元/平方米）</v>
      </c>
      <c r="Q47" s="3420"/>
      <c r="R47" s="3502">
        <f>E47</f>
        <v>0</v>
      </c>
      <c r="S47" s="3502"/>
      <c r="T47" s="3502">
        <f>G47</f>
        <v>0</v>
      </c>
      <c r="U47" s="3502"/>
      <c r="V47" s="3502">
        <f>I47</f>
        <v>0</v>
      </c>
      <c r="W47" s="3502"/>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05"/>
      <c r="L48" s="2141"/>
      <c r="M48" s="2142"/>
      <c r="N48" s="2142"/>
      <c r="O48" s="2142"/>
      <c r="P48" s="3420" t="str">
        <f>A48</f>
        <v>比较价格（元/平方米）</v>
      </c>
      <c r="Q48" s="342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06"/>
      <c r="L49" s="2141"/>
      <c r="M49" s="2142"/>
      <c r="N49" s="2142"/>
      <c r="O49" s="2142"/>
      <c r="P49" s="3442" t="str">
        <f>A49</f>
        <v>估价对象XX用房的比较价格（楼面单价，元/平方米）</v>
      </c>
      <c r="Q49" s="3443"/>
      <c r="R49" s="3501" t="e">
        <f>IF(F1="售价",ROUND(AVERAGE(R48:V48),0),ROUND(AVERAGE(R48:V48),1))</f>
        <v>#DIV/0!</v>
      </c>
      <c r="S49" s="3501"/>
      <c r="T49" s="3501"/>
      <c r="U49" s="3501"/>
      <c r="V49" s="3501"/>
      <c r="W49" s="3501"/>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2220</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0</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0</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0</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2221</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2222</v>
      </c>
      <c r="C137" s="1916"/>
      <c r="D137" s="1916"/>
      <c r="E137" s="1916"/>
      <c r="F137" s="1916"/>
      <c r="G137" s="1917"/>
      <c r="H137" s="1918"/>
      <c r="I137" s="1919" t="s">
        <v>2223</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2224</v>
      </c>
      <c r="D138" s="1922" t="s">
        <v>2225</v>
      </c>
      <c r="E138" s="1923" t="s">
        <v>2226</v>
      </c>
      <c r="F138" s="1924" t="s">
        <v>2227</v>
      </c>
      <c r="G138" s="1922" t="s">
        <v>2228</v>
      </c>
      <c r="H138" s="1925" t="s">
        <v>2229</v>
      </c>
      <c r="I138" s="1926"/>
      <c r="J138" s="1922" t="s">
        <v>2230</v>
      </c>
      <c r="K138" s="1925" t="s">
        <v>2231</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2232</v>
      </c>
      <c r="E139" s="1896">
        <v>100</v>
      </c>
      <c r="F139" s="1897">
        <v>102.5</v>
      </c>
      <c r="G139" s="1927" t="s">
        <v>2233</v>
      </c>
      <c r="H139" s="1898">
        <v>105</v>
      </c>
      <c r="I139" s="1928" t="s">
        <v>2234</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2235</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2236</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2237</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2238</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2239</v>
      </c>
      <c r="E144" s="1902">
        <v>102</v>
      </c>
      <c r="F144" s="1908">
        <v>100</v>
      </c>
      <c r="G144" s="1931" t="s">
        <v>2239</v>
      </c>
      <c r="H144" s="1904">
        <v>105</v>
      </c>
      <c r="I144" s="1930" t="s">
        <v>2238</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2240</v>
      </c>
      <c r="C145" s="1909">
        <f>ROUND(MAX(C139:C144)/MIN(C139:C144)-1,3)</f>
        <v>7.2999999999999995E-2</v>
      </c>
      <c r="D145" s="1933"/>
      <c r="E145" s="1933"/>
      <c r="F145" s="1934" t="s">
        <v>2241</v>
      </c>
      <c r="G145" s="1935"/>
      <c r="H145" s="1936"/>
      <c r="I145" s="1937" t="s">
        <v>2238</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2250</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2251</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7" sqref="G1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34</v>
      </c>
      <c r="D1" s="3152" t="s">
        <v>3065</v>
      </c>
      <c r="E1" s="2408" t="s">
        <v>2337</v>
      </c>
      <c r="F1" s="2409">
        <f ca="1">J53</f>
        <v>47.1</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19136</v>
      </c>
      <c r="C2" s="2054"/>
      <c r="D2" s="2052"/>
      <c r="E2" s="2053"/>
      <c r="F2" s="2053"/>
      <c r="G2" s="1588"/>
      <c r="H2" s="2054"/>
      <c r="I2" s="2054"/>
      <c r="J2" s="2054"/>
      <c r="K2" s="2055"/>
      <c r="L2" s="2054"/>
      <c r="M2" s="2054"/>
    </row>
    <row r="3" spans="1:33" ht="18" customHeight="1" thickBot="1">
      <c r="A3" s="831" t="s">
        <v>1689</v>
      </c>
      <c r="B3" s="832">
        <f ca="1">IF(ISERROR(B2*10000/F43),0,ROUND(B2*10000/F43,0))</f>
        <v>4375</v>
      </c>
      <c r="C3" s="2054"/>
      <c r="D3" s="2052"/>
      <c r="E3" s="2053"/>
      <c r="F3" s="2053"/>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1694</v>
      </c>
      <c r="I4" s="776" t="s">
        <v>1695</v>
      </c>
      <c r="J4" s="776" t="s">
        <v>1696</v>
      </c>
      <c r="K4" s="776" t="s">
        <v>1697</v>
      </c>
      <c r="L4" s="777" t="s">
        <v>1698</v>
      </c>
      <c r="M4" s="778"/>
    </row>
    <row r="5" spans="1:33" ht="18" customHeight="1">
      <c r="A5" s="779">
        <v>1</v>
      </c>
      <c r="B5" s="780" t="s">
        <v>2421</v>
      </c>
      <c r="C5" s="54">
        <f ca="1">C6+C10+C12</f>
        <v>1248</v>
      </c>
      <c r="D5" s="2517" t="s">
        <v>2424</v>
      </c>
      <c r="E5" s="2511"/>
      <c r="F5" s="2512"/>
      <c r="G5" s="1590"/>
      <c r="H5" s="779">
        <v>1</v>
      </c>
      <c r="I5" s="780" t="s">
        <v>2421</v>
      </c>
      <c r="J5" s="54">
        <f ca="1">J6+J10+J12</f>
        <v>0</v>
      </c>
      <c r="K5" s="2517" t="s">
        <v>2424</v>
      </c>
      <c r="L5" s="2511"/>
      <c r="M5" s="2512"/>
    </row>
    <row r="6" spans="1:33" ht="18" customHeight="1">
      <c r="A6" s="1827" t="s">
        <v>1786</v>
      </c>
      <c r="B6" s="3485" t="s">
        <v>2426</v>
      </c>
      <c r="C6" s="781">
        <f ca="1">ROUND(F6*F8*F7*(1-F9)/10000,0)</f>
        <v>1248</v>
      </c>
      <c r="D6" s="2518" t="s">
        <v>2425</v>
      </c>
      <c r="E6" s="782" t="s">
        <v>1700</v>
      </c>
      <c r="F6" s="783">
        <f ca="1">INDIRECT("'数据-取费表'!u"&amp;$G$1)</f>
        <v>1200</v>
      </c>
      <c r="G6" s="1590"/>
      <c r="H6" s="2525" t="s">
        <v>2431</v>
      </c>
      <c r="I6" s="3485" t="s">
        <v>2426</v>
      </c>
      <c r="J6" s="781">
        <f ca="1">ROUND(M6*M8*M7*(1-M9)/10000,0)</f>
        <v>0</v>
      </c>
      <c r="K6" s="339" t="s">
        <v>1699</v>
      </c>
      <c r="L6" s="782" t="s">
        <v>1700</v>
      </c>
      <c r="M6" s="783">
        <f ca="1">INDIRECT("'数据-取费表'!z"&amp;$G$1)</f>
        <v>0</v>
      </c>
    </row>
    <row r="7" spans="1:33" ht="18" customHeight="1">
      <c r="A7" s="2521"/>
      <c r="B7" s="3486"/>
      <c r="C7" s="786"/>
      <c r="D7" s="787"/>
      <c r="E7" s="782" t="s">
        <v>1701</v>
      </c>
      <c r="F7" s="783">
        <f ca="1">IF(INDIRECT("'数据-取费表'!ah"&amp;$G$1)="",INDIRECT("'数据-取费表'!k"&amp;$G$1),INDIRECT("'数据-取费表'!ah"&amp;$G$1))</f>
        <v>963</v>
      </c>
      <c r="G7" s="1590"/>
      <c r="H7" s="2510"/>
      <c r="I7" s="3486"/>
      <c r="J7" s="786"/>
      <c r="K7" s="787"/>
      <c r="L7" s="782" t="s">
        <v>1701</v>
      </c>
      <c r="M7" s="783">
        <f ca="1">F7</f>
        <v>963</v>
      </c>
    </row>
    <row r="8" spans="1:33" ht="18" customHeight="1">
      <c r="A8" s="2514"/>
      <c r="B8" s="3487"/>
      <c r="C8" s="786"/>
      <c r="D8" s="787"/>
      <c r="E8" s="782" t="s">
        <v>1702</v>
      </c>
      <c r="F8" s="783">
        <f ca="1">INDIRECT("'数据-取费表'!ai"&amp;$G$1)</f>
        <v>12</v>
      </c>
      <c r="G8" s="1590"/>
      <c r="H8" s="2510"/>
      <c r="I8" s="3487"/>
      <c r="J8" s="786"/>
      <c r="K8" s="787"/>
      <c r="L8" s="782" t="s">
        <v>1702</v>
      </c>
      <c r="M8" s="783">
        <f ca="1">INDIRECT("'数据-取费表'!ai"&amp;$G$1)</f>
        <v>12</v>
      </c>
    </row>
    <row r="9" spans="1:33" ht="18" customHeight="1">
      <c r="A9" s="784"/>
      <c r="B9" s="3488"/>
      <c r="C9" s="786"/>
      <c r="D9" s="787"/>
      <c r="E9" s="782" t="s">
        <v>1703</v>
      </c>
      <c r="F9" s="792">
        <f ca="1">INDIRECT("'数据-取费表'!w"&amp;$G$1)</f>
        <v>0.1</v>
      </c>
      <c r="G9" s="1590"/>
      <c r="H9" s="2526"/>
      <c r="I9" s="3487"/>
      <c r="J9" s="786"/>
      <c r="K9" s="787"/>
      <c r="L9" s="793" t="s">
        <v>1703</v>
      </c>
      <c r="M9" s="794">
        <f ca="1">INDIRECT("'数据-取费表'!ab"&amp;$G$1)</f>
        <v>0</v>
      </c>
    </row>
    <row r="10" spans="1:33" ht="18" customHeight="1">
      <c r="A10" s="1827" t="s">
        <v>2429</v>
      </c>
      <c r="B10" s="2515" t="s">
        <v>2422</v>
      </c>
      <c r="C10" s="797">
        <f ca="1">ROUND(IF(F10="押一",C6/12*F11,IF(F10="押二",C6/12*2*F11,IF(F10="押三",C6/12*3*F11,C11*F11))),0)</f>
        <v>0</v>
      </c>
      <c r="D10" s="2522" t="s">
        <v>2927</v>
      </c>
      <c r="E10" s="2519" t="s">
        <v>2427</v>
      </c>
      <c r="F10" s="2642" t="s">
        <v>3072</v>
      </c>
      <c r="G10" s="1590"/>
      <c r="H10" s="2582" t="s">
        <v>2432</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2428</v>
      </c>
      <c r="F11" s="794">
        <f ca="1">'数据-取费表'!B39</f>
        <v>1.4999999999999999E-2</v>
      </c>
      <c r="G11" s="1590"/>
      <c r="H11" s="2583"/>
      <c r="I11" s="2516" t="s">
        <v>2536</v>
      </c>
      <c r="J11" s="2520"/>
      <c r="K11" s="2584"/>
      <c r="L11" s="2519" t="s">
        <v>2428</v>
      </c>
      <c r="M11" s="2513">
        <f ca="1">'数据-取费表'!B39</f>
        <v>1.4999999999999999E-2</v>
      </c>
    </row>
    <row r="12" spans="1:33" ht="18" customHeight="1" thickBot="1">
      <c r="A12" s="2558" t="s">
        <v>2430</v>
      </c>
      <c r="B12" s="2559" t="s">
        <v>2423</v>
      </c>
      <c r="C12" s="2560"/>
      <c r="D12" s="2561"/>
      <c r="E12" s="2562"/>
      <c r="F12" s="2563"/>
      <c r="G12" s="1590"/>
      <c r="H12" s="2572" t="s">
        <v>2433</v>
      </c>
      <c r="I12" s="2585" t="s">
        <v>2423</v>
      </c>
      <c r="J12" s="2586"/>
      <c r="K12" s="2561"/>
      <c r="L12" s="2562"/>
      <c r="M12" s="2575"/>
    </row>
    <row r="13" spans="1:33" ht="18" customHeight="1" thickTop="1">
      <c r="A13" s="1826">
        <v>2</v>
      </c>
      <c r="B13" s="1824" t="s">
        <v>1704</v>
      </c>
      <c r="C13" s="790">
        <f ca="1">ROUND(C29*F13,0)</f>
        <v>18707</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1846</v>
      </c>
      <c r="B14" s="782" t="s">
        <v>610</v>
      </c>
      <c r="C14" s="802">
        <f ca="1">INDIRECT("'数据-取费表'!m"&amp;$G$1)+INDIRECT("'数据-取费表'!t"&amp;$G$1)</f>
        <v>13808</v>
      </c>
      <c r="D14" s="1976" t="s">
        <v>1707</v>
      </c>
      <c r="E14" s="1977"/>
      <c r="F14" s="803"/>
      <c r="G14" s="1590"/>
      <c r="H14" s="1647" t="s">
        <v>1792</v>
      </c>
      <c r="I14" s="2228" t="s">
        <v>2788</v>
      </c>
      <c r="J14" s="52">
        <f ca="1">C29</f>
        <v>18707</v>
      </c>
      <c r="K14" s="25"/>
      <c r="L14" s="799"/>
      <c r="M14" s="800"/>
    </row>
    <row r="15" spans="1:33" s="2061" customFormat="1" ht="18" customHeight="1" thickBot="1">
      <c r="A15" s="1646" t="s">
        <v>1847</v>
      </c>
      <c r="B15" s="782" t="s">
        <v>612</v>
      </c>
      <c r="C15" s="52">
        <f ca="1">ROUND(C14*F15,0)</f>
        <v>414</v>
      </c>
      <c r="D15" s="804" t="s">
        <v>1708</v>
      </c>
      <c r="E15" s="804" t="s">
        <v>1709</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1848</v>
      </c>
      <c r="B16" s="782" t="s">
        <v>615</v>
      </c>
      <c r="C16" s="52">
        <f ca="1">ROUND(INDIRECT("'数据-取费表'!m"&amp;$G$1)*F16,0)</f>
        <v>0</v>
      </c>
      <c r="D16" s="782" t="s">
        <v>1708</v>
      </c>
      <c r="E16" s="782" t="s">
        <v>1709</v>
      </c>
      <c r="F16" s="807">
        <f ca="1">IF(INDIRECT("'数据-取费表'!c"&amp;$G$1)="住宅",'数据-取费表'!B34,0)</f>
        <v>0</v>
      </c>
      <c r="G16" s="1590"/>
      <c r="H16" s="1826" t="s">
        <v>1710</v>
      </c>
      <c r="I16" s="1824" t="s">
        <v>1711</v>
      </c>
      <c r="J16" s="790">
        <f ca="1">ROUND(J17+J22+J23+J24,0)</f>
        <v>1857</v>
      </c>
      <c r="K16" s="1818" t="s">
        <v>1712</v>
      </c>
      <c r="L16" s="2507"/>
      <c r="M16" s="2512"/>
    </row>
    <row r="17" spans="1:33" s="2061" customFormat="1" ht="18" customHeight="1">
      <c r="A17" s="1646" t="s">
        <v>1849</v>
      </c>
      <c r="B17" s="782" t="s">
        <v>618</v>
      </c>
      <c r="C17" s="52">
        <f ca="1">ROUND(F17*(F43+INDIRECT("'数据-取费表'!S"&amp;$G$1))/10000,0)</f>
        <v>1023</v>
      </c>
      <c r="D17" s="782" t="s">
        <v>1713</v>
      </c>
      <c r="E17" s="782" t="s">
        <v>1714</v>
      </c>
      <c r="F17" s="55">
        <f>'数据-取费表'!B35</f>
        <v>200</v>
      </c>
      <c r="G17" s="1591"/>
      <c r="H17" s="1647" t="s">
        <v>1792</v>
      </c>
      <c r="I17" s="782" t="s">
        <v>621</v>
      </c>
      <c r="J17" s="52">
        <f ca="1">ROUND(IF(项目基本情况!B11="自然人",J5*M17,J18+J19+J20),0)</f>
        <v>1576</v>
      </c>
      <c r="K17" s="2506" t="s">
        <v>1715</v>
      </c>
      <c r="L17" s="2505" t="s">
        <v>1716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207</v>
      </c>
      <c r="D18" s="782" t="s">
        <v>1708</v>
      </c>
      <c r="E18" s="782" t="s">
        <v>1709</v>
      </c>
      <c r="F18" s="807">
        <f>'数据-取费表'!B36</f>
        <v>1.4999999999999999E-2</v>
      </c>
      <c r="G18" s="1591"/>
      <c r="H18" s="1646" t="s">
        <v>1846</v>
      </c>
      <c r="I18" s="782" t="s">
        <v>1717</v>
      </c>
      <c r="J18" s="52">
        <f ca="1">ROUND(J5*M18/1.05,1)</f>
        <v>0</v>
      </c>
      <c r="K18" s="2505" t="s">
        <v>1718</v>
      </c>
      <c r="L18" s="782" t="s">
        <v>1709</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1792</v>
      </c>
      <c r="B19" s="782" t="s">
        <v>627</v>
      </c>
      <c r="C19" s="52">
        <f ca="1">SUM(C14:C18)</f>
        <v>15452</v>
      </c>
      <c r="D19" s="259" t="s">
        <v>1719</v>
      </c>
      <c r="E19" s="1979"/>
      <c r="F19" s="55"/>
      <c r="G19" s="1590"/>
      <c r="H19" s="1646" t="s">
        <v>1847</v>
      </c>
      <c r="I19" s="782" t="s">
        <v>1720</v>
      </c>
      <c r="J19" s="52">
        <f ca="1">IF(K19="按租金收入计税",ROUND(J5*M19,1),ROUND(C29*F33*0.7,1))</f>
        <v>1571.4</v>
      </c>
      <c r="K19" s="809" t="s">
        <v>630</v>
      </c>
      <c r="L19" s="782" t="s">
        <v>1709</v>
      </c>
      <c r="M19" s="807">
        <f>IF(K19="按租金收入计税",'数据-取费表'!B51,'数据-取费表'!B50)</f>
        <v>1.2E-2</v>
      </c>
    </row>
    <row r="20" spans="1:33" s="2061" customFormat="1" ht="18" customHeight="1">
      <c r="A20" s="1647" t="s">
        <v>1851</v>
      </c>
      <c r="B20" s="782" t="s">
        <v>631</v>
      </c>
      <c r="C20" s="52">
        <f ca="1">ROUND(C19*F20,0)</f>
        <v>309</v>
      </c>
      <c r="D20" s="810" t="s">
        <v>1721</v>
      </c>
      <c r="E20" s="782" t="s">
        <v>1709</v>
      </c>
      <c r="F20" s="807">
        <f>'数据-取费表'!B37</f>
        <v>0.02</v>
      </c>
      <c r="G20" s="1591"/>
      <c r="H20" s="1649" t="s">
        <v>1842</v>
      </c>
      <c r="I20" s="339" t="s">
        <v>1722</v>
      </c>
      <c r="J20" s="53">
        <f ca="1">ROUND(M20*M21/10000,0)</f>
        <v>5</v>
      </c>
      <c r="K20" s="812" t="s">
        <v>1723</v>
      </c>
      <c r="L20" s="782" t="s">
        <v>1724</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1725</v>
      </c>
      <c r="C21" s="52" t="s">
        <v>1726</v>
      </c>
      <c r="D21" s="810" t="s">
        <v>2261</v>
      </c>
      <c r="E21" s="782" t="s">
        <v>1727</v>
      </c>
      <c r="F21" s="807">
        <f>'数据-取费表'!B38</f>
        <v>0.02</v>
      </c>
      <c r="G21" s="1591"/>
      <c r="H21" s="2527"/>
      <c r="I21" s="791"/>
      <c r="J21" s="68"/>
      <c r="K21" s="814"/>
      <c r="L21" s="782" t="s">
        <v>1728</v>
      </c>
      <c r="M21" s="783">
        <f ca="1">INDIRECT("'数据-取费表'!r"&amp;$G$1)</f>
        <v>17374.55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1729</v>
      </c>
      <c r="C22" s="52"/>
      <c r="D22" s="2593" t="str">
        <f>IF(F23&lt;=1,"单利计息。","复利计息。")&amp;"建造成本、管理费用、销售费用产生的利息。"</f>
        <v>复利计息。建造成本、管理费用、销售费用产生的利息。</v>
      </c>
      <c r="E22" s="1979"/>
      <c r="F22" s="55"/>
      <c r="G22" s="1590"/>
      <c r="H22" s="1647" t="s">
        <v>1851</v>
      </c>
      <c r="I22" s="782" t="s">
        <v>1730</v>
      </c>
      <c r="J22" s="52">
        <f ca="1">ROUND(J14*M22,0)</f>
        <v>281</v>
      </c>
      <c r="K22" s="2505" t="s">
        <v>1731</v>
      </c>
      <c r="L22" s="782" t="s">
        <v>1709</v>
      </c>
      <c r="M22" s="815">
        <f ca="1">INDIRECT("'数据-取费表'!Ak"&amp;$G$1)</f>
        <v>1.4999999999999999E-2</v>
      </c>
    </row>
    <row r="23" spans="1:33" s="2061" customFormat="1" ht="18" customHeight="1">
      <c r="A23" s="1646" t="s">
        <v>1793</v>
      </c>
      <c r="B23" s="782" t="s">
        <v>2498</v>
      </c>
      <c r="C23" s="52">
        <f ca="1">ROUND(IF('数据-取费表'!B22&lt;=1,(C19+C20)*F24*F23/2,(C19+C20)*(POWER((1+F24),F23/2)-1)),0)</f>
        <v>749</v>
      </c>
      <c r="D23" s="2592" t="str">
        <f>IF(F23&lt;=1,"(建造成本+管理费用)×利率×(建设周期÷2)","(建造成本+管理费用)×((1+利率)^(建设周期÷2)-1)")</f>
        <v>(建造成本+管理费用)×((1+利率)^(建设周期÷2)-1)</v>
      </c>
      <c r="E23" s="782" t="s">
        <v>1732</v>
      </c>
      <c r="F23" s="638">
        <f>'数据-取费表'!B20</f>
        <v>2</v>
      </c>
      <c r="G23" s="1591"/>
      <c r="H23" s="1647" t="s">
        <v>1852</v>
      </c>
      <c r="I23" s="782" t="s">
        <v>644</v>
      </c>
      <c r="J23" s="52">
        <f ca="1">ROUND(J13*M23,0)</f>
        <v>0</v>
      </c>
      <c r="K23" s="2505" t="s">
        <v>1733</v>
      </c>
      <c r="L23" s="782" t="s">
        <v>1709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1735</v>
      </c>
      <c r="F24" s="817">
        <f ca="1">'数据-取费表'!B40</f>
        <v>4.7500000000000001E-2</v>
      </c>
      <c r="G24" s="1591"/>
      <c r="H24" s="2572" t="s">
        <v>1853</v>
      </c>
      <c r="I24" s="2567" t="s">
        <v>631</v>
      </c>
      <c r="J24" s="2565">
        <f ca="1">ROUND(J5*M24,0)</f>
        <v>0</v>
      </c>
      <c r="K24" s="2566" t="s">
        <v>1736</v>
      </c>
      <c r="L24" s="2567" t="s">
        <v>1709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1737</v>
      </c>
      <c r="E25" s="1979"/>
      <c r="F25" s="55"/>
      <c r="G25" s="1590"/>
      <c r="H25" s="1826" t="s">
        <v>1738</v>
      </c>
      <c r="I25" s="3031" t="s">
        <v>2784</v>
      </c>
      <c r="J25" s="790">
        <f ca="1">J5-J16</f>
        <v>-1857</v>
      </c>
      <c r="K25" s="2569" t="s">
        <v>1739</v>
      </c>
      <c r="L25" s="2570"/>
      <c r="M25" s="2571"/>
    </row>
    <row r="26" spans="1:33" ht="18" customHeight="1">
      <c r="A26" s="1646" t="s">
        <v>1793</v>
      </c>
      <c r="B26" s="782" t="s">
        <v>2401</v>
      </c>
      <c r="C26" s="52">
        <f ca="1">ROUND((C19+C20)*F26,0)</f>
        <v>788</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1744</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1747</v>
      </c>
      <c r="F28" s="807">
        <f>'数据-取费表'!B41</f>
        <v>5.6000000000000001E-2</v>
      </c>
      <c r="G28" s="1591"/>
      <c r="H28" s="1826"/>
      <c r="I28" s="789"/>
      <c r="J28" s="790"/>
      <c r="K28" s="814"/>
      <c r="L28" s="782" t="s">
        <v>1748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18707</v>
      </c>
      <c r="D29" s="2566"/>
      <c r="E29" s="2567"/>
      <c r="F29" s="2568"/>
      <c r="G29" s="1591"/>
      <c r="H29" s="821" t="s">
        <v>1749</v>
      </c>
      <c r="I29" s="822" t="s">
        <v>1750</v>
      </c>
      <c r="J29" s="823">
        <f ca="1">ROUND(J26/(1+F40)^F41,0)</f>
        <v>0</v>
      </c>
      <c r="K29" s="824" t="s">
        <v>1751</v>
      </c>
      <c r="L29" s="825"/>
      <c r="M29" s="826">
        <f ca="1">INDIRECT("'数据-取费表'!k"&amp;$G$1)</f>
        <v>43743.43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543</v>
      </c>
      <c r="D30" s="1818" t="s">
        <v>1753</v>
      </c>
      <c r="E30" s="2507"/>
      <c r="F30" s="2512"/>
      <c r="G30" s="2059"/>
      <c r="H30" s="2062"/>
      <c r="I30" s="2063"/>
      <c r="J30" s="2064"/>
      <c r="K30" s="2065"/>
      <c r="L30" s="2066"/>
      <c r="M30" s="2067"/>
    </row>
    <row r="31" spans="1:33" ht="18" customHeight="1">
      <c r="A31" s="1647" t="s">
        <v>1792</v>
      </c>
      <c r="B31" s="782" t="s">
        <v>621</v>
      </c>
      <c r="C31" s="52">
        <f ca="1">ROUND(IF(项目基本情况!B11="自然人",C5*F31,C32+C33+C34),1)</f>
        <v>221.6</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1756</v>
      </c>
      <c r="C32" s="52">
        <f ca="1">ROUND(C5*F32/1.05,1)</f>
        <v>66.599999999999994</v>
      </c>
      <c r="D32" s="1974" t="s">
        <v>1757</v>
      </c>
      <c r="E32" s="782" t="s">
        <v>1758</v>
      </c>
      <c r="F32" s="807">
        <f>'数据-取费表'!B41</f>
        <v>5.6000000000000001E-2</v>
      </c>
      <c r="G32" s="2059"/>
      <c r="H32" s="2068"/>
      <c r="I32" s="2069"/>
      <c r="J32" s="2070"/>
      <c r="K32" s="2071"/>
      <c r="L32" s="2072"/>
      <c r="M32" s="2073"/>
    </row>
    <row r="33" spans="1:18" ht="18" customHeight="1">
      <c r="A33" s="1646" t="s">
        <v>1794</v>
      </c>
      <c r="B33" s="782" t="s">
        <v>1759</v>
      </c>
      <c r="C33" s="52">
        <f ca="1">IF(D33="按租金收入计税",ROUND(C5*F33,1),IF(D33="按房产原值计税",ROUND(C29*F33*0.7,1),INDIRECT("'数据-取费表'!Aj"&amp;$G$1)))</f>
        <v>149.80000000000001</v>
      </c>
      <c r="D33" s="3216" t="s">
        <v>3070</v>
      </c>
      <c r="E33" s="782" t="s">
        <v>1758</v>
      </c>
      <c r="F33" s="807">
        <f>IF(D33="按租金收入计税",'数据-取费表'!B51,'数据-取费表'!B50)</f>
        <v>0.12</v>
      </c>
      <c r="G33" s="2059"/>
      <c r="H33" s="2074"/>
      <c r="I33" s="2074"/>
      <c r="J33" s="2074"/>
      <c r="K33" s="2075"/>
      <c r="L33" s="2074"/>
      <c r="M33" s="2074"/>
    </row>
    <row r="34" spans="1:18" ht="18" customHeight="1">
      <c r="A34" s="1649" t="s">
        <v>1795</v>
      </c>
      <c r="B34" s="339" t="s">
        <v>1760</v>
      </c>
      <c r="C34" s="53">
        <f ca="1">ROUND(F34*F35/10000,1)</f>
        <v>5.2</v>
      </c>
      <c r="D34" s="812" t="s">
        <v>1761</v>
      </c>
      <c r="E34" s="782" t="s">
        <v>1762</v>
      </c>
      <c r="F34" s="638">
        <f>'数据-取费表'!B52</f>
        <v>3</v>
      </c>
      <c r="G34" s="2059"/>
      <c r="H34" s="2062"/>
      <c r="I34" s="833" t="s">
        <v>1775</v>
      </c>
      <c r="J34" s="834"/>
      <c r="K34" s="2077"/>
      <c r="L34" s="2076"/>
      <c r="M34" s="2076"/>
    </row>
    <row r="35" spans="1:18" ht="18" customHeight="1">
      <c r="A35" s="813"/>
      <c r="B35" s="791"/>
      <c r="C35" s="68"/>
      <c r="D35" s="814"/>
      <c r="E35" s="782" t="s">
        <v>1763</v>
      </c>
      <c r="F35" s="783">
        <f ca="1">INDIRECT("'数据-取费表'!r"&amp;$G$1)</f>
        <v>17374.55</v>
      </c>
      <c r="G35" s="2059"/>
      <c r="H35" s="2062"/>
      <c r="I35" s="835" t="s">
        <v>1776</v>
      </c>
      <c r="J35" s="836">
        <f ca="1">ROUND(C13*J36,0)</f>
        <v>1590</v>
      </c>
      <c r="K35" s="2075"/>
      <c r="L35" s="2074"/>
      <c r="M35" s="2074"/>
    </row>
    <row r="36" spans="1:18" ht="18" customHeight="1">
      <c r="A36" s="1647" t="s">
        <v>1851</v>
      </c>
      <c r="B36" s="782" t="s">
        <v>1764</v>
      </c>
      <c r="C36" s="52">
        <f ca="1">ROUND(C29*F36,1)</f>
        <v>280.60000000000002</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28.1</v>
      </c>
      <c r="D37" s="1974" t="s">
        <v>1766</v>
      </c>
      <c r="E37" s="782" t="s">
        <v>1758</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12.5</v>
      </c>
      <c r="D38" s="2566" t="s">
        <v>1767</v>
      </c>
      <c r="E38" s="2567" t="s">
        <v>1758</v>
      </c>
      <c r="F38" s="2563">
        <f ca="1">INDIRECT("'数据-取费表'!Am"&amp;$G$1)</f>
        <v>0.01</v>
      </c>
      <c r="G38" s="2059"/>
      <c r="H38" s="2074"/>
      <c r="I38" s="841" t="s">
        <v>1779</v>
      </c>
      <c r="J38" s="842"/>
      <c r="K38" s="2080"/>
      <c r="L38" s="2074"/>
      <c r="M38" s="2074"/>
    </row>
    <row r="39" spans="1:18" ht="24.6" customHeight="1" thickTop="1">
      <c r="A39" s="1826" t="s">
        <v>1856</v>
      </c>
      <c r="B39" s="3031" t="s">
        <v>2784</v>
      </c>
      <c r="C39" s="790">
        <f ca="1">C5-C30</f>
        <v>705</v>
      </c>
      <c r="D39" s="2569" t="s">
        <v>1768</v>
      </c>
      <c r="E39" s="2570"/>
      <c r="F39" s="2571"/>
      <c r="G39" s="2059"/>
      <c r="H39" s="2074"/>
      <c r="I39" s="835" t="s">
        <v>1780</v>
      </c>
      <c r="J39" s="843">
        <f ca="1">ROUND(J35/C39,3)</f>
        <v>2.2549999999999999</v>
      </c>
      <c r="K39" s="2080"/>
      <c r="L39" s="2074"/>
      <c r="M39" s="2074"/>
    </row>
    <row r="40" spans="1:18" ht="18" customHeight="1">
      <c r="A40" s="779" t="s">
        <v>1857</v>
      </c>
      <c r="B40" s="2229" t="s">
        <v>2264</v>
      </c>
      <c r="C40" s="781">
        <f ca="1">ROUND(C39*(1-((1+F42)/(1+F40))^F41)/(F40-F42),0)</f>
        <v>19136</v>
      </c>
      <c r="D40" s="812" t="s">
        <v>1769</v>
      </c>
      <c r="E40" s="782" t="s">
        <v>2382</v>
      </c>
      <c r="F40" s="792">
        <f ca="1">INDIRECT("'数据-取费表'!I"&amp;$G$1)</f>
        <v>0.05</v>
      </c>
      <c r="G40" s="2059"/>
      <c r="H40" s="2059"/>
      <c r="I40" s="835" t="s">
        <v>1781</v>
      </c>
      <c r="J40" s="843">
        <f ca="1">1-J39</f>
        <v>-1.2549999999999999</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0.97799999999999998</v>
      </c>
      <c r="K42" s="2079"/>
      <c r="L42" s="1985"/>
      <c r="M42" s="1985"/>
    </row>
    <row r="43" spans="1:18" ht="18" customHeight="1" thickBot="1">
      <c r="A43" s="821" t="s">
        <v>1749</v>
      </c>
      <c r="B43" s="822" t="s">
        <v>1772</v>
      </c>
      <c r="C43" s="823">
        <f ca="1">ROUND(C40*10000/F43,0)</f>
        <v>4375</v>
      </c>
      <c r="D43" s="824" t="s">
        <v>1773</v>
      </c>
      <c r="E43" s="825" t="s">
        <v>1774</v>
      </c>
      <c r="F43" s="826">
        <f ca="1">INDIRECT("'数据-取费表'!k"&amp;$G$1)</f>
        <v>43743.43</v>
      </c>
      <c r="G43" s="2059"/>
      <c r="H43" s="1985"/>
      <c r="I43" s="845" t="s">
        <v>1784</v>
      </c>
      <c r="J43" s="846">
        <f ca="1">1-J42</f>
        <v>2.200000000000002E-2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3199">
        <f ca="1">C40/'数据-取费表'!AH8</f>
        <v>19.871235721703012</v>
      </c>
      <c r="K45" s="2083"/>
      <c r="Q45" s="2094"/>
    </row>
    <row r="46" spans="1:18" s="2056" customFormat="1" ht="18" customHeight="1" thickBot="1">
      <c r="A46" s="2227" t="s">
        <v>2258</v>
      </c>
      <c r="B46" s="2082"/>
      <c r="C46" s="2595">
        <f ca="1">C67-C40</f>
        <v>-24785</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3067</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2500</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19136</v>
      </c>
      <c r="R48" s="2420" t="s">
        <v>2343</v>
      </c>
    </row>
    <row r="49" spans="1:18" s="2056" customFormat="1" ht="18" customHeight="1" thickBot="1">
      <c r="A49" s="784"/>
      <c r="B49" s="785"/>
      <c r="C49" s="786"/>
      <c r="D49" s="787"/>
      <c r="E49" s="782" t="s">
        <v>1701</v>
      </c>
      <c r="F49" s="783">
        <f ca="1">F7</f>
        <v>963</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1702</v>
      </c>
      <c r="F50" s="783">
        <f ca="1">F8</f>
        <v>12</v>
      </c>
      <c r="G50" s="2092"/>
      <c r="H50" s="2090"/>
      <c r="I50" s="2380" t="s">
        <v>2309</v>
      </c>
      <c r="J50" s="2393">
        <f>SUMPRODUCT((I63:I65=J47)*(J62:L62=J48)*(J63:L65))</f>
        <v>60</v>
      </c>
      <c r="K50" s="2391" t="s">
        <v>2316</v>
      </c>
      <c r="L50" s="2392"/>
      <c r="O50" s="2422" t="s">
        <v>2346</v>
      </c>
      <c r="P50" s="2420" t="s">
        <v>2370</v>
      </c>
      <c r="Q50" s="2421">
        <f ca="1">C29</f>
        <v>18707</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-17403</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2928</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504" t="s">
        <v>2919</v>
      </c>
      <c r="L53" s="3505"/>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19136</v>
      </c>
      <c r="R54" s="2424" t="s">
        <v>2355</v>
      </c>
    </row>
    <row r="55" spans="1:18" s="2056" customFormat="1" ht="18" customHeight="1" thickTop="1" thickBot="1">
      <c r="A55" s="795">
        <v>2</v>
      </c>
      <c r="B55" s="796" t="s">
        <v>609</v>
      </c>
      <c r="C55" s="797">
        <f ca="1">C13</f>
        <v>18707</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2265</v>
      </c>
      <c r="C56" s="52">
        <f ca="1">C29</f>
        <v>18707</v>
      </c>
      <c r="D56" s="2660"/>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314</v>
      </c>
      <c r="D57" s="25" t="s">
        <v>1712</v>
      </c>
      <c r="E57" s="2661"/>
      <c r="F57" s="55"/>
      <c r="I57" s="2401" t="s">
        <v>2321</v>
      </c>
      <c r="J57" s="2403" t="str">
        <f ca="1">IF(OR(M47="住宅",J51&lt;L48,J56="是"),"——",J51-L48)</f>
        <v>——</v>
      </c>
      <c r="K57" s="2380" t="s">
        <v>2326</v>
      </c>
      <c r="L57" s="2389" t="str">
        <f ca="1">IF(L48&lt;J51,"——",IF(L55="比较法",L49,IF(L55="基准地价",L50,L51)))</f>
        <v>——</v>
      </c>
      <c r="O57" s="2419" t="s">
        <v>2342</v>
      </c>
      <c r="P57" s="2420" t="s">
        <v>2372</v>
      </c>
      <c r="Q57" s="2421">
        <f ca="1">C40+J29</f>
        <v>19136</v>
      </c>
      <c r="R57" s="2420" t="s">
        <v>2343</v>
      </c>
    </row>
    <row r="58" spans="1:18" s="2056" customFormat="1" ht="28.5" customHeight="1" thickBot="1">
      <c r="A58" s="1647" t="s">
        <v>1786</v>
      </c>
      <c r="B58" s="782" t="s">
        <v>621</v>
      </c>
      <c r="C58" s="52">
        <f ca="1">ROUND(IF(项目基本情况!B11="自然人",C47*F58,C59+C60+C61),1)</f>
        <v>5.2</v>
      </c>
      <c r="D58" s="2659" t="s">
        <v>622</v>
      </c>
      <c r="E58" s="2660"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2660" t="s">
        <v>1718</v>
      </c>
      <c r="E59" s="782" t="s">
        <v>1709</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2660" t="str">
        <f>D33</f>
        <v>按租金收入计税</v>
      </c>
      <c r="E60" s="782" t="s">
        <v>1709</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5.2</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17374.55</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280.60000000000002</v>
      </c>
      <c r="D63" s="2660" t="s">
        <v>1765</v>
      </c>
      <c r="E63" s="782" t="s">
        <v>1709</v>
      </c>
      <c r="F63" s="815">
        <f t="shared" ca="1" si="0"/>
        <v>1.4999999999999999E-2</v>
      </c>
      <c r="I63" s="2406" t="s">
        <v>2333</v>
      </c>
      <c r="J63" s="2407">
        <v>70</v>
      </c>
      <c r="K63" s="2407">
        <v>50</v>
      </c>
      <c r="L63" s="2407">
        <v>80</v>
      </c>
      <c r="M63" s="3126">
        <v>0.02</v>
      </c>
      <c r="O63" s="2419" t="s">
        <v>2354</v>
      </c>
      <c r="P63" s="2420" t="s">
        <v>2371</v>
      </c>
      <c r="Q63" s="2421">
        <f ca="1">Q57+Q58</f>
        <v>19136</v>
      </c>
      <c r="R63" s="2424" t="s">
        <v>2355</v>
      </c>
    </row>
    <row r="64" spans="1:18" s="2056" customFormat="1" ht="16.5" thickBot="1">
      <c r="A64" s="1647" t="s">
        <v>1852</v>
      </c>
      <c r="B64" s="782" t="s">
        <v>644</v>
      </c>
      <c r="C64" s="52">
        <f ca="1">ROUND(C55*F64,1)</f>
        <v>28.1</v>
      </c>
      <c r="D64" s="2660" t="s">
        <v>645</v>
      </c>
      <c r="E64" s="782" t="s">
        <v>1709</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2660" t="s">
        <v>648</v>
      </c>
      <c r="E65" s="782" t="s">
        <v>1709</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-314</v>
      </c>
      <c r="D66" s="2659" t="s">
        <v>665</v>
      </c>
      <c r="E66" s="2658"/>
      <c r="F66" s="818"/>
      <c r="K66" s="2083"/>
      <c r="O66" s="2419" t="s">
        <v>2342</v>
      </c>
      <c r="P66" s="2420" t="s">
        <v>2372</v>
      </c>
      <c r="Q66" s="2421">
        <f ca="1">C40+J29</f>
        <v>19136</v>
      </c>
      <c r="R66" s="2420" t="s">
        <v>2343</v>
      </c>
    </row>
    <row r="67" spans="1:18" s="2056" customFormat="1" ht="20.25" thickBot="1">
      <c r="A67" s="779" t="s">
        <v>1742</v>
      </c>
      <c r="B67" s="2229" t="s">
        <v>2264</v>
      </c>
      <c r="C67" s="781">
        <f ca="1">ROUND(C66*(1-((1+F69)/(1+F67))^F68)/(F67-F69),0)</f>
        <v>-5649</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-17403</v>
      </c>
      <c r="R68" s="2427" t="s">
        <v>2379</v>
      </c>
    </row>
    <row r="69" spans="1:18" ht="20.25" thickBot="1">
      <c r="A69" s="788"/>
      <c r="B69" s="789"/>
      <c r="C69" s="790"/>
      <c r="D69" s="814"/>
      <c r="E69" s="782" t="s">
        <v>675</v>
      </c>
      <c r="F69" s="2368"/>
      <c r="O69" s="2422" t="s">
        <v>2347</v>
      </c>
      <c r="P69" s="2428" t="s">
        <v>2361</v>
      </c>
      <c r="Q69" s="2421">
        <f ca="1">ROUND(Q70-Q71*Q72,0)</f>
        <v>-885</v>
      </c>
      <c r="R69" s="2424"/>
    </row>
    <row r="70" spans="1:18" ht="15.75" thickBot="1">
      <c r="A70" s="821" t="s">
        <v>1749</v>
      </c>
      <c r="B70" s="822" t="s">
        <v>1772</v>
      </c>
      <c r="C70" s="823">
        <f ca="1">ROUND(C67*10000/F70,0)</f>
        <v>-1291</v>
      </c>
      <c r="D70" s="824" t="s">
        <v>1773</v>
      </c>
      <c r="E70" s="825" t="s">
        <v>1774</v>
      </c>
      <c r="F70" s="826">
        <f ca="1">F43</f>
        <v>43743.43</v>
      </c>
      <c r="O70" s="2422" t="s">
        <v>2362</v>
      </c>
      <c r="P70" s="2428" t="s">
        <v>2363</v>
      </c>
      <c r="Q70" s="2421">
        <f ca="1">C39</f>
        <v>705</v>
      </c>
      <c r="R70" s="2420" t="s">
        <v>2343</v>
      </c>
    </row>
    <row r="71" spans="1:18" ht="15.75" thickBot="1">
      <c r="O71" s="2422" t="s">
        <v>2364</v>
      </c>
      <c r="P71" s="2428" t="s">
        <v>2365</v>
      </c>
      <c r="Q71" s="2421">
        <f ca="1">C13</f>
        <v>18707</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19136</v>
      </c>
      <c r="R76" s="2424"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522" t="s">
        <v>2434</v>
      </c>
      <c r="B1" s="3523"/>
      <c r="C1" s="3524"/>
      <c r="D1" s="3525">
        <f>SUM(I10,I15,I20,I21,I23)</f>
        <v>0</v>
      </c>
      <c r="E1" s="3525"/>
      <c r="F1" s="3525"/>
      <c r="G1" s="3525"/>
      <c r="H1" s="3525"/>
      <c r="I1" s="3526"/>
    </row>
    <row r="2" spans="1:9">
      <c r="A2" s="3512" t="s">
        <v>2435</v>
      </c>
      <c r="B2" s="3513" t="s">
        <v>2436</v>
      </c>
      <c r="C2" s="3513"/>
      <c r="D2" s="2528" t="s">
        <v>2437</v>
      </c>
      <c r="E2" s="2528" t="s">
        <v>2438</v>
      </c>
      <c r="F2" s="2528" t="s">
        <v>2439</v>
      </c>
      <c r="G2" s="2528" t="s">
        <v>2440</v>
      </c>
      <c r="H2" s="2528" t="s">
        <v>2441</v>
      </c>
      <c r="I2" s="2529" t="s">
        <v>2442</v>
      </c>
    </row>
    <row r="3" spans="1:9">
      <c r="A3" s="3512"/>
      <c r="B3" s="3513" t="s">
        <v>2443</v>
      </c>
      <c r="C3" s="3513"/>
      <c r="D3" s="2530"/>
      <c r="E3" s="2528"/>
      <c r="F3" s="2531"/>
      <c r="G3" s="2531"/>
      <c r="H3" s="2532"/>
      <c r="I3" s="2533">
        <f>ROUND(D3*E3*F3*G3*H3/10000,0)</f>
        <v>0</v>
      </c>
    </row>
    <row r="4" spans="1:9">
      <c r="A4" s="3512"/>
      <c r="B4" s="3513" t="s">
        <v>2444</v>
      </c>
      <c r="C4" s="3513"/>
      <c r="D4" s="2530"/>
      <c r="E4" s="2528"/>
      <c r="F4" s="2531"/>
      <c r="G4" s="2531"/>
      <c r="H4" s="2532"/>
      <c r="I4" s="2533">
        <f t="shared" ref="I4:I9" si="0">ROUND(D4*E4*F4*G4*H4/10000,0)</f>
        <v>0</v>
      </c>
    </row>
    <row r="5" spans="1:9">
      <c r="A5" s="3512"/>
      <c r="B5" s="3513" t="s">
        <v>2445</v>
      </c>
      <c r="C5" s="3513"/>
      <c r="D5" s="2530"/>
      <c r="E5" s="2528"/>
      <c r="F5" s="2531"/>
      <c r="G5" s="2531"/>
      <c r="H5" s="2532"/>
      <c r="I5" s="2533">
        <f t="shared" si="0"/>
        <v>0</v>
      </c>
    </row>
    <row r="6" spans="1:9">
      <c r="A6" s="3512"/>
      <c r="B6" s="3513" t="s">
        <v>2446</v>
      </c>
      <c r="C6" s="3513"/>
      <c r="D6" s="2530"/>
      <c r="E6" s="2528"/>
      <c r="F6" s="2531"/>
      <c r="G6" s="2531"/>
      <c r="H6" s="2532"/>
      <c r="I6" s="2533">
        <f t="shared" si="0"/>
        <v>0</v>
      </c>
    </row>
    <row r="7" spans="1:9">
      <c r="A7" s="3512"/>
      <c r="B7" s="3513" t="s">
        <v>2447</v>
      </c>
      <c r="C7" s="3513"/>
      <c r="D7" s="2530"/>
      <c r="E7" s="2528"/>
      <c r="F7" s="2531"/>
      <c r="G7" s="2531"/>
      <c r="H7" s="2532"/>
      <c r="I7" s="2533">
        <f t="shared" si="0"/>
        <v>0</v>
      </c>
    </row>
    <row r="8" spans="1:9">
      <c r="A8" s="3512"/>
      <c r="B8" s="3513" t="s">
        <v>2448</v>
      </c>
      <c r="C8" s="3513"/>
      <c r="D8" s="2530"/>
      <c r="E8" s="2528"/>
      <c r="F8" s="2531"/>
      <c r="G8" s="2531"/>
      <c r="H8" s="2532"/>
      <c r="I8" s="2533">
        <f t="shared" si="0"/>
        <v>0</v>
      </c>
    </row>
    <row r="9" spans="1:9">
      <c r="A9" s="3512"/>
      <c r="B9" s="3513" t="s">
        <v>2449</v>
      </c>
      <c r="C9" s="3513"/>
      <c r="D9" s="2530"/>
      <c r="E9" s="2528"/>
      <c r="F9" s="2531"/>
      <c r="G9" s="2531"/>
      <c r="H9" s="2532"/>
      <c r="I9" s="2533">
        <f t="shared" si="0"/>
        <v>0</v>
      </c>
    </row>
    <row r="10" spans="1:9">
      <c r="A10" s="3512"/>
      <c r="B10" s="3514" t="s">
        <v>2450</v>
      </c>
      <c r="C10" s="3514"/>
      <c r="D10" s="2534">
        <v>527</v>
      </c>
      <c r="E10" s="2534" t="e">
        <f>ROUND(D1*10000/D10/H9,0)</f>
        <v>#DIV/0!</v>
      </c>
      <c r="F10" s="2535"/>
      <c r="G10" s="2535"/>
      <c r="H10" s="2536"/>
      <c r="I10" s="2537">
        <f>SUM(I3:I9)</f>
        <v>0</v>
      </c>
    </row>
    <row r="11" spans="1:9" ht="14.25">
      <c r="A11" s="3512" t="s">
        <v>2451</v>
      </c>
      <c r="B11" s="3513" t="s">
        <v>2452</v>
      </c>
      <c r="C11" s="3513"/>
      <c r="D11" s="2530" t="s">
        <v>2453</v>
      </c>
      <c r="E11" s="2530" t="s">
        <v>2454</v>
      </c>
      <c r="F11" s="2531" t="s">
        <v>2455</v>
      </c>
      <c r="G11" s="2531" t="s">
        <v>2456</v>
      </c>
      <c r="H11" s="2538" t="s">
        <v>2457</v>
      </c>
      <c r="I11" s="2529" t="s">
        <v>2458</v>
      </c>
    </row>
    <row r="12" spans="1:9">
      <c r="A12" s="3512"/>
      <c r="B12" s="3513" t="s">
        <v>2459</v>
      </c>
      <c r="C12" s="3513"/>
      <c r="D12" s="2530"/>
      <c r="E12" s="2530"/>
      <c r="F12" s="2531"/>
      <c r="G12" s="2532"/>
      <c r="H12" s="2539"/>
      <c r="I12" s="2529">
        <f>ROUND(D12*E12*F12*G12/10000,0)</f>
        <v>0</v>
      </c>
    </row>
    <row r="13" spans="1:9">
      <c r="A13" s="3512"/>
      <c r="B13" s="3513" t="s">
        <v>2460</v>
      </c>
      <c r="C13" s="3513"/>
      <c r="D13" s="2530"/>
      <c r="E13" s="2530"/>
      <c r="F13" s="2531"/>
      <c r="G13" s="2532"/>
      <c r="H13" s="2539"/>
      <c r="I13" s="2529">
        <f>ROUND(D13*E13*F13*G13/10000,0)</f>
        <v>0</v>
      </c>
    </row>
    <row r="14" spans="1:9">
      <c r="A14" s="3512"/>
      <c r="B14" s="3513" t="s">
        <v>2461</v>
      </c>
      <c r="C14" s="3513"/>
      <c r="D14" s="2530"/>
      <c r="E14" s="2530"/>
      <c r="F14" s="2531"/>
      <c r="G14" s="2532"/>
      <c r="H14" s="2539"/>
      <c r="I14" s="2529">
        <f>ROUND(D14*E14*F14*G14/10000,0)</f>
        <v>0</v>
      </c>
    </row>
    <row r="15" spans="1:9">
      <c r="A15" s="3512"/>
      <c r="B15" s="3514" t="s">
        <v>2450</v>
      </c>
      <c r="C15" s="3514"/>
      <c r="D15" s="2534"/>
      <c r="E15" s="2534">
        <f>SUM(E12:E14)</f>
        <v>0</v>
      </c>
      <c r="F15" s="2535"/>
      <c r="G15" s="2532"/>
      <c r="H15" s="2539"/>
      <c r="I15" s="2540">
        <f>SUM(I12:I14)</f>
        <v>0</v>
      </c>
    </row>
    <row r="16" spans="1:9" ht="24">
      <c r="A16" s="3512" t="s">
        <v>2462</v>
      </c>
      <c r="B16" s="3513" t="s">
        <v>2463</v>
      </c>
      <c r="C16" s="3513"/>
      <c r="D16" s="2530" t="s">
        <v>2464</v>
      </c>
      <c r="E16" s="2541" t="s">
        <v>2465</v>
      </c>
      <c r="F16" s="2531" t="s">
        <v>2466</v>
      </c>
      <c r="G16" s="2532" t="s">
        <v>2456</v>
      </c>
      <c r="H16" s="2538" t="s">
        <v>2457</v>
      </c>
      <c r="I16" s="2529" t="s">
        <v>2458</v>
      </c>
    </row>
    <row r="17" spans="1:9" ht="14.25">
      <c r="A17" s="3512"/>
      <c r="B17" s="3513" t="s">
        <v>2467</v>
      </c>
      <c r="C17" s="3513"/>
      <c r="D17" s="2530"/>
      <c r="E17" s="2530"/>
      <c r="F17" s="2531"/>
      <c r="G17" s="2532"/>
      <c r="H17" s="2542"/>
      <c r="I17" s="2543">
        <f>ROUND(D17*E17*F17*G17/10000,0)</f>
        <v>0</v>
      </c>
    </row>
    <row r="18" spans="1:9" ht="14.25">
      <c r="A18" s="3512"/>
      <c r="B18" s="3513" t="s">
        <v>2468</v>
      </c>
      <c r="C18" s="3513"/>
      <c r="D18" s="2530"/>
      <c r="E18" s="2530"/>
      <c r="F18" s="2531"/>
      <c r="G18" s="2532"/>
      <c r="H18" s="2542"/>
      <c r="I18" s="2543">
        <f>ROUND(D18*E18*F18*G18/10000,0)</f>
        <v>0</v>
      </c>
    </row>
    <row r="19" spans="1:9" ht="14.25">
      <c r="A19" s="3512"/>
      <c r="B19" s="3513" t="s">
        <v>2469</v>
      </c>
      <c r="C19" s="3513"/>
      <c r="D19" s="2530"/>
      <c r="E19" s="2530"/>
      <c r="F19" s="2531"/>
      <c r="G19" s="2532"/>
      <c r="H19" s="2542"/>
      <c r="I19" s="2543">
        <f>ROUND(D19*E19*F19*G19/10000,0)</f>
        <v>0</v>
      </c>
    </row>
    <row r="20" spans="1:9">
      <c r="A20" s="3512"/>
      <c r="B20" s="3514" t="s">
        <v>2450</v>
      </c>
      <c r="C20" s="3514"/>
      <c r="D20" s="2534">
        <f>SUM(D17:D19)</f>
        <v>0</v>
      </c>
      <c r="E20" s="2534"/>
      <c r="F20" s="2535"/>
      <c r="G20" s="2532"/>
      <c r="H20" s="2539"/>
      <c r="I20" s="2540">
        <f>SUM(I17:I19)</f>
        <v>0</v>
      </c>
    </row>
    <row r="21" spans="1:9">
      <c r="A21" s="3512" t="s">
        <v>2470</v>
      </c>
      <c r="B21" s="3515"/>
      <c r="C21" s="3515"/>
      <c r="D21" s="3515"/>
      <c r="E21" s="3515"/>
      <c r="F21" s="3515"/>
      <c r="G21" s="3515"/>
      <c r="H21" s="2544">
        <v>0.1</v>
      </c>
      <c r="I21" s="2537">
        <f>ROUND(I10*H21,0)</f>
        <v>0</v>
      </c>
    </row>
    <row r="22" spans="1:9" ht="14.25">
      <c r="A22" s="3516" t="s">
        <v>2471</v>
      </c>
      <c r="B22" s="3517"/>
      <c r="C22" s="3518"/>
      <c r="D22" s="2545" t="s">
        <v>2472</v>
      </c>
      <c r="E22" s="2545" t="s">
        <v>2473</v>
      </c>
      <c r="F22" s="2546" t="s">
        <v>2474</v>
      </c>
      <c r="G22" s="2546" t="s">
        <v>2475</v>
      </c>
      <c r="H22" s="2538" t="s">
        <v>2476</v>
      </c>
      <c r="I22" s="2529" t="s">
        <v>2477</v>
      </c>
    </row>
    <row r="23" spans="1:9" ht="14.25" thickBot="1">
      <c r="A23" s="3519"/>
      <c r="B23" s="3520"/>
      <c r="C23" s="3521"/>
      <c r="D23" s="2547"/>
      <c r="E23" s="2547"/>
      <c r="F23" s="2547"/>
      <c r="G23" s="2548"/>
      <c r="H23" s="2549"/>
      <c r="I23" s="2550">
        <f>ROUND(E23*D23*F23*(1-G23)/10000,0)</f>
        <v>0</v>
      </c>
    </row>
    <row r="26" spans="1:9">
      <c r="A26" s="2551" t="s">
        <v>2478</v>
      </c>
      <c r="B26" s="2551"/>
      <c r="C26" s="2551"/>
      <c r="D26" s="2551"/>
      <c r="E26" s="3509">
        <f>C27-C30-C31-C32</f>
        <v>0</v>
      </c>
      <c r="F26" s="3509"/>
      <c r="G26" s="3509"/>
      <c r="H26" s="3065" t="s">
        <v>2805</v>
      </c>
    </row>
    <row r="27" spans="1:9">
      <c r="A27" s="2552">
        <v>1</v>
      </c>
      <c r="B27" s="2553" t="s">
        <v>2479</v>
      </c>
      <c r="C27" s="2553"/>
      <c r="D27" s="2553"/>
      <c r="E27" s="3510"/>
      <c r="F27" s="3510"/>
      <c r="G27" s="3510"/>
    </row>
    <row r="28" spans="1:9">
      <c r="A28" s="2554" t="s">
        <v>2480</v>
      </c>
      <c r="B28" s="2553" t="s">
        <v>2481</v>
      </c>
      <c r="C28" s="2553"/>
      <c r="D28" s="2553"/>
      <c r="E28" s="3510"/>
      <c r="F28" s="3510"/>
      <c r="G28" s="3510"/>
    </row>
    <row r="29" spans="1:9">
      <c r="A29" s="2554" t="s">
        <v>2482</v>
      </c>
      <c r="B29" s="2553" t="s">
        <v>2423</v>
      </c>
      <c r="C29" s="2553"/>
      <c r="D29" s="2553"/>
      <c r="E29" s="2553" t="s">
        <v>2483</v>
      </c>
      <c r="F29" s="2553"/>
      <c r="G29" s="2553"/>
    </row>
    <row r="30" spans="1:9">
      <c r="A30" s="2552">
        <v>2</v>
      </c>
      <c r="B30" s="2553" t="s">
        <v>2484</v>
      </c>
      <c r="C30" s="2553">
        <f>C27*D30</f>
        <v>0</v>
      </c>
      <c r="D30" s="2555">
        <v>0.2</v>
      </c>
      <c r="E30" s="2553" t="s">
        <v>2485</v>
      </c>
      <c r="F30" s="2553"/>
      <c r="G30" s="2553"/>
    </row>
    <row r="31" spans="1:9">
      <c r="A31" s="2552">
        <v>3</v>
      </c>
      <c r="B31" s="2553" t="s">
        <v>2486</v>
      </c>
      <c r="C31" s="2553">
        <f>C25*D31</f>
        <v>0</v>
      </c>
      <c r="D31" s="2555">
        <v>0.15</v>
      </c>
      <c r="E31" s="2553" t="s">
        <v>2487</v>
      </c>
      <c r="F31" s="2553"/>
      <c r="G31" s="2553"/>
    </row>
    <row r="32" spans="1:9">
      <c r="A32" s="2552">
        <v>4</v>
      </c>
      <c r="B32" s="2553" t="s">
        <v>2488</v>
      </c>
      <c r="C32" s="2553">
        <f>C27*D32</f>
        <v>0</v>
      </c>
      <c r="D32" s="2555">
        <v>0.05</v>
      </c>
      <c r="E32" s="3511"/>
      <c r="F32" s="3511"/>
      <c r="G32" s="3511"/>
    </row>
    <row r="33" spans="1:7" hidden="1">
      <c r="A33" s="3506" t="s">
        <v>2489</v>
      </c>
      <c r="B33" s="3507"/>
      <c r="C33" s="3507"/>
      <c r="D33" s="3508"/>
      <c r="E33" s="3509"/>
      <c r="F33" s="3509"/>
      <c r="G33" s="3509"/>
    </row>
    <row r="34" spans="1:7" hidden="1">
      <c r="A34" s="2556">
        <v>1</v>
      </c>
      <c r="B34" s="2553" t="s">
        <v>2490</v>
      </c>
      <c r="C34" s="2553"/>
      <c r="D34" s="2553"/>
      <c r="E34" s="3510"/>
      <c r="F34" s="3510"/>
      <c r="G34" s="3510"/>
    </row>
    <row r="35" spans="1:7" hidden="1">
      <c r="A35" s="2556">
        <v>2</v>
      </c>
      <c r="B35" s="2553" t="s">
        <v>2491</v>
      </c>
      <c r="C35" s="2553"/>
      <c r="D35" s="2553"/>
      <c r="E35" s="3510"/>
      <c r="F35" s="3510"/>
      <c r="G35" s="3510"/>
    </row>
    <row r="36" spans="1:7" hidden="1">
      <c r="A36" s="2556">
        <v>3</v>
      </c>
      <c r="B36" s="2553" t="s">
        <v>2492</v>
      </c>
      <c r="C36" s="2553"/>
      <c r="D36" s="2553"/>
      <c r="E36" s="3510"/>
      <c r="F36" s="3510"/>
      <c r="G36" s="3510"/>
    </row>
    <row r="37" spans="1:7" hidden="1">
      <c r="A37" s="2556">
        <v>4</v>
      </c>
      <c r="B37" s="2553" t="s">
        <v>2493</v>
      </c>
      <c r="C37" s="2553"/>
      <c r="D37" s="2553"/>
      <c r="E37" s="3510"/>
      <c r="F37" s="3510"/>
      <c r="G37" s="3510"/>
    </row>
    <row r="38" spans="1:7" hidden="1">
      <c r="A38" s="3506" t="s">
        <v>2494</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7"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90">
        <v>1</v>
      </c>
      <c r="B7" s="746" t="s">
        <v>574</v>
      </c>
      <c r="C7" s="747">
        <f>C8+C9</f>
        <v>0</v>
      </c>
      <c r="D7" s="747"/>
      <c r="E7" s="748"/>
      <c r="F7" s="748"/>
      <c r="G7" s="2500"/>
    </row>
    <row r="8" spans="1:25" s="2180" customFormat="1" ht="13.5" customHeight="1">
      <c r="A8" s="2490" t="s">
        <v>2403</v>
      </c>
      <c r="B8" s="2493" t="s">
        <v>2405</v>
      </c>
      <c r="C8" s="2494"/>
      <c r="D8" s="747"/>
      <c r="E8" s="748"/>
      <c r="F8" s="748"/>
      <c r="G8" s="749"/>
    </row>
    <row r="9" spans="1:25" s="2180" customFormat="1" ht="13.5" customHeight="1">
      <c r="A9" s="2490" t="s">
        <v>2404</v>
      </c>
      <c r="B9" s="2493" t="s">
        <v>2406</v>
      </c>
      <c r="C9" s="2494"/>
      <c r="D9" s="747"/>
      <c r="E9" s="748"/>
      <c r="F9" s="748"/>
      <c r="G9" s="749"/>
    </row>
    <row r="10" spans="1:25" s="2180" customFormat="1" ht="36">
      <c r="A10" s="2490">
        <v>2</v>
      </c>
      <c r="B10" s="746" t="s">
        <v>578</v>
      </c>
      <c r="C10" s="747">
        <f>C11+C14+C15</f>
        <v>0</v>
      </c>
      <c r="D10" s="758">
        <f>'数据-汇总表'!E3</f>
        <v>164673.22000000003</v>
      </c>
      <c r="E10" s="747">
        <f>'数据-取费表'!B31</f>
        <v>120</v>
      </c>
      <c r="F10" s="759"/>
      <c r="G10" s="757" t="s">
        <v>579</v>
      </c>
    </row>
    <row r="11" spans="1:25" s="2180" customFormat="1" ht="13.5" customHeight="1">
      <c r="A11" s="2490" t="s">
        <v>2403</v>
      </c>
      <c r="B11" s="750" t="s">
        <v>575</v>
      </c>
      <c r="C11" s="751">
        <f>'数据-取费表'!B29</f>
        <v>0</v>
      </c>
      <c r="D11" s="752"/>
      <c r="E11" s="751"/>
      <c r="F11" s="753"/>
      <c r="G11" s="2499" t="s">
        <v>2414</v>
      </c>
    </row>
    <row r="12" spans="1:25" s="2180" customFormat="1" ht="13.5" customHeight="1">
      <c r="A12" s="2497" t="s">
        <v>2411</v>
      </c>
      <c r="B12" s="754" t="s">
        <v>576</v>
      </c>
      <c r="C12" s="755">
        <f>ROUND(D12*E12/10000,0)</f>
        <v>993</v>
      </c>
      <c r="D12" s="756">
        <f>'数据-汇总表'!E5</f>
        <v>62049.45</v>
      </c>
      <c r="E12" s="755">
        <f>'数据-取费表'!B27</f>
        <v>160</v>
      </c>
      <c r="F12" s="753"/>
      <c r="G12" s="757"/>
    </row>
    <row r="13" spans="1:25" s="2180" customFormat="1" ht="13.5" customHeight="1">
      <c r="A13" s="2497" t="s">
        <v>2410</v>
      </c>
      <c r="B13" s="754" t="s">
        <v>577</v>
      </c>
      <c r="C13" s="755">
        <f>ROUND(D13*E13/10000,0)</f>
        <v>2052</v>
      </c>
      <c r="D13" s="756">
        <f>'数据-汇总表'!E6</f>
        <v>102623.77000000003</v>
      </c>
      <c r="E13" s="755">
        <f>'数据-取费表'!B28</f>
        <v>200</v>
      </c>
      <c r="F13" s="753"/>
      <c r="G13" s="757"/>
    </row>
    <row r="14" spans="1:25" s="2180" customFormat="1" ht="13.5" customHeight="1">
      <c r="A14" s="2490" t="s">
        <v>2404</v>
      </c>
      <c r="B14" s="2496" t="s">
        <v>2407</v>
      </c>
      <c r="C14" s="2494"/>
      <c r="D14" s="756"/>
      <c r="E14" s="755"/>
      <c r="F14" s="2495"/>
      <c r="G14" s="2498" t="s">
        <v>2412</v>
      </c>
    </row>
    <row r="15" spans="1:25" s="2180" customFormat="1" ht="13.5" customHeight="1">
      <c r="A15" s="2490" t="s">
        <v>2409</v>
      </c>
      <c r="B15" s="2496" t="s">
        <v>2408</v>
      </c>
      <c r="C15" s="2494"/>
      <c r="D15" s="756"/>
      <c r="E15" s="755"/>
      <c r="F15" s="2495"/>
      <c r="G15" s="2498" t="s">
        <v>2413</v>
      </c>
    </row>
    <row r="16" spans="1:25" s="2181" customFormat="1" ht="48">
      <c r="A16" s="2490">
        <v>3</v>
      </c>
      <c r="B16" s="746" t="s">
        <v>580</v>
      </c>
      <c r="C16" s="2494"/>
      <c r="D16" s="758"/>
      <c r="E16" s="747"/>
      <c r="F16" s="759"/>
      <c r="G16" s="757" t="s">
        <v>2415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581</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582</v>
      </c>
      <c r="C18" s="747">
        <f>ROUND((C7+C10+C16)*F18,0)</f>
        <v>0</v>
      </c>
      <c r="D18" s="760"/>
      <c r="E18" s="761"/>
      <c r="F18" s="759">
        <f>'数据-取费表'!Q16</f>
        <v>7.0000000000000007E-2</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590</v>
      </c>
      <c r="C22" s="747">
        <f ca="1">ROUND(C21*F22,0)</f>
        <v>0</v>
      </c>
      <c r="D22" s="758"/>
      <c r="E22" s="747"/>
      <c r="F22" s="764">
        <f>'数据-取费表'!AP16</f>
        <v>0.90600000000000003</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6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486</v>
      </c>
      <c r="B4" s="511"/>
      <c r="C4" s="3426" t="s">
        <v>487</v>
      </c>
      <c r="D4" s="3427"/>
      <c r="E4" s="3451" t="s">
        <v>488</v>
      </c>
      <c r="F4" s="3452"/>
      <c r="G4" s="3426" t="s">
        <v>489</v>
      </c>
      <c r="H4" s="3427"/>
      <c r="I4" s="3426" t="s">
        <v>490</v>
      </c>
      <c r="J4" s="3427"/>
      <c r="K4" s="512" t="s">
        <v>491</v>
      </c>
      <c r="L4" s="2130"/>
      <c r="M4" s="2131"/>
      <c r="N4" s="2131"/>
      <c r="O4" s="2131"/>
      <c r="P4" s="3428" t="s">
        <v>492</v>
      </c>
      <c r="Q4" s="3429"/>
      <c r="R4" s="3414" t="s">
        <v>488</v>
      </c>
      <c r="S4" s="3415"/>
      <c r="T4" s="3414" t="s">
        <v>489</v>
      </c>
      <c r="U4" s="3415"/>
      <c r="V4" s="3434" t="s">
        <v>490</v>
      </c>
      <c r="W4" s="3434"/>
      <c r="X4" s="1565"/>
      <c r="Y4" s="3414" t="s">
        <v>492</v>
      </c>
      <c r="Z4" s="3415"/>
      <c r="AA4" s="3409" t="s">
        <v>488</v>
      </c>
      <c r="AB4" s="3434" t="s">
        <v>489</v>
      </c>
      <c r="AC4" s="3409" t="s">
        <v>490</v>
      </c>
    </row>
    <row r="5" spans="1:29" ht="15">
      <c r="A5" s="513"/>
      <c r="B5" s="514"/>
      <c r="C5" s="3455" t="s">
        <v>2881</v>
      </c>
      <c r="D5" s="3456"/>
      <c r="E5" s="3453" t="s">
        <v>2882</v>
      </c>
      <c r="F5" s="3454"/>
      <c r="G5" s="3455" t="s">
        <v>2883</v>
      </c>
      <c r="H5" s="3456"/>
      <c r="I5" s="3455" t="s">
        <v>2884</v>
      </c>
      <c r="J5" s="3456"/>
      <c r="K5" s="512"/>
      <c r="L5" s="2130"/>
      <c r="M5" s="2131"/>
      <c r="N5" s="2131"/>
      <c r="O5" s="2131"/>
      <c r="P5" s="3430"/>
      <c r="Q5" s="3431"/>
      <c r="R5" s="3416"/>
      <c r="S5" s="3417"/>
      <c r="T5" s="3416"/>
      <c r="U5" s="3417"/>
      <c r="V5" s="3434"/>
      <c r="W5" s="3434"/>
      <c r="X5" s="1565"/>
      <c r="Y5" s="3416"/>
      <c r="Z5" s="3417"/>
      <c r="AA5" s="3410"/>
      <c r="AB5" s="3434"/>
      <c r="AC5" s="3410"/>
    </row>
    <row r="6" spans="1:29" ht="15.75" thickBot="1">
      <c r="A6" s="515"/>
      <c r="B6" s="516"/>
      <c r="C6" s="3457" t="s">
        <v>2885</v>
      </c>
      <c r="D6" s="3458"/>
      <c r="E6" s="3459" t="s">
        <v>2885</v>
      </c>
      <c r="F6" s="3460"/>
      <c r="G6" s="3457" t="s">
        <v>2885</v>
      </c>
      <c r="H6" s="3458"/>
      <c r="I6" s="3457" t="s">
        <v>2885</v>
      </c>
      <c r="J6" s="3458"/>
      <c r="K6" s="512" t="s">
        <v>493</v>
      </c>
      <c r="L6" s="2130"/>
      <c r="M6" s="2131"/>
      <c r="N6" s="2131"/>
      <c r="O6" s="2131"/>
      <c r="P6" s="3432"/>
      <c r="Q6" s="3433"/>
      <c r="R6" s="3416"/>
      <c r="S6" s="3417"/>
      <c r="T6" s="3418"/>
      <c r="U6" s="3419"/>
      <c r="V6" s="3434"/>
      <c r="W6" s="3434"/>
      <c r="X6" s="1565"/>
      <c r="Y6" s="3418"/>
      <c r="Z6" s="3419"/>
      <c r="AA6" s="3411"/>
      <c r="AB6" s="3434"/>
      <c r="AC6" s="3411"/>
    </row>
    <row r="7" spans="1:29" s="1218" customFormat="1" ht="15.75" thickBot="1">
      <c r="A7" s="2933"/>
      <c r="B7" s="2940" t="s">
        <v>494</v>
      </c>
      <c r="C7" s="517">
        <f>'数据-取费表'!B2</f>
        <v>43234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12" t="s">
        <v>495</v>
      </c>
      <c r="Q7" s="3421"/>
      <c r="R7" s="1566" t="s">
        <v>8</v>
      </c>
      <c r="S7" s="1567">
        <f t="shared" ref="S7:S15" si="0">F7</f>
        <v>0</v>
      </c>
      <c r="T7" s="1566" t="s">
        <v>8</v>
      </c>
      <c r="U7" s="1567">
        <f t="shared" ref="U7:U15" si="1">H7</f>
        <v>0</v>
      </c>
      <c r="V7" s="1566" t="s">
        <v>8</v>
      </c>
      <c r="W7" s="1567">
        <f t="shared" ref="W7:W15" si="2">J7</f>
        <v>0</v>
      </c>
      <c r="X7" s="1568"/>
      <c r="Y7" s="3412" t="s">
        <v>495</v>
      </c>
      <c r="Z7" s="3413"/>
      <c r="AA7" s="1569" t="e">
        <f>D7/F7</f>
        <v>#DIV/0!</v>
      </c>
      <c r="AB7" s="1569" t="e">
        <f>D7/H7</f>
        <v>#DIV/0!</v>
      </c>
      <c r="AC7" s="1569" t="e">
        <f>D7/J7</f>
        <v>#DIV/0!</v>
      </c>
    </row>
    <row r="8" spans="1:29" s="1218" customFormat="1" ht="15.75" thickBot="1">
      <c r="A8" s="2934"/>
      <c r="B8" s="2941"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12" t="s">
        <v>498</v>
      </c>
      <c r="Q8" s="3413"/>
      <c r="R8" s="1566" t="s">
        <v>8</v>
      </c>
      <c r="S8" s="1567">
        <f t="shared" si="0"/>
        <v>0</v>
      </c>
      <c r="T8" s="1566" t="s">
        <v>8</v>
      </c>
      <c r="U8" s="1567">
        <f t="shared" si="1"/>
        <v>0</v>
      </c>
      <c r="V8" s="1566" t="s">
        <v>8</v>
      </c>
      <c r="W8" s="1567">
        <f t="shared" si="2"/>
        <v>0</v>
      </c>
      <c r="X8" s="1568"/>
      <c r="Y8" s="3412" t="s">
        <v>498</v>
      </c>
      <c r="Z8" s="3413"/>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420" t="s">
        <v>500</v>
      </c>
      <c r="Q9" s="1149" t="str">
        <f t="shared" ref="Q9:Q15" si="6">B9</f>
        <v>用途</v>
      </c>
      <c r="R9" s="1566" t="s">
        <v>8</v>
      </c>
      <c r="S9" s="1567">
        <f t="shared" si="0"/>
        <v>100</v>
      </c>
      <c r="T9" s="1566" t="s">
        <v>8</v>
      </c>
      <c r="U9" s="1567">
        <f t="shared" si="1"/>
        <v>100</v>
      </c>
      <c r="V9" s="1566" t="s">
        <v>8</v>
      </c>
      <c r="W9" s="1567">
        <f t="shared" si="2"/>
        <v>100</v>
      </c>
      <c r="X9" s="1568"/>
      <c r="Y9" s="3377"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420"/>
      <c r="Q11" s="1149" t="str">
        <f t="shared" si="6"/>
        <v>容积率</v>
      </c>
      <c r="R11" s="1566" t="s">
        <v>8</v>
      </c>
      <c r="S11" s="1567" t="e">
        <f t="shared" si="0"/>
        <v>#N/A</v>
      </c>
      <c r="T11" s="1566" t="s">
        <v>8</v>
      </c>
      <c r="U11" s="1567" t="e">
        <f t="shared" si="1"/>
        <v>#N/A</v>
      </c>
      <c r="V11" s="1566" t="s">
        <v>8</v>
      </c>
      <c r="W11" s="1567" t="e">
        <f t="shared" si="2"/>
        <v>#N/A</v>
      </c>
      <c r="X11" s="1568"/>
      <c r="Y11" s="3377"/>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420"/>
      <c r="Q12" s="1149">
        <f t="shared" si="6"/>
        <v>111</v>
      </c>
      <c r="R12" s="1566" t="s">
        <v>8</v>
      </c>
      <c r="S12" s="1567">
        <f t="shared" si="0"/>
        <v>100</v>
      </c>
      <c r="T12" s="1566" t="s">
        <v>8</v>
      </c>
      <c r="U12" s="1567">
        <f t="shared" si="1"/>
        <v>100</v>
      </c>
      <c r="V12" s="1566" t="s">
        <v>8</v>
      </c>
      <c r="W12" s="1567">
        <f t="shared" si="2"/>
        <v>100</v>
      </c>
      <c r="X12" s="1568"/>
      <c r="Y12" s="3377"/>
      <c r="Z12" s="1148">
        <f t="shared" si="7"/>
        <v>111</v>
      </c>
      <c r="AA12" s="1569">
        <f>D12/F12</f>
        <v>1</v>
      </c>
      <c r="AB12" s="1569">
        <f>D12/H12</f>
        <v>1</v>
      </c>
      <c r="AC12" s="1569">
        <f>D12/J12</f>
        <v>1</v>
      </c>
    </row>
    <row r="13" spans="1:29" ht="15">
      <c r="A13" s="2938"/>
      <c r="B13" s="2944">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420"/>
      <c r="Q13" s="1149">
        <f t="shared" si="6"/>
        <v>111</v>
      </c>
      <c r="R13" s="1566" t="s">
        <v>8</v>
      </c>
      <c r="S13" s="1567">
        <f t="shared" si="0"/>
        <v>100</v>
      </c>
      <c r="T13" s="1566" t="s">
        <v>8</v>
      </c>
      <c r="U13" s="1567">
        <f t="shared" si="1"/>
        <v>100</v>
      </c>
      <c r="V13" s="1566" t="s">
        <v>8</v>
      </c>
      <c r="W13" s="1567">
        <f t="shared" si="2"/>
        <v>100</v>
      </c>
      <c r="X13" s="1568"/>
      <c r="Y13" s="3377"/>
      <c r="Z13" s="1148">
        <f t="shared" si="7"/>
        <v>111</v>
      </c>
      <c r="AA13" s="1569">
        <f t="shared" si="3"/>
        <v>1</v>
      </c>
      <c r="AB13" s="1569">
        <f t="shared" si="4"/>
        <v>1</v>
      </c>
      <c r="AC13" s="1569">
        <f t="shared" si="5"/>
        <v>1</v>
      </c>
    </row>
    <row r="14" spans="1:29" ht="15.75" thickBot="1">
      <c r="A14" s="2939"/>
      <c r="B14" s="2945">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20"/>
      <c r="Q14" s="1149">
        <f t="shared" si="6"/>
        <v>111</v>
      </c>
      <c r="R14" s="1566" t="s">
        <v>8</v>
      </c>
      <c r="S14" s="1567">
        <f t="shared" si="0"/>
        <v>100</v>
      </c>
      <c r="T14" s="1566" t="s">
        <v>8</v>
      </c>
      <c r="U14" s="1567">
        <f t="shared" si="1"/>
        <v>100</v>
      </c>
      <c r="V14" s="1566" t="s">
        <v>8</v>
      </c>
      <c r="W14" s="1567">
        <f t="shared" si="2"/>
        <v>100</v>
      </c>
      <c r="X14" s="1568"/>
      <c r="Y14" s="3377"/>
      <c r="Z14" s="1148">
        <f t="shared" si="7"/>
        <v>111</v>
      </c>
      <c r="AA14" s="1569">
        <f t="shared" si="3"/>
        <v>1</v>
      </c>
      <c r="AB14" s="1569">
        <f t="shared" si="4"/>
        <v>1</v>
      </c>
      <c r="AC14" s="1569">
        <f t="shared" si="5"/>
        <v>1</v>
      </c>
    </row>
    <row r="15" spans="1:29" ht="15">
      <c r="A15" s="2931" t="s">
        <v>2716</v>
      </c>
      <c r="B15" s="165" t="s">
        <v>506</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22" t="s">
        <v>505</v>
      </c>
      <c r="Q15" s="1570" t="str">
        <f t="shared" si="6"/>
        <v>商业繁华度</v>
      </c>
      <c r="R15" s="1571" t="s">
        <v>8</v>
      </c>
      <c r="S15" s="1572">
        <f t="shared" si="0"/>
        <v>100</v>
      </c>
      <c r="T15" s="1571" t="s">
        <v>8</v>
      </c>
      <c r="U15" s="1572">
        <f t="shared" si="1"/>
        <v>100</v>
      </c>
      <c r="V15" s="1571" t="s">
        <v>8</v>
      </c>
      <c r="W15" s="1572">
        <f t="shared" si="2"/>
        <v>100</v>
      </c>
      <c r="X15" s="1565"/>
      <c r="Y15" s="3422" t="s">
        <v>505</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23"/>
      <c r="Q16" s="1570"/>
      <c r="R16" s="1571"/>
      <c r="S16" s="1572"/>
      <c r="T16" s="1571"/>
      <c r="U16" s="1572"/>
      <c r="V16" s="1571"/>
      <c r="W16" s="1572"/>
      <c r="X16" s="1565"/>
      <c r="Y16" s="3423"/>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23"/>
      <c r="Q17" s="1570" t="str">
        <f>B17</f>
        <v>交通便捷度</v>
      </c>
      <c r="R17" s="1571" t="s">
        <v>8</v>
      </c>
      <c r="S17" s="1572">
        <f>F17</f>
        <v>100</v>
      </c>
      <c r="T17" s="1571" t="s">
        <v>8</v>
      </c>
      <c r="U17" s="1572">
        <f>H17</f>
        <v>100</v>
      </c>
      <c r="V17" s="1571" t="s">
        <v>8</v>
      </c>
      <c r="W17" s="1572">
        <f>J17</f>
        <v>100</v>
      </c>
      <c r="X17" s="1565"/>
      <c r="Y17" s="342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23"/>
      <c r="Q18" s="1570"/>
      <c r="R18" s="1571"/>
      <c r="S18" s="1572"/>
      <c r="T18" s="1571"/>
      <c r="U18" s="1572"/>
      <c r="V18" s="1571"/>
      <c r="W18" s="1572"/>
      <c r="X18" s="1565"/>
      <c r="Y18" s="3423"/>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23"/>
      <c r="Q19" s="1570" t="str">
        <f>B19</f>
        <v>公共配套设施</v>
      </c>
      <c r="R19" s="1571" t="s">
        <v>8</v>
      </c>
      <c r="S19" s="1572">
        <f>F19</f>
        <v>100</v>
      </c>
      <c r="T19" s="1571" t="s">
        <v>8</v>
      </c>
      <c r="U19" s="1572">
        <f>H19</f>
        <v>100</v>
      </c>
      <c r="V19" s="1571" t="s">
        <v>8</v>
      </c>
      <c r="W19" s="1572">
        <f>J19</f>
        <v>100</v>
      </c>
      <c r="X19" s="1565"/>
      <c r="Y19" s="3423"/>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23"/>
      <c r="Q20" s="1570"/>
      <c r="R20" s="1571"/>
      <c r="S20" s="1572"/>
      <c r="T20" s="1571"/>
      <c r="U20" s="1572"/>
      <c r="V20" s="1571"/>
      <c r="W20" s="1572"/>
      <c r="X20" s="1565"/>
      <c r="Y20" s="3423"/>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23"/>
      <c r="Q21" s="2600" t="str">
        <f>B21</f>
        <v>基础设施水平</v>
      </c>
      <c r="R21" s="1571" t="s">
        <v>8</v>
      </c>
      <c r="S21" s="1572">
        <f>F21</f>
        <v>100</v>
      </c>
      <c r="T21" s="1571" t="s">
        <v>8</v>
      </c>
      <c r="U21" s="1572">
        <f>H21</f>
        <v>100</v>
      </c>
      <c r="V21" s="1571" t="s">
        <v>8</v>
      </c>
      <c r="W21" s="1572">
        <f>J21</f>
        <v>100</v>
      </c>
      <c r="X21" s="2602"/>
      <c r="Y21" s="3423"/>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39"/>
      <c r="M22" s="2131"/>
      <c r="N22" s="2131"/>
      <c r="O22" s="2138"/>
      <c r="P22" s="3423"/>
      <c r="Q22" s="2600"/>
      <c r="R22" s="1571"/>
      <c r="S22" s="1572"/>
      <c r="T22" s="1571"/>
      <c r="U22" s="1572"/>
      <c r="V22" s="1571"/>
      <c r="W22" s="1572"/>
      <c r="X22" s="2602"/>
      <c r="Y22" s="3423"/>
      <c r="Z22" s="2601"/>
      <c r="AA22" s="1574">
        <v>1</v>
      </c>
      <c r="AB22" s="1574">
        <v>1</v>
      </c>
      <c r="AC22" s="1574">
        <v>1</v>
      </c>
    </row>
    <row r="23" spans="1:29" ht="57">
      <c r="A23" s="530"/>
      <c r="B23" s="869" t="s">
        <v>262</v>
      </c>
      <c r="C23" s="898"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23"/>
      <c r="Q23" s="1570" t="str">
        <f>B23</f>
        <v>自然及人文环境</v>
      </c>
      <c r="R23" s="1571" t="s">
        <v>8</v>
      </c>
      <c r="S23" s="1572">
        <f>F23</f>
        <v>100</v>
      </c>
      <c r="T23" s="1571" t="s">
        <v>8</v>
      </c>
      <c r="U23" s="1572">
        <f>H23</f>
        <v>100</v>
      </c>
      <c r="V23" s="1571" t="s">
        <v>8</v>
      </c>
      <c r="W23" s="1572">
        <f>J23</f>
        <v>100</v>
      </c>
      <c r="X23" s="1565"/>
      <c r="Y23" s="3423"/>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23"/>
      <c r="Q24" s="1570"/>
      <c r="R24" s="1571"/>
      <c r="S24" s="1572"/>
      <c r="T24" s="1571"/>
      <c r="U24" s="1572"/>
      <c r="V24" s="1571"/>
      <c r="W24" s="1572"/>
      <c r="X24" s="1565"/>
      <c r="Y24" s="3423"/>
      <c r="Z24" s="1573"/>
      <c r="AA24" s="1574">
        <v>1</v>
      </c>
      <c r="AB24" s="1574">
        <v>1</v>
      </c>
      <c r="AC24" s="1574">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23"/>
      <c r="Q25" s="1570" t="str">
        <f t="shared" ref="Q25:Q46" si="11">B25</f>
        <v>临街状况</v>
      </c>
      <c r="R25" s="1571" t="s">
        <v>8</v>
      </c>
      <c r="S25" s="1572">
        <f>F25</f>
        <v>100</v>
      </c>
      <c r="T25" s="1571" t="s">
        <v>8</v>
      </c>
      <c r="U25" s="1572">
        <f>H25</f>
        <v>100</v>
      </c>
      <c r="V25" s="1571" t="s">
        <v>8</v>
      </c>
      <c r="W25" s="1572">
        <f>J25</f>
        <v>100</v>
      </c>
      <c r="X25" s="1565"/>
      <c r="Y25" s="3423"/>
      <c r="Z25" s="1573" t="str">
        <f>Q25</f>
        <v>临街状况</v>
      </c>
      <c r="AA25" s="1574">
        <f t="shared" si="3"/>
        <v>1</v>
      </c>
      <c r="AB25" s="1574">
        <f t="shared" si="4"/>
        <v>1</v>
      </c>
      <c r="AC25" s="1574">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23"/>
      <c r="Q26" s="1570" t="str">
        <f t="shared" si="11"/>
        <v>平面位置/可视性</v>
      </c>
      <c r="R26" s="1571" t="s">
        <v>8</v>
      </c>
      <c r="S26" s="1572">
        <f>F26</f>
        <v>100</v>
      </c>
      <c r="T26" s="1571" t="s">
        <v>8</v>
      </c>
      <c r="U26" s="1572">
        <f>H26</f>
        <v>100</v>
      </c>
      <c r="V26" s="1571" t="s">
        <v>8</v>
      </c>
      <c r="W26" s="1572">
        <f>J26</f>
        <v>100</v>
      </c>
      <c r="X26" s="1565"/>
      <c r="Y26" s="3423"/>
      <c r="Z26" s="1573" t="str">
        <f>Q26</f>
        <v>平面位置/可视性</v>
      </c>
      <c r="AA26" s="1574">
        <f t="shared" si="3"/>
        <v>1</v>
      </c>
      <c r="AB26" s="1574">
        <f t="shared" si="4"/>
        <v>1</v>
      </c>
      <c r="AC26" s="1574">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23"/>
      <c r="Q27" s="1149" t="str">
        <f t="shared" si="11"/>
        <v>人流量</v>
      </c>
      <c r="R27" s="1566" t="s">
        <v>8</v>
      </c>
      <c r="S27" s="1567">
        <f>F27</f>
        <v>100</v>
      </c>
      <c r="T27" s="1566" t="s">
        <v>8</v>
      </c>
      <c r="U27" s="1567">
        <f>H27</f>
        <v>100</v>
      </c>
      <c r="V27" s="1566" t="s">
        <v>8</v>
      </c>
      <c r="W27" s="1567">
        <f>J27</f>
        <v>100</v>
      </c>
      <c r="X27" s="1568"/>
      <c r="Y27" s="3423"/>
      <c r="Z27" s="1148" t="str">
        <f>Q27</f>
        <v>人流量</v>
      </c>
      <c r="AA27" s="1574">
        <f>D27/F27</f>
        <v>1</v>
      </c>
      <c r="AB27" s="1574">
        <f>D27/H27</f>
        <v>1</v>
      </c>
      <c r="AC27" s="1574">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2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23"/>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23"/>
      <c r="Q29" s="1570">
        <f t="shared" si="11"/>
        <v>111</v>
      </c>
      <c r="R29" s="1571" t="s">
        <v>8</v>
      </c>
      <c r="S29" s="1572">
        <f t="shared" si="12"/>
        <v>100</v>
      </c>
      <c r="T29" s="1571" t="s">
        <v>8</v>
      </c>
      <c r="U29" s="1572">
        <f t="shared" si="13"/>
        <v>100</v>
      </c>
      <c r="V29" s="1571" t="s">
        <v>8</v>
      </c>
      <c r="W29" s="1572">
        <f t="shared" si="14"/>
        <v>100</v>
      </c>
      <c r="X29" s="1565"/>
      <c r="Y29" s="3423"/>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23"/>
      <c r="Q30" s="1570">
        <f t="shared" si="11"/>
        <v>111</v>
      </c>
      <c r="R30" s="1571" t="s">
        <v>8</v>
      </c>
      <c r="S30" s="1572">
        <f t="shared" si="12"/>
        <v>100</v>
      </c>
      <c r="T30" s="1571" t="s">
        <v>8</v>
      </c>
      <c r="U30" s="1572">
        <f t="shared" si="13"/>
        <v>100</v>
      </c>
      <c r="V30" s="1571" t="s">
        <v>8</v>
      </c>
      <c r="W30" s="1572">
        <f t="shared" si="14"/>
        <v>100</v>
      </c>
      <c r="X30" s="1565"/>
      <c r="Y30" s="3423"/>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23"/>
      <c r="Q31" s="1570">
        <f t="shared" si="11"/>
        <v>111</v>
      </c>
      <c r="R31" s="1571" t="s">
        <v>8</v>
      </c>
      <c r="S31" s="1572">
        <f t="shared" si="12"/>
        <v>100</v>
      </c>
      <c r="T31" s="1571" t="s">
        <v>8</v>
      </c>
      <c r="U31" s="1572">
        <f t="shared" si="13"/>
        <v>100</v>
      </c>
      <c r="V31" s="1571" t="s">
        <v>8</v>
      </c>
      <c r="W31" s="1572">
        <f t="shared" si="14"/>
        <v>100</v>
      </c>
      <c r="X31" s="1565"/>
      <c r="Y31" s="3423"/>
      <c r="Z31" s="1573">
        <f t="shared" si="15"/>
        <v>111</v>
      </c>
      <c r="AA31" s="1574">
        <f t="shared" si="3"/>
        <v>1</v>
      </c>
      <c r="AB31" s="1574">
        <f t="shared" si="4"/>
        <v>1</v>
      </c>
      <c r="AC31" s="1574">
        <f t="shared" si="5"/>
        <v>1</v>
      </c>
    </row>
    <row r="32" spans="1:29" ht="15">
      <c r="A32" s="2928" t="s">
        <v>2717</v>
      </c>
      <c r="B32" s="171"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24" t="s">
        <v>515</v>
      </c>
      <c r="Q32" s="1570" t="str">
        <f t="shared" si="11"/>
        <v>商业类型</v>
      </c>
      <c r="R32" s="1571" t="s">
        <v>8</v>
      </c>
      <c r="S32" s="1572">
        <f t="shared" si="12"/>
        <v>100</v>
      </c>
      <c r="T32" s="1571" t="s">
        <v>8</v>
      </c>
      <c r="U32" s="1572">
        <f t="shared" si="13"/>
        <v>100</v>
      </c>
      <c r="V32" s="1571" t="s">
        <v>8</v>
      </c>
      <c r="W32" s="1572">
        <f t="shared" si="14"/>
        <v>100</v>
      </c>
      <c r="X32" s="1565"/>
      <c r="Y32" s="3425" t="s">
        <v>515</v>
      </c>
      <c r="Z32" s="1573" t="str">
        <f t="shared" si="15"/>
        <v>商业类型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25"/>
      <c r="Q33" s="1603" t="str">
        <f t="shared" si="11"/>
        <v>项目建筑规模</v>
      </c>
      <c r="R33" s="1575" t="s">
        <v>8</v>
      </c>
      <c r="S33" s="1576" t="e">
        <f t="shared" si="12"/>
        <v>#N/A</v>
      </c>
      <c r="T33" s="1575" t="s">
        <v>8</v>
      </c>
      <c r="U33" s="1576" t="e">
        <f t="shared" si="13"/>
        <v>#N/A</v>
      </c>
      <c r="V33" s="1575" t="s">
        <v>8</v>
      </c>
      <c r="W33" s="1576" t="e">
        <f t="shared" si="14"/>
        <v>#N/A</v>
      </c>
      <c r="X33" s="1577"/>
      <c r="Y33" s="3425"/>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25"/>
      <c r="Q34" s="1570" t="str">
        <f t="shared" si="11"/>
        <v>建筑结构</v>
      </c>
      <c r="R34" s="1571" t="s">
        <v>8</v>
      </c>
      <c r="S34" s="1572">
        <f t="shared" si="12"/>
        <v>100</v>
      </c>
      <c r="T34" s="1571" t="s">
        <v>8</v>
      </c>
      <c r="U34" s="1572">
        <f t="shared" si="13"/>
        <v>100</v>
      </c>
      <c r="V34" s="1571" t="s">
        <v>8</v>
      </c>
      <c r="W34" s="1572">
        <f t="shared" si="14"/>
        <v>100</v>
      </c>
      <c r="X34" s="1565"/>
      <c r="Y34" s="3425"/>
      <c r="Z34" s="1573" t="str">
        <f t="shared" si="15"/>
        <v>建筑结构</v>
      </c>
      <c r="AA34" s="1574">
        <f t="shared" si="3"/>
        <v>1</v>
      </c>
      <c r="AB34" s="1574">
        <f t="shared" si="4"/>
        <v>1</v>
      </c>
      <c r="AC34" s="1574">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25"/>
      <c r="Q35" s="1570" t="str">
        <f t="shared" si="11"/>
        <v>公共部分装修</v>
      </c>
      <c r="R35" s="1571" t="s">
        <v>8</v>
      </c>
      <c r="S35" s="1572">
        <f t="shared" si="12"/>
        <v>100</v>
      </c>
      <c r="T35" s="1571" t="s">
        <v>8</v>
      </c>
      <c r="U35" s="1572">
        <f t="shared" si="13"/>
        <v>100</v>
      </c>
      <c r="V35" s="1571" t="s">
        <v>8</v>
      </c>
      <c r="W35" s="1572">
        <f t="shared" si="14"/>
        <v>100</v>
      </c>
      <c r="X35" s="1565"/>
      <c r="Y35" s="3425"/>
      <c r="Z35" s="1573" t="str">
        <f t="shared" si="15"/>
        <v>公共部分装修</v>
      </c>
      <c r="AA35" s="1574">
        <f t="shared" si="3"/>
        <v>1</v>
      </c>
      <c r="AB35" s="1574">
        <f t="shared" si="4"/>
        <v>1</v>
      </c>
      <c r="AC35" s="1574">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25"/>
      <c r="Q36" s="1570" t="str">
        <f t="shared" si="11"/>
        <v>成新度</v>
      </c>
      <c r="R36" s="1571" t="s">
        <v>8</v>
      </c>
      <c r="S36" s="1572" t="e">
        <f t="shared" si="12"/>
        <v>#N/A</v>
      </c>
      <c r="T36" s="1571" t="s">
        <v>8</v>
      </c>
      <c r="U36" s="1572" t="e">
        <f t="shared" si="13"/>
        <v>#N/A</v>
      </c>
      <c r="V36" s="1571" t="s">
        <v>8</v>
      </c>
      <c r="W36" s="1572" t="e">
        <f t="shared" si="14"/>
        <v>#N/A</v>
      </c>
      <c r="X36" s="1565"/>
      <c r="Y36" s="3425"/>
      <c r="Z36" s="1573" t="str">
        <f t="shared" si="15"/>
        <v>成新度</v>
      </c>
      <c r="AA36" s="1574" t="e">
        <f t="shared" si="3"/>
        <v>#N/A</v>
      </c>
      <c r="AB36" s="1574" t="e">
        <f t="shared" si="4"/>
        <v>#N/A</v>
      </c>
      <c r="AC36" s="1574" t="e">
        <f t="shared" si="5"/>
        <v>#N/A</v>
      </c>
    </row>
    <row r="37" spans="1:29" s="1218" customFormat="1" ht="15">
      <c r="A37" s="598"/>
      <c r="B37" s="1892" t="s">
        <v>2528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25"/>
      <c r="Q37" s="1149" t="str">
        <f t="shared" si="11"/>
        <v>市政基础设施</v>
      </c>
      <c r="R37" s="1566" t="s">
        <v>8</v>
      </c>
      <c r="S37" s="1567">
        <f t="shared" si="12"/>
        <v>100</v>
      </c>
      <c r="T37" s="1566" t="s">
        <v>8</v>
      </c>
      <c r="U37" s="1567">
        <f t="shared" si="13"/>
        <v>100</v>
      </c>
      <c r="V37" s="1566" t="s">
        <v>8</v>
      </c>
      <c r="W37" s="1567">
        <f t="shared" si="14"/>
        <v>100</v>
      </c>
      <c r="X37" s="1568"/>
      <c r="Y37" s="3425"/>
      <c r="Z37" s="1148" t="str">
        <f t="shared" si="15"/>
        <v>市政基础设施</v>
      </c>
      <c r="AA37" s="1569">
        <f t="shared" si="3"/>
        <v>1</v>
      </c>
      <c r="AB37" s="1569">
        <f t="shared" si="4"/>
        <v>1</v>
      </c>
      <c r="AC37" s="1569">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25" t="s">
        <v>731</v>
      </c>
      <c r="Q38" s="1570" t="str">
        <f t="shared" si="11"/>
        <v>业态</v>
      </c>
      <c r="R38" s="1571" t="s">
        <v>8</v>
      </c>
      <c r="S38" s="1572">
        <f t="shared" si="12"/>
        <v>100</v>
      </c>
      <c r="T38" s="1571" t="s">
        <v>8</v>
      </c>
      <c r="U38" s="1572">
        <f t="shared" si="13"/>
        <v>100</v>
      </c>
      <c r="V38" s="1571" t="s">
        <v>8</v>
      </c>
      <c r="W38" s="1572">
        <f t="shared" si="14"/>
        <v>100</v>
      </c>
      <c r="X38" s="1565"/>
      <c r="Y38" s="3425" t="s">
        <v>731</v>
      </c>
      <c r="Z38" s="1573" t="str">
        <f t="shared" si="15"/>
        <v>业态</v>
      </c>
      <c r="AA38" s="1574">
        <f t="shared" si="3"/>
        <v>1</v>
      </c>
      <c r="AB38" s="1574">
        <f t="shared" si="4"/>
        <v>1</v>
      </c>
      <c r="AC38" s="1574">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5"/>
      <c r="Q39" s="1570" t="str">
        <f t="shared" si="11"/>
        <v>层高</v>
      </c>
      <c r="R39" s="1571" t="s">
        <v>8</v>
      </c>
      <c r="S39" s="1572">
        <f t="shared" si="12"/>
        <v>100</v>
      </c>
      <c r="T39" s="1571" t="s">
        <v>8</v>
      </c>
      <c r="U39" s="1572">
        <f t="shared" si="13"/>
        <v>100</v>
      </c>
      <c r="V39" s="1571" t="s">
        <v>8</v>
      </c>
      <c r="W39" s="1572">
        <f t="shared" si="14"/>
        <v>100</v>
      </c>
      <c r="X39" s="1565"/>
      <c r="Y39" s="3425"/>
      <c r="Z39" s="1573" t="str">
        <f t="shared" si="15"/>
        <v>层高</v>
      </c>
      <c r="AA39" s="1574">
        <f t="shared" si="3"/>
        <v>1</v>
      </c>
      <c r="AB39" s="1574">
        <f t="shared" si="4"/>
        <v>1</v>
      </c>
      <c r="AC39" s="1574">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25"/>
      <c r="Q40" s="1570" t="str">
        <f t="shared" si="11"/>
        <v>单套建筑面积</v>
      </c>
      <c r="R40" s="1571" t="s">
        <v>8</v>
      </c>
      <c r="S40" s="1572">
        <f t="shared" si="12"/>
        <v>100</v>
      </c>
      <c r="T40" s="1571" t="s">
        <v>8</v>
      </c>
      <c r="U40" s="1572">
        <f t="shared" si="13"/>
        <v>100</v>
      </c>
      <c r="V40" s="1571" t="s">
        <v>8</v>
      </c>
      <c r="W40" s="1572">
        <f t="shared" si="14"/>
        <v>100</v>
      </c>
      <c r="X40" s="1565"/>
      <c r="Y40" s="3425"/>
      <c r="Z40" s="1573" t="str">
        <f t="shared" si="15"/>
        <v>单套建筑面积</v>
      </c>
      <c r="AA40" s="1574">
        <f t="shared" si="3"/>
        <v>1</v>
      </c>
      <c r="AB40" s="1574">
        <f t="shared" si="4"/>
        <v>1</v>
      </c>
      <c r="AC40" s="1574">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25"/>
      <c r="Q41" s="1603" t="str">
        <f t="shared" si="11"/>
        <v>进深比</v>
      </c>
      <c r="R41" s="1575" t="s">
        <v>8</v>
      </c>
      <c r="S41" s="1576">
        <f t="shared" si="12"/>
        <v>100</v>
      </c>
      <c r="T41" s="1575" t="s">
        <v>8</v>
      </c>
      <c r="U41" s="1576">
        <f t="shared" si="13"/>
        <v>100</v>
      </c>
      <c r="V41" s="1575" t="s">
        <v>8</v>
      </c>
      <c r="W41" s="1576">
        <f t="shared" si="14"/>
        <v>100</v>
      </c>
      <c r="X41" s="1577"/>
      <c r="Y41" s="3425"/>
      <c r="Z41" s="1578" t="str">
        <f t="shared" si="15"/>
        <v>进深比</v>
      </c>
      <c r="AA41" s="1574">
        <f t="shared" si="3"/>
        <v>1</v>
      </c>
      <c r="AB41" s="1574">
        <f t="shared" si="4"/>
        <v>1</v>
      </c>
      <c r="AC41" s="1574">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25"/>
      <c r="Q42" s="1570" t="str">
        <f t="shared" si="11"/>
        <v>内部装修</v>
      </c>
      <c r="R42" s="1571" t="s">
        <v>8</v>
      </c>
      <c r="S42" s="1572">
        <f t="shared" si="12"/>
        <v>100</v>
      </c>
      <c r="T42" s="1571" t="s">
        <v>8</v>
      </c>
      <c r="U42" s="1572">
        <f t="shared" si="13"/>
        <v>100</v>
      </c>
      <c r="V42" s="1571" t="s">
        <v>8</v>
      </c>
      <c r="W42" s="1572">
        <f t="shared" si="14"/>
        <v>100</v>
      </c>
      <c r="X42" s="1565"/>
      <c r="Y42" s="3425"/>
      <c r="Z42" s="1573" t="str">
        <f t="shared" si="15"/>
        <v>内部装修</v>
      </c>
      <c r="AA42" s="1574">
        <f t="shared" si="3"/>
        <v>1</v>
      </c>
      <c r="AB42" s="1574">
        <f t="shared" si="4"/>
        <v>1</v>
      </c>
      <c r="AC42" s="1574">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25"/>
      <c r="Q43" s="1570" t="str">
        <f t="shared" si="11"/>
        <v>内部装修维护情况</v>
      </c>
      <c r="R43" s="1571" t="s">
        <v>8</v>
      </c>
      <c r="S43" s="1572">
        <f t="shared" si="12"/>
        <v>100</v>
      </c>
      <c r="T43" s="1571" t="s">
        <v>8</v>
      </c>
      <c r="U43" s="1572">
        <f t="shared" si="13"/>
        <v>100</v>
      </c>
      <c r="V43" s="1571" t="s">
        <v>8</v>
      </c>
      <c r="W43" s="1572">
        <f t="shared" si="14"/>
        <v>100</v>
      </c>
      <c r="X43" s="1565"/>
      <c r="Y43" s="3425"/>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25"/>
      <c r="Q44" s="1149">
        <f t="shared" si="11"/>
        <v>111</v>
      </c>
      <c r="R44" s="1566" t="s">
        <v>8</v>
      </c>
      <c r="S44" s="1567">
        <f t="shared" si="12"/>
        <v>100</v>
      </c>
      <c r="T44" s="1566" t="s">
        <v>8</v>
      </c>
      <c r="U44" s="1567">
        <f t="shared" si="13"/>
        <v>100</v>
      </c>
      <c r="V44" s="1566" t="s">
        <v>8</v>
      </c>
      <c r="W44" s="1567">
        <f t="shared" si="14"/>
        <v>100</v>
      </c>
      <c r="X44" s="1568"/>
      <c r="Y44" s="3425"/>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25"/>
      <c r="Q45" s="1570">
        <f t="shared" si="11"/>
        <v>111</v>
      </c>
      <c r="R45" s="1571" t="s">
        <v>8</v>
      </c>
      <c r="S45" s="1572">
        <f t="shared" si="12"/>
        <v>100</v>
      </c>
      <c r="T45" s="1571" t="s">
        <v>8</v>
      </c>
      <c r="U45" s="1572">
        <f t="shared" si="13"/>
        <v>100</v>
      </c>
      <c r="V45" s="1571" t="s">
        <v>8</v>
      </c>
      <c r="W45" s="1572">
        <f t="shared" si="14"/>
        <v>100</v>
      </c>
      <c r="X45" s="1565"/>
      <c r="Y45" s="3425"/>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03"/>
      <c r="Q46" s="1570">
        <f t="shared" si="11"/>
        <v>111</v>
      </c>
      <c r="R46" s="1571" t="s">
        <v>8</v>
      </c>
      <c r="S46" s="1572">
        <f t="shared" si="12"/>
        <v>100</v>
      </c>
      <c r="T46" s="1571" t="s">
        <v>8</v>
      </c>
      <c r="U46" s="1572">
        <f t="shared" si="13"/>
        <v>100</v>
      </c>
      <c r="V46" s="1571" t="s">
        <v>8</v>
      </c>
      <c r="W46" s="1572">
        <f t="shared" si="14"/>
        <v>100</v>
      </c>
      <c r="X46" s="1565"/>
      <c r="Y46" s="3503"/>
      <c r="Z46" s="1573">
        <f t="shared" si="15"/>
        <v>111</v>
      </c>
      <c r="AA46" s="1574">
        <f t="shared" si="3"/>
        <v>1</v>
      </c>
      <c r="AB46" s="1574">
        <f t="shared" si="4"/>
        <v>1</v>
      </c>
      <c r="AC46" s="1574">
        <f t="shared" si="5"/>
        <v>1</v>
      </c>
    </row>
    <row r="47" spans="1:29" ht="15">
      <c r="A47" s="605" t="s">
        <v>701</v>
      </c>
      <c r="B47" s="885"/>
      <c r="C47" s="2648" t="s">
        <v>1</v>
      </c>
      <c r="D47" s="2649"/>
      <c r="E47" s="2650"/>
      <c r="F47" s="2651"/>
      <c r="G47" s="2652"/>
      <c r="H47" s="2653"/>
      <c r="I47" s="2650"/>
      <c r="J47" s="2653"/>
      <c r="K47" s="1609"/>
      <c r="L47" s="2141"/>
      <c r="M47" s="2142"/>
      <c r="N47" s="2131"/>
      <c r="O47" s="2142"/>
      <c r="P47" s="3420" t="str">
        <f>A47</f>
        <v>成交单价（元/平方米）</v>
      </c>
      <c r="Q47" s="3420"/>
      <c r="R47" s="3502">
        <f>E47</f>
        <v>0</v>
      </c>
      <c r="S47" s="3502"/>
      <c r="T47" s="3502">
        <f>G47</f>
        <v>0</v>
      </c>
      <c r="U47" s="3502"/>
      <c r="V47" s="3502">
        <f>I47</f>
        <v>0</v>
      </c>
      <c r="W47" s="3502"/>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10"/>
      <c r="L48" s="2141"/>
      <c r="M48" s="2142"/>
      <c r="N48" s="2131"/>
      <c r="O48" s="2142"/>
      <c r="P48" s="3420" t="str">
        <f>A48</f>
        <v>比较价格（元/平方米）</v>
      </c>
      <c r="Q48" s="342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11"/>
      <c r="L49" s="2141"/>
      <c r="M49" s="2142"/>
      <c r="N49" s="2131"/>
      <c r="O49" s="2142"/>
      <c r="P49" s="3442" t="str">
        <f>A49</f>
        <v>估价对象XX用房的比较价格（楼面单价，元/平方米）</v>
      </c>
      <c r="Q49" s="3443"/>
      <c r="R49" s="3501" t="e">
        <f>IF(F1="售价",ROUND(AVERAGE(R48:V48),0),ROUND(AVERAGE(R48:V48),1))</f>
        <v>#DIV/0!</v>
      </c>
      <c r="S49" s="3501"/>
      <c r="T49" s="3501"/>
      <c r="U49" s="3501"/>
      <c r="V49" s="3501"/>
      <c r="W49" s="3501"/>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828"/>
      <c r="G1" s="1599" t="s">
        <v>686</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486</v>
      </c>
      <c r="B4" s="511"/>
      <c r="C4" s="3426" t="s">
        <v>487</v>
      </c>
      <c r="D4" s="3427"/>
      <c r="E4" s="3451" t="s">
        <v>488</v>
      </c>
      <c r="F4" s="3452"/>
      <c r="G4" s="3426" t="s">
        <v>489</v>
      </c>
      <c r="H4" s="3427"/>
      <c r="I4" s="3426" t="s">
        <v>490</v>
      </c>
      <c r="J4" s="3427"/>
      <c r="K4" s="512" t="s">
        <v>491</v>
      </c>
      <c r="L4" s="2130"/>
      <c r="M4" s="2131"/>
      <c r="N4" s="2131"/>
      <c r="O4" s="2131"/>
      <c r="P4" s="3527" t="s">
        <v>492</v>
      </c>
      <c r="Q4" s="3429"/>
      <c r="R4" s="3414" t="s">
        <v>488</v>
      </c>
      <c r="S4" s="3415"/>
      <c r="T4" s="3414" t="s">
        <v>489</v>
      </c>
      <c r="U4" s="3415"/>
      <c r="V4" s="3434" t="s">
        <v>490</v>
      </c>
      <c r="W4" s="3434"/>
      <c r="X4" s="1565"/>
      <c r="Y4" s="3414" t="s">
        <v>492</v>
      </c>
      <c r="Z4" s="3415"/>
      <c r="AA4" s="3409" t="s">
        <v>488</v>
      </c>
      <c r="AB4" s="3409" t="s">
        <v>489</v>
      </c>
      <c r="AC4" s="3409" t="s">
        <v>490</v>
      </c>
    </row>
    <row r="5" spans="1:29" ht="15">
      <c r="A5" s="513"/>
      <c r="B5" s="514"/>
      <c r="C5" s="3455" t="s">
        <v>2881</v>
      </c>
      <c r="D5" s="3456"/>
      <c r="E5" s="3453" t="s">
        <v>2882</v>
      </c>
      <c r="F5" s="3454"/>
      <c r="G5" s="3455" t="s">
        <v>2883</v>
      </c>
      <c r="H5" s="3456"/>
      <c r="I5" s="3455" t="s">
        <v>2884</v>
      </c>
      <c r="J5" s="3456"/>
      <c r="K5" s="512"/>
      <c r="L5" s="2130"/>
      <c r="M5" s="2131"/>
      <c r="N5" s="2131"/>
      <c r="O5" s="2131"/>
      <c r="P5" s="3528"/>
      <c r="Q5" s="3431"/>
      <c r="R5" s="3416"/>
      <c r="S5" s="3417"/>
      <c r="T5" s="3416"/>
      <c r="U5" s="3417"/>
      <c r="V5" s="3434"/>
      <c r="W5" s="3434"/>
      <c r="X5" s="1565"/>
      <c r="Y5" s="3416"/>
      <c r="Z5" s="3417"/>
      <c r="AA5" s="3410"/>
      <c r="AB5" s="3410"/>
      <c r="AC5" s="3410"/>
    </row>
    <row r="6" spans="1:29" ht="15.75" thickBot="1">
      <c r="A6" s="515"/>
      <c r="B6" s="516"/>
      <c r="C6" s="3457" t="s">
        <v>2885</v>
      </c>
      <c r="D6" s="3458"/>
      <c r="E6" s="3459" t="s">
        <v>2885</v>
      </c>
      <c r="F6" s="3460"/>
      <c r="G6" s="3457" t="s">
        <v>2885</v>
      </c>
      <c r="H6" s="3458"/>
      <c r="I6" s="3457" t="s">
        <v>2885</v>
      </c>
      <c r="J6" s="3458"/>
      <c r="K6" s="512" t="s">
        <v>493</v>
      </c>
      <c r="L6" s="2130"/>
      <c r="M6" s="2131"/>
      <c r="N6" s="2131"/>
      <c r="O6" s="2131"/>
      <c r="P6" s="3529"/>
      <c r="Q6" s="3433"/>
      <c r="R6" s="3416"/>
      <c r="S6" s="3417"/>
      <c r="T6" s="3418"/>
      <c r="U6" s="3419"/>
      <c r="V6" s="3434"/>
      <c r="W6" s="3434"/>
      <c r="X6" s="1565"/>
      <c r="Y6" s="3418"/>
      <c r="Z6" s="3419"/>
      <c r="AA6" s="3411"/>
      <c r="AB6" s="3411"/>
      <c r="AC6" s="3411"/>
    </row>
    <row r="7" spans="1:29" s="1218" customFormat="1" ht="15.75" thickBot="1">
      <c r="A7" s="2933"/>
      <c r="B7" s="2940" t="s">
        <v>494</v>
      </c>
      <c r="C7" s="517">
        <f>'数据-取费表'!B2</f>
        <v>43234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21" t="s">
        <v>495</v>
      </c>
      <c r="Q7" s="3421"/>
      <c r="R7" s="1566" t="s">
        <v>8</v>
      </c>
      <c r="S7" s="1567">
        <f t="shared" ref="S7:S15" si="0">F7</f>
        <v>0</v>
      </c>
      <c r="T7" s="1566" t="s">
        <v>8</v>
      </c>
      <c r="U7" s="1567">
        <f t="shared" ref="U7:U15" si="1">H7</f>
        <v>0</v>
      </c>
      <c r="V7" s="1566" t="s">
        <v>8</v>
      </c>
      <c r="W7" s="1567">
        <f t="shared" ref="W7:W15" si="2">J7</f>
        <v>0</v>
      </c>
      <c r="X7" s="1568"/>
      <c r="Y7" s="3412" t="s">
        <v>495</v>
      </c>
      <c r="Z7" s="3413"/>
      <c r="AA7" s="1569" t="e">
        <f>D7/F7</f>
        <v>#DIV/0!</v>
      </c>
      <c r="AB7" s="1569" t="e">
        <f>D7/H7</f>
        <v>#DIV/0!</v>
      </c>
      <c r="AC7" s="1569" t="e">
        <f>D7/J7</f>
        <v>#DIV/0!</v>
      </c>
    </row>
    <row r="8" spans="1:29" s="1218" customFormat="1" ht="15.75" thickBot="1">
      <c r="A8" s="2934"/>
      <c r="B8" s="2941"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21" t="s">
        <v>498</v>
      </c>
      <c r="Q8" s="3413"/>
      <c r="R8" s="1566" t="s">
        <v>8</v>
      </c>
      <c r="S8" s="1567">
        <f t="shared" si="0"/>
        <v>0</v>
      </c>
      <c r="T8" s="1566" t="s">
        <v>8</v>
      </c>
      <c r="U8" s="1567">
        <f t="shared" si="1"/>
        <v>0</v>
      </c>
      <c r="V8" s="1566" t="s">
        <v>8</v>
      </c>
      <c r="W8" s="1567">
        <f t="shared" si="2"/>
        <v>0</v>
      </c>
      <c r="X8" s="1568"/>
      <c r="Y8" s="3412" t="s">
        <v>498</v>
      </c>
      <c r="Z8" s="3413"/>
      <c r="AA8" s="1569" t="e">
        <f t="shared" ref="AA8:AA47" si="3">D8/F8</f>
        <v>#DIV/0!</v>
      </c>
      <c r="AB8" s="1569" t="e">
        <f t="shared" ref="AB8:AB47" si="4">D8/H8</f>
        <v>#DIV/0!</v>
      </c>
      <c r="AC8" s="1569" t="e">
        <f t="shared" ref="AC8:AC47" si="5">D8/J8</f>
        <v>#DIV/0!</v>
      </c>
    </row>
    <row r="9" spans="1:29" s="1218" customFormat="1" ht="15">
      <c r="A9" s="2935"/>
      <c r="B9" s="2942" t="s">
        <v>2718</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420" t="s">
        <v>500</v>
      </c>
      <c r="Q9" s="1149" t="str">
        <f t="shared" ref="Q9:Q15" si="6">B9</f>
        <v>用途</v>
      </c>
      <c r="R9" s="1566" t="s">
        <v>8</v>
      </c>
      <c r="S9" s="1567">
        <f t="shared" si="0"/>
        <v>100</v>
      </c>
      <c r="T9" s="1566" t="s">
        <v>8</v>
      </c>
      <c r="U9" s="1567">
        <f t="shared" si="1"/>
        <v>100</v>
      </c>
      <c r="V9" s="1566" t="s">
        <v>8</v>
      </c>
      <c r="W9" s="1567">
        <f t="shared" si="2"/>
        <v>100</v>
      </c>
      <c r="X9" s="1568"/>
      <c r="Y9" s="3377"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420"/>
      <c r="Q11" s="1149" t="str">
        <f t="shared" si="6"/>
        <v>容积率</v>
      </c>
      <c r="R11" s="1566" t="s">
        <v>8</v>
      </c>
      <c r="S11" s="1567" t="e">
        <f t="shared" si="0"/>
        <v>#N/A</v>
      </c>
      <c r="T11" s="1566" t="s">
        <v>8</v>
      </c>
      <c r="U11" s="1567" t="e">
        <f t="shared" si="1"/>
        <v>#N/A</v>
      </c>
      <c r="V11" s="1566" t="s">
        <v>8</v>
      </c>
      <c r="W11" s="1567" t="e">
        <f t="shared" si="2"/>
        <v>#N/A</v>
      </c>
      <c r="X11" s="1568"/>
      <c r="Y11" s="3377"/>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420"/>
      <c r="Q12" s="1149">
        <f t="shared" si="6"/>
        <v>111</v>
      </c>
      <c r="R12" s="1566" t="s">
        <v>8</v>
      </c>
      <c r="S12" s="1567">
        <f t="shared" si="0"/>
        <v>100</v>
      </c>
      <c r="T12" s="1566" t="s">
        <v>8</v>
      </c>
      <c r="U12" s="1567">
        <f t="shared" si="1"/>
        <v>100</v>
      </c>
      <c r="V12" s="1566" t="s">
        <v>8</v>
      </c>
      <c r="W12" s="1567">
        <f t="shared" si="2"/>
        <v>100</v>
      </c>
      <c r="X12" s="1568"/>
      <c r="Y12" s="3377"/>
      <c r="Z12" s="1148">
        <f t="shared" si="7"/>
        <v>111</v>
      </c>
      <c r="AA12" s="1569">
        <f>D12/F12</f>
        <v>1</v>
      </c>
      <c r="AB12" s="1569">
        <f>D12/H12</f>
        <v>1</v>
      </c>
      <c r="AC12" s="1569">
        <f>D12/J12</f>
        <v>1</v>
      </c>
    </row>
    <row r="13" spans="1:29" ht="15">
      <c r="A13" s="2938"/>
      <c r="B13" s="2944">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420"/>
      <c r="Q13" s="1149">
        <f t="shared" si="6"/>
        <v>111</v>
      </c>
      <c r="R13" s="1566" t="s">
        <v>8</v>
      </c>
      <c r="S13" s="1567">
        <f t="shared" si="0"/>
        <v>100</v>
      </c>
      <c r="T13" s="1566" t="s">
        <v>8</v>
      </c>
      <c r="U13" s="1567">
        <f t="shared" si="1"/>
        <v>100</v>
      </c>
      <c r="V13" s="1566" t="s">
        <v>8</v>
      </c>
      <c r="W13" s="1567">
        <f t="shared" si="2"/>
        <v>100</v>
      </c>
      <c r="X13" s="1568"/>
      <c r="Y13" s="3377"/>
      <c r="Z13" s="1148">
        <f t="shared" si="7"/>
        <v>111</v>
      </c>
      <c r="AA13" s="1569">
        <f t="shared" si="3"/>
        <v>1</v>
      </c>
      <c r="AB13" s="1569">
        <f t="shared" si="4"/>
        <v>1</v>
      </c>
      <c r="AC13" s="1569">
        <f t="shared" si="5"/>
        <v>1</v>
      </c>
    </row>
    <row r="14" spans="1:29" ht="15.75" thickBot="1">
      <c r="A14" s="2939"/>
      <c r="B14" s="2945">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20"/>
      <c r="Q14" s="1149">
        <f t="shared" si="6"/>
        <v>111</v>
      </c>
      <c r="R14" s="1566" t="s">
        <v>8</v>
      </c>
      <c r="S14" s="1567">
        <f t="shared" si="0"/>
        <v>100</v>
      </c>
      <c r="T14" s="1566" t="s">
        <v>8</v>
      </c>
      <c r="U14" s="1567">
        <f t="shared" si="1"/>
        <v>100</v>
      </c>
      <c r="V14" s="1566" t="s">
        <v>8</v>
      </c>
      <c r="W14" s="1567">
        <f t="shared" si="2"/>
        <v>100</v>
      </c>
      <c r="X14" s="1568"/>
      <c r="Y14" s="3377"/>
      <c r="Z14" s="1148">
        <f t="shared" si="7"/>
        <v>111</v>
      </c>
      <c r="AA14" s="1569">
        <f t="shared" si="3"/>
        <v>1</v>
      </c>
      <c r="AB14" s="1569">
        <f t="shared" si="4"/>
        <v>1</v>
      </c>
      <c r="AC14" s="1569">
        <f t="shared" si="5"/>
        <v>1</v>
      </c>
    </row>
    <row r="15" spans="1:29" ht="15">
      <c r="A15" s="2931" t="s">
        <v>2716</v>
      </c>
      <c r="B15" s="545" t="s">
        <v>507</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22" t="s">
        <v>505</v>
      </c>
      <c r="Q15" s="1570" t="str">
        <f t="shared" si="6"/>
        <v>办公集聚程度</v>
      </c>
      <c r="R15" s="1571" t="s">
        <v>8</v>
      </c>
      <c r="S15" s="1572">
        <f t="shared" si="0"/>
        <v>100</v>
      </c>
      <c r="T15" s="1571" t="s">
        <v>8</v>
      </c>
      <c r="U15" s="1572">
        <f t="shared" si="1"/>
        <v>100</v>
      </c>
      <c r="V15" s="1571" t="s">
        <v>8</v>
      </c>
      <c r="W15" s="1572">
        <f t="shared" si="2"/>
        <v>100</v>
      </c>
      <c r="X15" s="1565"/>
      <c r="Y15" s="3422" t="s">
        <v>505</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23"/>
      <c r="Q16" s="1570"/>
      <c r="R16" s="1571"/>
      <c r="S16" s="1572"/>
      <c r="T16" s="1571"/>
      <c r="U16" s="1572"/>
      <c r="V16" s="1571"/>
      <c r="W16" s="1572"/>
      <c r="X16" s="1565"/>
      <c r="Y16" s="3423"/>
      <c r="Z16" s="1573"/>
      <c r="AA16" s="1574">
        <v>1</v>
      </c>
      <c r="AB16" s="1574">
        <v>1</v>
      </c>
      <c r="AC16" s="1574">
        <v>1</v>
      </c>
    </row>
    <row r="17" spans="1:29" ht="99.75">
      <c r="A17" s="530"/>
      <c r="B17" s="558" t="s">
        <v>261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23"/>
      <c r="Q17" s="1570" t="str">
        <f>B17</f>
        <v>交通便捷度</v>
      </c>
      <c r="R17" s="1571" t="s">
        <v>8</v>
      </c>
      <c r="S17" s="1572">
        <f>F17</f>
        <v>100</v>
      </c>
      <c r="T17" s="1571" t="s">
        <v>8</v>
      </c>
      <c r="U17" s="1572">
        <f>H17</f>
        <v>100</v>
      </c>
      <c r="V17" s="1571" t="s">
        <v>8</v>
      </c>
      <c r="W17" s="1572">
        <f>J17</f>
        <v>100</v>
      </c>
      <c r="X17" s="1565"/>
      <c r="Y17" s="3423"/>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23"/>
      <c r="Q18" s="1570"/>
      <c r="R18" s="1571"/>
      <c r="S18" s="1572"/>
      <c r="T18" s="1571"/>
      <c r="U18" s="1572"/>
      <c r="V18" s="1571"/>
      <c r="W18" s="1572"/>
      <c r="X18" s="1565"/>
      <c r="Y18" s="3423"/>
      <c r="Z18" s="1573"/>
      <c r="AA18" s="1574">
        <v>1</v>
      </c>
      <c r="AB18" s="1574">
        <v>1</v>
      </c>
      <c r="AC18" s="1574">
        <v>1</v>
      </c>
    </row>
    <row r="19" spans="1:29" ht="42.75">
      <c r="A19" s="530"/>
      <c r="B19" s="2624" t="s">
        <v>2509</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23"/>
      <c r="Q19" s="1570" t="str">
        <f>B19</f>
        <v>公共配套设施</v>
      </c>
      <c r="R19" s="1571" t="s">
        <v>8</v>
      </c>
      <c r="S19" s="1572">
        <f>F19</f>
        <v>100</v>
      </c>
      <c r="T19" s="1571" t="s">
        <v>8</v>
      </c>
      <c r="U19" s="1572">
        <f>H19</f>
        <v>100</v>
      </c>
      <c r="V19" s="1571" t="s">
        <v>8</v>
      </c>
      <c r="W19" s="1572">
        <f>J19</f>
        <v>100</v>
      </c>
      <c r="X19" s="1565"/>
      <c r="Y19" s="3423"/>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23"/>
      <c r="Q20" s="1570"/>
      <c r="R20" s="1571"/>
      <c r="S20" s="1572"/>
      <c r="T20" s="1571"/>
      <c r="U20" s="1572"/>
      <c r="V20" s="1571"/>
      <c r="W20" s="1572"/>
      <c r="X20" s="1565"/>
      <c r="Y20" s="3423"/>
      <c r="Z20" s="1573"/>
      <c r="AA20" s="1574">
        <v>1</v>
      </c>
      <c r="AB20" s="1574">
        <v>1</v>
      </c>
      <c r="AC20" s="1574">
        <v>1</v>
      </c>
    </row>
    <row r="21" spans="1:29" ht="42.75">
      <c r="A21" s="530"/>
      <c r="B21" s="2612" t="s">
        <v>2521</v>
      </c>
      <c r="C21" s="571" t="str">
        <f>估价对象房地状况!C8</f>
        <v>估价对象所在区域基础设施水平好</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23"/>
      <c r="Q21" s="2600" t="str">
        <f>B21</f>
        <v>基础设施水平</v>
      </c>
      <c r="R21" s="1571" t="s">
        <v>8</v>
      </c>
      <c r="S21" s="1572">
        <f>F21</f>
        <v>100</v>
      </c>
      <c r="T21" s="1571" t="s">
        <v>8</v>
      </c>
      <c r="U21" s="1572">
        <f>H21</f>
        <v>100</v>
      </c>
      <c r="V21" s="1571" t="s">
        <v>8</v>
      </c>
      <c r="W21" s="1572">
        <f>J21</f>
        <v>100</v>
      </c>
      <c r="X21" s="2602"/>
      <c r="Y21" s="3423"/>
      <c r="Z21" s="2601"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3"/>
      <c r="L22" s="2139"/>
      <c r="M22" s="2131"/>
      <c r="N22" s="2131"/>
      <c r="O22" s="2131"/>
      <c r="P22" s="3423"/>
      <c r="Q22" s="2600"/>
      <c r="R22" s="1571"/>
      <c r="S22" s="1572"/>
      <c r="T22" s="1571"/>
      <c r="U22" s="1572"/>
      <c r="V22" s="1571"/>
      <c r="W22" s="1572"/>
      <c r="X22" s="2602"/>
      <c r="Y22" s="3423"/>
      <c r="Z22" s="2601"/>
      <c r="AA22" s="1574">
        <v>1</v>
      </c>
      <c r="AB22" s="1574">
        <v>1</v>
      </c>
      <c r="AC22" s="1574">
        <v>1</v>
      </c>
    </row>
    <row r="23" spans="1:29" ht="57">
      <c r="A23" s="530"/>
      <c r="B23" s="558" t="s">
        <v>743</v>
      </c>
      <c r="C23" s="571" t="str">
        <f>估价对象房地状况!C9</f>
        <v>区域自然环境及人文环境较好；综合评价环境状况较好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23"/>
      <c r="Q23" s="1570" t="str">
        <f>B23</f>
        <v>环境质量</v>
      </c>
      <c r="R23" s="1571" t="s">
        <v>8</v>
      </c>
      <c r="S23" s="1572">
        <f>F23</f>
        <v>100</v>
      </c>
      <c r="T23" s="1571" t="s">
        <v>8</v>
      </c>
      <c r="U23" s="1572">
        <f>H23</f>
        <v>100</v>
      </c>
      <c r="V23" s="1571" t="s">
        <v>8</v>
      </c>
      <c r="W23" s="1572">
        <f>J23</f>
        <v>100</v>
      </c>
      <c r="X23" s="1565"/>
      <c r="Y23" s="3423"/>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23"/>
      <c r="Q24" s="1570"/>
      <c r="R24" s="1571"/>
      <c r="S24" s="1572"/>
      <c r="T24" s="1571"/>
      <c r="U24" s="1572"/>
      <c r="V24" s="1571"/>
      <c r="W24" s="1572"/>
      <c r="X24" s="1565"/>
      <c r="Y24" s="3423"/>
      <c r="Z24" s="1573"/>
      <c r="AA24" s="1574">
        <v>1</v>
      </c>
      <c r="AB24" s="1574">
        <v>1</v>
      </c>
      <c r="AC24" s="1574">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23"/>
      <c r="Q25" s="1570" t="str">
        <f>B25</f>
        <v>毗邻道路的类型与等级</v>
      </c>
      <c r="R25" s="1571" t="s">
        <v>8</v>
      </c>
      <c r="S25" s="1572">
        <f>F25</f>
        <v>100</v>
      </c>
      <c r="T25" s="1571" t="s">
        <v>8</v>
      </c>
      <c r="U25" s="1572">
        <f>H25</f>
        <v>100</v>
      </c>
      <c r="V25" s="1571" t="s">
        <v>8</v>
      </c>
      <c r="W25" s="1572">
        <f>J25</f>
        <v>100</v>
      </c>
      <c r="X25" s="1565"/>
      <c r="Y25" s="3423"/>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23"/>
      <c r="Q26" s="1570"/>
      <c r="R26" s="1571"/>
      <c r="S26" s="1572"/>
      <c r="T26" s="1571"/>
      <c r="U26" s="1572"/>
      <c r="V26" s="1571"/>
      <c r="W26" s="1572"/>
      <c r="X26" s="1565"/>
      <c r="Y26" s="3423"/>
      <c r="Z26" s="1573"/>
      <c r="AA26" s="1574">
        <v>1</v>
      </c>
      <c r="AB26" s="1574">
        <v>1</v>
      </c>
      <c r="AC26" s="1574">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23"/>
      <c r="Q27" s="1570" t="str">
        <f t="shared" ref="Q27:Q47" si="11">B27</f>
        <v>楼层</v>
      </c>
      <c r="R27" s="1571" t="s">
        <v>8</v>
      </c>
      <c r="S27" s="1572">
        <f>F27</f>
        <v>100</v>
      </c>
      <c r="T27" s="1571" t="s">
        <v>8</v>
      </c>
      <c r="U27" s="1572">
        <f>H27</f>
        <v>100</v>
      </c>
      <c r="V27" s="1571" t="s">
        <v>8</v>
      </c>
      <c r="W27" s="1572">
        <f>J27</f>
        <v>100</v>
      </c>
      <c r="X27" s="1565"/>
      <c r="Y27" s="3423"/>
      <c r="Z27" s="1573" t="str">
        <f>Q27</f>
        <v>楼层</v>
      </c>
      <c r="AA27" s="1574">
        <f t="shared" si="3"/>
        <v>1</v>
      </c>
      <c r="AB27" s="1574">
        <f t="shared" si="4"/>
        <v>1</v>
      </c>
      <c r="AC27" s="1574">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23"/>
      <c r="Q28" s="1149" t="str">
        <f t="shared" si="11"/>
        <v>朝向</v>
      </c>
      <c r="R28" s="1566" t="s">
        <v>8</v>
      </c>
      <c r="S28" s="1567">
        <f>F28</f>
        <v>100</v>
      </c>
      <c r="T28" s="1566" t="s">
        <v>8</v>
      </c>
      <c r="U28" s="1567">
        <f>H28</f>
        <v>100</v>
      </c>
      <c r="V28" s="1566" t="s">
        <v>8</v>
      </c>
      <c r="W28" s="1567">
        <f>J28</f>
        <v>100</v>
      </c>
      <c r="X28" s="1568"/>
      <c r="Y28" s="3423"/>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23"/>
      <c r="Q29" s="1570">
        <f t="shared" si="11"/>
        <v>111</v>
      </c>
      <c r="R29" s="1571" t="s">
        <v>8</v>
      </c>
      <c r="S29" s="1572">
        <f t="shared" ref="S29:S47" si="12">F29</f>
        <v>100</v>
      </c>
      <c r="T29" s="1571" t="s">
        <v>8</v>
      </c>
      <c r="U29" s="1572">
        <f t="shared" ref="U29:U47" si="13">H29</f>
        <v>100</v>
      </c>
      <c r="V29" s="1571" t="s">
        <v>8</v>
      </c>
      <c r="W29" s="1572">
        <f t="shared" ref="W29:W47" si="14">J29</f>
        <v>100</v>
      </c>
      <c r="X29" s="1565"/>
      <c r="Y29" s="3423"/>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23"/>
      <c r="Q30" s="1570">
        <f t="shared" si="11"/>
        <v>111</v>
      </c>
      <c r="R30" s="1571" t="s">
        <v>8</v>
      </c>
      <c r="S30" s="1572">
        <f t="shared" si="12"/>
        <v>100</v>
      </c>
      <c r="T30" s="1571" t="s">
        <v>8</v>
      </c>
      <c r="U30" s="1572">
        <f t="shared" si="13"/>
        <v>100</v>
      </c>
      <c r="V30" s="1571" t="s">
        <v>8</v>
      </c>
      <c r="W30" s="1572">
        <f t="shared" si="14"/>
        <v>100</v>
      </c>
      <c r="X30" s="1565"/>
      <c r="Y30" s="3423"/>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23"/>
      <c r="Q31" s="1570">
        <f t="shared" si="11"/>
        <v>111</v>
      </c>
      <c r="R31" s="1571" t="s">
        <v>8</v>
      </c>
      <c r="S31" s="1572">
        <f t="shared" si="12"/>
        <v>100</v>
      </c>
      <c r="T31" s="1571" t="s">
        <v>8</v>
      </c>
      <c r="U31" s="1572">
        <f t="shared" si="13"/>
        <v>100</v>
      </c>
      <c r="V31" s="1571" t="s">
        <v>8</v>
      </c>
      <c r="W31" s="1572">
        <f t="shared" si="14"/>
        <v>100</v>
      </c>
      <c r="X31" s="1565"/>
      <c r="Y31" s="3423"/>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23"/>
      <c r="Q32" s="1570">
        <f t="shared" si="11"/>
        <v>111</v>
      </c>
      <c r="R32" s="1571" t="s">
        <v>8</v>
      </c>
      <c r="S32" s="1572">
        <f t="shared" si="12"/>
        <v>100</v>
      </c>
      <c r="T32" s="1571" t="s">
        <v>8</v>
      </c>
      <c r="U32" s="1572">
        <f t="shared" si="13"/>
        <v>100</v>
      </c>
      <c r="V32" s="1571" t="s">
        <v>8</v>
      </c>
      <c r="W32" s="1572">
        <f t="shared" si="14"/>
        <v>100</v>
      </c>
      <c r="X32" s="1565"/>
      <c r="Y32" s="3423"/>
      <c r="Z32" s="1573">
        <f t="shared" si="15"/>
        <v>111</v>
      </c>
      <c r="AA32" s="1574">
        <f t="shared" si="3"/>
        <v>1</v>
      </c>
      <c r="AB32" s="1574">
        <f t="shared" si="4"/>
        <v>1</v>
      </c>
      <c r="AC32" s="1574">
        <f t="shared" si="5"/>
        <v>1</v>
      </c>
    </row>
    <row r="33" spans="1:29" ht="15">
      <c r="A33" s="2928" t="s">
        <v>2717</v>
      </c>
      <c r="B33" s="171"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24" t="s">
        <v>515</v>
      </c>
      <c r="Q33" s="1570" t="str">
        <f t="shared" si="11"/>
        <v>建筑类型</v>
      </c>
      <c r="R33" s="1571" t="s">
        <v>8</v>
      </c>
      <c r="S33" s="1572">
        <f t="shared" si="12"/>
        <v>100</v>
      </c>
      <c r="T33" s="1571" t="s">
        <v>8</v>
      </c>
      <c r="U33" s="1572">
        <f t="shared" si="13"/>
        <v>100</v>
      </c>
      <c r="V33" s="1571" t="s">
        <v>8</v>
      </c>
      <c r="W33" s="1572">
        <f t="shared" si="14"/>
        <v>100</v>
      </c>
      <c r="X33" s="1565"/>
      <c r="Y33" s="3425" t="s">
        <v>515</v>
      </c>
      <c r="Z33" s="1573" t="str">
        <f t="shared" si="15"/>
        <v>建筑类型</v>
      </c>
      <c r="AA33" s="1574">
        <f t="shared" si="3"/>
        <v>1</v>
      </c>
      <c r="AB33" s="1574">
        <f t="shared" si="4"/>
        <v>1</v>
      </c>
      <c r="AC33" s="1574">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25"/>
      <c r="Q34" s="1603" t="str">
        <f t="shared" si="11"/>
        <v>项目建筑规模</v>
      </c>
      <c r="R34" s="1575" t="s">
        <v>8</v>
      </c>
      <c r="S34" s="1576" t="e">
        <f t="shared" si="12"/>
        <v>#N/A</v>
      </c>
      <c r="T34" s="1575" t="s">
        <v>8</v>
      </c>
      <c r="U34" s="1576" t="e">
        <f t="shared" si="13"/>
        <v>#N/A</v>
      </c>
      <c r="V34" s="1575" t="s">
        <v>8</v>
      </c>
      <c r="W34" s="1576" t="e">
        <f t="shared" si="14"/>
        <v>#N/A</v>
      </c>
      <c r="X34" s="1577"/>
      <c r="Y34" s="3425"/>
      <c r="Z34" s="1578" t="str">
        <f t="shared" si="15"/>
        <v>项目建筑规模</v>
      </c>
      <c r="AA34" s="1574" t="e">
        <f t="shared" si="3"/>
        <v>#N/A</v>
      </c>
      <c r="AB34" s="1574" t="e">
        <f t="shared" si="4"/>
        <v>#N/A</v>
      </c>
      <c r="AC34" s="1574"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25"/>
      <c r="Q35" s="1570" t="str">
        <f t="shared" si="11"/>
        <v>建筑结构</v>
      </c>
      <c r="R35" s="1571" t="s">
        <v>8</v>
      </c>
      <c r="S35" s="1572">
        <f t="shared" si="12"/>
        <v>100</v>
      </c>
      <c r="T35" s="1571" t="s">
        <v>8</v>
      </c>
      <c r="U35" s="1572">
        <f t="shared" si="13"/>
        <v>100</v>
      </c>
      <c r="V35" s="1571" t="s">
        <v>8</v>
      </c>
      <c r="W35" s="1572">
        <f t="shared" si="14"/>
        <v>100</v>
      </c>
      <c r="X35" s="1565"/>
      <c r="Y35" s="3425"/>
      <c r="Z35" s="1573" t="str">
        <f t="shared" si="15"/>
        <v>建筑结构</v>
      </c>
      <c r="AA35" s="1574">
        <f t="shared" si="3"/>
        <v>1</v>
      </c>
      <c r="AB35" s="1574">
        <f t="shared" si="4"/>
        <v>1</v>
      </c>
      <c r="AC35" s="1574">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25"/>
      <c r="Q36" s="1570" t="str">
        <f t="shared" si="11"/>
        <v>公共部分装修</v>
      </c>
      <c r="R36" s="1571" t="s">
        <v>8</v>
      </c>
      <c r="S36" s="1572">
        <f t="shared" si="12"/>
        <v>100</v>
      </c>
      <c r="T36" s="1571" t="s">
        <v>8</v>
      </c>
      <c r="U36" s="1572">
        <f t="shared" si="13"/>
        <v>100</v>
      </c>
      <c r="V36" s="1571" t="s">
        <v>8</v>
      </c>
      <c r="W36" s="1572">
        <f t="shared" si="14"/>
        <v>100</v>
      </c>
      <c r="X36" s="1565"/>
      <c r="Y36" s="3425"/>
      <c r="Z36" s="1573" t="str">
        <f t="shared" si="15"/>
        <v>公共部分装修</v>
      </c>
      <c r="AA36" s="1574">
        <f t="shared" si="3"/>
        <v>1</v>
      </c>
      <c r="AB36" s="1574">
        <f t="shared" si="4"/>
        <v>1</v>
      </c>
      <c r="AC36" s="1574">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25"/>
      <c r="Q37" s="1570" t="str">
        <f t="shared" si="11"/>
        <v>成新度</v>
      </c>
      <c r="R37" s="1571" t="s">
        <v>8</v>
      </c>
      <c r="S37" s="1572" t="e">
        <f t="shared" si="12"/>
        <v>#N/A</v>
      </c>
      <c r="T37" s="1571" t="s">
        <v>8</v>
      </c>
      <c r="U37" s="1572" t="e">
        <f t="shared" si="13"/>
        <v>#N/A</v>
      </c>
      <c r="V37" s="1571" t="s">
        <v>8</v>
      </c>
      <c r="W37" s="1572" t="e">
        <f t="shared" si="14"/>
        <v>#N/A</v>
      </c>
      <c r="X37" s="1565"/>
      <c r="Y37" s="3425"/>
      <c r="Z37" s="1573" t="str">
        <f t="shared" si="15"/>
        <v>成新度</v>
      </c>
      <c r="AA37" s="1574" t="e">
        <f t="shared" si="3"/>
        <v>#N/A</v>
      </c>
      <c r="AB37" s="1574" t="e">
        <f t="shared" si="4"/>
        <v>#N/A</v>
      </c>
      <c r="AC37" s="1574"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25"/>
      <c r="Q38" s="1149" t="str">
        <f t="shared" si="11"/>
        <v>写字楼等级</v>
      </c>
      <c r="R38" s="1566" t="s">
        <v>8</v>
      </c>
      <c r="S38" s="1567">
        <f t="shared" si="12"/>
        <v>100</v>
      </c>
      <c r="T38" s="1566" t="s">
        <v>8</v>
      </c>
      <c r="U38" s="1567">
        <f t="shared" si="13"/>
        <v>100</v>
      </c>
      <c r="V38" s="1566" t="s">
        <v>8</v>
      </c>
      <c r="W38" s="1567">
        <f t="shared" si="14"/>
        <v>100</v>
      </c>
      <c r="X38" s="1568"/>
      <c r="Y38" s="3425"/>
      <c r="Z38" s="1148" t="str">
        <f t="shared" si="15"/>
        <v>写字楼等级</v>
      </c>
      <c r="AA38" s="1569">
        <f t="shared" si="3"/>
        <v>1</v>
      </c>
      <c r="AB38" s="1569">
        <f t="shared" si="4"/>
        <v>1</v>
      </c>
      <c r="AC38" s="1569">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25" t="s">
        <v>515</v>
      </c>
      <c r="Q39" s="1570" t="str">
        <f t="shared" si="11"/>
        <v>物业管理</v>
      </c>
      <c r="R39" s="1571" t="s">
        <v>8</v>
      </c>
      <c r="S39" s="1572">
        <f t="shared" si="12"/>
        <v>100</v>
      </c>
      <c r="T39" s="1571" t="s">
        <v>8</v>
      </c>
      <c r="U39" s="1572">
        <f t="shared" si="13"/>
        <v>100</v>
      </c>
      <c r="V39" s="1571" t="s">
        <v>8</v>
      </c>
      <c r="W39" s="1572">
        <f t="shared" si="14"/>
        <v>100</v>
      </c>
      <c r="X39" s="1565"/>
      <c r="Y39" s="3425" t="s">
        <v>515</v>
      </c>
      <c r="Z39" s="1573" t="str">
        <f t="shared" si="15"/>
        <v>物业管理</v>
      </c>
      <c r="AA39" s="1574">
        <f t="shared" si="3"/>
        <v>1</v>
      </c>
      <c r="AB39" s="1574">
        <f t="shared" si="4"/>
        <v>1</v>
      </c>
      <c r="AC39" s="1574">
        <f t="shared" si="5"/>
        <v>1</v>
      </c>
    </row>
    <row r="40" spans="1:29" ht="15">
      <c r="A40" s="592"/>
      <c r="B40" s="1892" t="s">
        <v>2528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25"/>
      <c r="Q40" s="1570" t="str">
        <f t="shared" si="11"/>
        <v>市政基础设施</v>
      </c>
      <c r="R40" s="1571" t="s">
        <v>8</v>
      </c>
      <c r="S40" s="1572">
        <f t="shared" si="12"/>
        <v>100</v>
      </c>
      <c r="T40" s="1571" t="s">
        <v>8</v>
      </c>
      <c r="U40" s="1572">
        <f t="shared" si="13"/>
        <v>100</v>
      </c>
      <c r="V40" s="1571" t="s">
        <v>8</v>
      </c>
      <c r="W40" s="1572">
        <f t="shared" si="14"/>
        <v>100</v>
      </c>
      <c r="X40" s="1565"/>
      <c r="Y40" s="3425"/>
      <c r="Z40" s="1573" t="str">
        <f t="shared" si="15"/>
        <v>市政基础设施</v>
      </c>
      <c r="AA40" s="1574">
        <f t="shared" si="3"/>
        <v>1</v>
      </c>
      <c r="AB40" s="1574">
        <f t="shared" si="4"/>
        <v>1</v>
      </c>
      <c r="AC40" s="1574">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25"/>
      <c r="Q41" s="1570" t="str">
        <f t="shared" si="11"/>
        <v>层高</v>
      </c>
      <c r="R41" s="1571" t="s">
        <v>8</v>
      </c>
      <c r="S41" s="1572">
        <f t="shared" si="12"/>
        <v>100</v>
      </c>
      <c r="T41" s="1571" t="s">
        <v>8</v>
      </c>
      <c r="U41" s="1572">
        <f t="shared" si="13"/>
        <v>100</v>
      </c>
      <c r="V41" s="1571" t="s">
        <v>8</v>
      </c>
      <c r="W41" s="1572">
        <f t="shared" si="14"/>
        <v>100</v>
      </c>
      <c r="X41" s="1565"/>
      <c r="Y41" s="3425"/>
      <c r="Z41" s="1573" t="str">
        <f t="shared" si="15"/>
        <v>层高</v>
      </c>
      <c r="AA41" s="1574">
        <f t="shared" si="3"/>
        <v>1</v>
      </c>
      <c r="AB41" s="1574">
        <f t="shared" si="4"/>
        <v>1</v>
      </c>
      <c r="AC41" s="1574">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25"/>
      <c r="Q42" s="1603" t="str">
        <f t="shared" si="11"/>
        <v>单套建筑面积</v>
      </c>
      <c r="R42" s="1575" t="s">
        <v>8</v>
      </c>
      <c r="S42" s="1576">
        <f t="shared" si="12"/>
        <v>100</v>
      </c>
      <c r="T42" s="1575" t="s">
        <v>8</v>
      </c>
      <c r="U42" s="1576">
        <f t="shared" si="13"/>
        <v>100</v>
      </c>
      <c r="V42" s="1575" t="s">
        <v>8</v>
      </c>
      <c r="W42" s="1576">
        <f t="shared" si="14"/>
        <v>100</v>
      </c>
      <c r="X42" s="1577"/>
      <c r="Y42" s="3425"/>
      <c r="Z42" s="1578" t="str">
        <f t="shared" si="15"/>
        <v>单套建筑面积</v>
      </c>
      <c r="AA42" s="1574">
        <f t="shared" si="3"/>
        <v>1</v>
      </c>
      <c r="AB42" s="1574">
        <f t="shared" si="4"/>
        <v>1</v>
      </c>
      <c r="AC42" s="1574">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25"/>
      <c r="Q43" s="1570" t="str">
        <f t="shared" si="11"/>
        <v>内部装修</v>
      </c>
      <c r="R43" s="1571" t="s">
        <v>8</v>
      </c>
      <c r="S43" s="1572">
        <f t="shared" si="12"/>
        <v>100</v>
      </c>
      <c r="T43" s="1571" t="s">
        <v>8</v>
      </c>
      <c r="U43" s="1572">
        <f t="shared" si="13"/>
        <v>100</v>
      </c>
      <c r="V43" s="1571" t="s">
        <v>8</v>
      </c>
      <c r="W43" s="1572">
        <f t="shared" si="14"/>
        <v>100</v>
      </c>
      <c r="X43" s="1565"/>
      <c r="Y43" s="3425"/>
      <c r="Z43" s="1573" t="str">
        <f t="shared" si="15"/>
        <v>内部装修</v>
      </c>
      <c r="AA43" s="1574">
        <f t="shared" si="3"/>
        <v>1</v>
      </c>
      <c r="AB43" s="1574">
        <f t="shared" si="4"/>
        <v>1</v>
      </c>
      <c r="AC43" s="1574">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25"/>
      <c r="Q44" s="1570" t="str">
        <f t="shared" si="11"/>
        <v>内部装修维护情况</v>
      </c>
      <c r="R44" s="1571" t="s">
        <v>8</v>
      </c>
      <c r="S44" s="1572">
        <f t="shared" si="12"/>
        <v>100</v>
      </c>
      <c r="T44" s="1571" t="s">
        <v>8</v>
      </c>
      <c r="U44" s="1572">
        <f t="shared" si="13"/>
        <v>100</v>
      </c>
      <c r="V44" s="1571" t="s">
        <v>8</v>
      </c>
      <c r="W44" s="1572">
        <f t="shared" si="14"/>
        <v>100</v>
      </c>
      <c r="X44" s="1565"/>
      <c r="Y44" s="3425"/>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25"/>
      <c r="Q45" s="1149">
        <f t="shared" si="11"/>
        <v>111</v>
      </c>
      <c r="R45" s="1566" t="s">
        <v>8</v>
      </c>
      <c r="S45" s="1567">
        <f t="shared" si="12"/>
        <v>100</v>
      </c>
      <c r="T45" s="1566" t="s">
        <v>8</v>
      </c>
      <c r="U45" s="1567">
        <f t="shared" si="13"/>
        <v>100</v>
      </c>
      <c r="V45" s="1566" t="s">
        <v>8</v>
      </c>
      <c r="W45" s="1567">
        <f t="shared" si="14"/>
        <v>100</v>
      </c>
      <c r="X45" s="1568"/>
      <c r="Y45" s="3425"/>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25"/>
      <c r="Q46" s="1570">
        <f t="shared" si="11"/>
        <v>111</v>
      </c>
      <c r="R46" s="1571" t="s">
        <v>8</v>
      </c>
      <c r="S46" s="1572">
        <f t="shared" si="12"/>
        <v>100</v>
      </c>
      <c r="T46" s="1571" t="s">
        <v>8</v>
      </c>
      <c r="U46" s="1572">
        <f t="shared" si="13"/>
        <v>100</v>
      </c>
      <c r="V46" s="1571" t="s">
        <v>8</v>
      </c>
      <c r="W46" s="1572">
        <f t="shared" si="14"/>
        <v>100</v>
      </c>
      <c r="X46" s="1565"/>
      <c r="Y46" s="3425"/>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03"/>
      <c r="Q47" s="1570">
        <f t="shared" si="11"/>
        <v>111</v>
      </c>
      <c r="R47" s="1571" t="s">
        <v>8</v>
      </c>
      <c r="S47" s="1572">
        <f t="shared" si="12"/>
        <v>100</v>
      </c>
      <c r="T47" s="1571" t="s">
        <v>8</v>
      </c>
      <c r="U47" s="1572">
        <f t="shared" si="13"/>
        <v>100</v>
      </c>
      <c r="V47" s="1571" t="s">
        <v>8</v>
      </c>
      <c r="W47" s="1572">
        <f t="shared" si="14"/>
        <v>100</v>
      </c>
      <c r="X47" s="1565"/>
      <c r="Y47" s="3503"/>
      <c r="Z47" s="1573">
        <f t="shared" si="15"/>
        <v>111</v>
      </c>
      <c r="AA47" s="1574">
        <f t="shared" si="3"/>
        <v>1</v>
      </c>
      <c r="AB47" s="1574">
        <f t="shared" si="4"/>
        <v>1</v>
      </c>
      <c r="AC47" s="1574">
        <f t="shared" si="5"/>
        <v>1</v>
      </c>
    </row>
    <row r="48" spans="1:29" ht="15">
      <c r="A48" s="605" t="s">
        <v>701</v>
      </c>
      <c r="B48" s="885"/>
      <c r="C48" s="2648" t="s">
        <v>1</v>
      </c>
      <c r="D48" s="2649"/>
      <c r="E48" s="2650"/>
      <c r="F48" s="2651"/>
      <c r="G48" s="2652"/>
      <c r="H48" s="2653"/>
      <c r="I48" s="2650"/>
      <c r="J48" s="2653"/>
      <c r="K48" s="1609"/>
      <c r="L48" s="2141"/>
      <c r="M48" s="2131"/>
      <c r="N48" s="2131"/>
      <c r="O48" s="2131"/>
      <c r="P48" s="3443" t="str">
        <f>A48</f>
        <v>成交单价（元/平方米）</v>
      </c>
      <c r="Q48" s="3420"/>
      <c r="R48" s="3502">
        <f>E48</f>
        <v>0</v>
      </c>
      <c r="S48" s="3502"/>
      <c r="T48" s="3502">
        <f>G48</f>
        <v>0</v>
      </c>
      <c r="U48" s="3502"/>
      <c r="V48" s="3502">
        <f>I48</f>
        <v>0</v>
      </c>
      <c r="W48" s="3502"/>
      <c r="X48" s="1557"/>
      <c r="Y48" s="1579"/>
      <c r="Z48" s="1557"/>
      <c r="AA48" s="1557"/>
      <c r="AB48" s="1557"/>
      <c r="AC48" s="1557"/>
    </row>
    <row r="49" spans="1:29" ht="15.75" thickBot="1">
      <c r="A49" s="613" t="s">
        <v>2722</v>
      </c>
      <c r="B49" s="886"/>
      <c r="C49" s="2654" t="e">
        <f>R50</f>
        <v>#DIV/0!</v>
      </c>
      <c r="D49" s="2655"/>
      <c r="E49" s="2656" t="e">
        <f>R49</f>
        <v>#DIV/0!</v>
      </c>
      <c r="F49" s="2656"/>
      <c r="G49" s="2654" t="e">
        <f>T49</f>
        <v>#DIV/0!</v>
      </c>
      <c r="H49" s="2655"/>
      <c r="I49" s="2656" t="e">
        <f>V49</f>
        <v>#DIV/0!</v>
      </c>
      <c r="J49" s="2655"/>
      <c r="K49" s="1610"/>
      <c r="L49" s="2141"/>
      <c r="M49" s="2131"/>
      <c r="N49" s="2131"/>
      <c r="O49" s="2131"/>
      <c r="P49" s="3443" t="str">
        <f>A49</f>
        <v>比较价格（元/平方米）</v>
      </c>
      <c r="Q49" s="3420"/>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7"/>
      <c r="Y49" s="1557"/>
      <c r="Z49" s="1557"/>
      <c r="AA49" s="1557"/>
      <c r="AB49" s="1557"/>
      <c r="AC49" s="1557"/>
    </row>
    <row r="50" spans="1:29" ht="15.75" thickBot="1">
      <c r="A50" s="619" t="s">
        <v>2887</v>
      </c>
      <c r="B50" s="620"/>
      <c r="C50" s="2657" t="e">
        <f>R50</f>
        <v>#DIV/0!</v>
      </c>
      <c r="D50" s="2657"/>
      <c r="E50" s="2657"/>
      <c r="F50" s="2657"/>
      <c r="G50" s="2657"/>
      <c r="H50" s="2657"/>
      <c r="I50" s="2657"/>
      <c r="J50" s="2657"/>
      <c r="K50" s="1611"/>
      <c r="L50" s="2141"/>
      <c r="M50" s="2131"/>
      <c r="N50" s="2131"/>
      <c r="O50" s="2131"/>
      <c r="P50" s="3530" t="str">
        <f>A50</f>
        <v>估价对象XX用房的比较价格（楼面单价，元/平方米）</v>
      </c>
      <c r="Q50" s="3443"/>
      <c r="R50" s="3501" t="e">
        <f>IF(F1="售价",ROUND(AVERAGE(R49:V49),0),ROUND(AVERAGE(R49:V49),1))</f>
        <v>#DIV/0!</v>
      </c>
      <c r="S50" s="3501"/>
      <c r="T50" s="3501"/>
      <c r="U50" s="3501"/>
      <c r="V50" s="3501"/>
      <c r="W50" s="3501"/>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539</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494</v>
      </c>
      <c r="B59" s="644"/>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2520</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2521</v>
      </c>
      <c r="C83" s="2619" t="s">
        <v>2522</v>
      </c>
      <c r="D83" s="2619" t="s">
        <v>2523</v>
      </c>
      <c r="E83" s="2619" t="s">
        <v>2524</v>
      </c>
      <c r="F83" s="2619" t="s">
        <v>2525</v>
      </c>
      <c r="G83" s="2619" t="s">
        <v>2526</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486</v>
      </c>
      <c r="B4" s="511"/>
      <c r="C4" s="3426" t="s">
        <v>487</v>
      </c>
      <c r="D4" s="3427"/>
      <c r="E4" s="3451" t="s">
        <v>488</v>
      </c>
      <c r="F4" s="3452"/>
      <c r="G4" s="3426" t="s">
        <v>489</v>
      </c>
      <c r="H4" s="3427"/>
      <c r="I4" s="3426" t="s">
        <v>490</v>
      </c>
      <c r="J4" s="3427"/>
      <c r="K4" s="512" t="s">
        <v>491</v>
      </c>
      <c r="L4" s="2130"/>
      <c r="M4" s="2131"/>
      <c r="N4" s="2131"/>
      <c r="O4" s="2131"/>
      <c r="P4" s="3428" t="s">
        <v>492</v>
      </c>
      <c r="Q4" s="3429"/>
      <c r="R4" s="3414" t="s">
        <v>488</v>
      </c>
      <c r="S4" s="3415"/>
      <c r="T4" s="3414" t="s">
        <v>489</v>
      </c>
      <c r="U4" s="3415"/>
      <c r="V4" s="3434" t="s">
        <v>490</v>
      </c>
      <c r="W4" s="3434"/>
      <c r="X4" s="1565"/>
      <c r="Y4" s="3414" t="s">
        <v>492</v>
      </c>
      <c r="Z4" s="3415"/>
      <c r="AA4" s="3409" t="s">
        <v>488</v>
      </c>
      <c r="AB4" s="3410" t="s">
        <v>489</v>
      </c>
      <c r="AC4" s="3409" t="s">
        <v>490</v>
      </c>
    </row>
    <row r="5" spans="1:29" ht="15">
      <c r="A5" s="513"/>
      <c r="B5" s="514"/>
      <c r="C5" s="3455" t="s">
        <v>2881</v>
      </c>
      <c r="D5" s="3456"/>
      <c r="E5" s="3453" t="s">
        <v>2882</v>
      </c>
      <c r="F5" s="3454"/>
      <c r="G5" s="3455" t="s">
        <v>2883</v>
      </c>
      <c r="H5" s="3456"/>
      <c r="I5" s="3455" t="s">
        <v>2884</v>
      </c>
      <c r="J5" s="3456"/>
      <c r="K5" s="512"/>
      <c r="L5" s="2130"/>
      <c r="M5" s="2131"/>
      <c r="N5" s="2131"/>
      <c r="O5" s="2131"/>
      <c r="P5" s="3430"/>
      <c r="Q5" s="3431"/>
      <c r="R5" s="3416"/>
      <c r="S5" s="3417"/>
      <c r="T5" s="3416"/>
      <c r="U5" s="3417"/>
      <c r="V5" s="3434"/>
      <c r="W5" s="3434"/>
      <c r="X5" s="1565"/>
      <c r="Y5" s="3416"/>
      <c r="Z5" s="3417"/>
      <c r="AA5" s="3410"/>
      <c r="AB5" s="3410"/>
      <c r="AC5" s="3410"/>
    </row>
    <row r="6" spans="1:29" ht="15.75" thickBot="1">
      <c r="A6" s="515"/>
      <c r="B6" s="516"/>
      <c r="C6" s="3457" t="s">
        <v>2885</v>
      </c>
      <c r="D6" s="3458"/>
      <c r="E6" s="3459" t="s">
        <v>2885</v>
      </c>
      <c r="F6" s="3460"/>
      <c r="G6" s="3457" t="s">
        <v>2885</v>
      </c>
      <c r="H6" s="3458"/>
      <c r="I6" s="3457" t="s">
        <v>2885</v>
      </c>
      <c r="J6" s="3458"/>
      <c r="K6" s="512" t="s">
        <v>493</v>
      </c>
      <c r="L6" s="2130"/>
      <c r="M6" s="2131"/>
      <c r="N6" s="2131"/>
      <c r="O6" s="2131"/>
      <c r="P6" s="3432"/>
      <c r="Q6" s="3433"/>
      <c r="R6" s="3416"/>
      <c r="S6" s="3417"/>
      <c r="T6" s="3418"/>
      <c r="U6" s="3419"/>
      <c r="V6" s="3434"/>
      <c r="W6" s="3434"/>
      <c r="X6" s="1565"/>
      <c r="Y6" s="3418"/>
      <c r="Z6" s="3419"/>
      <c r="AA6" s="3411"/>
      <c r="AB6" s="3411"/>
      <c r="AC6" s="3411"/>
    </row>
    <row r="7" spans="1:29" s="1218" customFormat="1" ht="15.75" thickBot="1">
      <c r="A7" s="2933"/>
      <c r="B7" s="2940" t="s">
        <v>494</v>
      </c>
      <c r="C7" s="517">
        <f>'数据-取费表'!B2</f>
        <v>43234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12" t="s">
        <v>495</v>
      </c>
      <c r="Q7" s="3421"/>
      <c r="R7" s="1566" t="s">
        <v>8</v>
      </c>
      <c r="S7" s="1567">
        <f t="shared" ref="S7:S15" si="0">F7</f>
        <v>0</v>
      </c>
      <c r="T7" s="1566" t="s">
        <v>8</v>
      </c>
      <c r="U7" s="1567">
        <f t="shared" ref="U7:U15" si="1">H7</f>
        <v>0</v>
      </c>
      <c r="V7" s="1566" t="s">
        <v>8</v>
      </c>
      <c r="W7" s="1567">
        <f t="shared" ref="W7:W15" si="2">J7</f>
        <v>0</v>
      </c>
      <c r="X7" s="1568"/>
      <c r="Y7" s="3412" t="s">
        <v>495</v>
      </c>
      <c r="Z7" s="3413"/>
      <c r="AA7" s="1569" t="e">
        <f>D7/F7</f>
        <v>#DIV/0!</v>
      </c>
      <c r="AB7" s="1569" t="e">
        <f>D7/H7</f>
        <v>#DIV/0!</v>
      </c>
      <c r="AC7" s="1569" t="e">
        <f>D7/J7</f>
        <v>#DIV/0!</v>
      </c>
    </row>
    <row r="8" spans="1:29" s="1218" customFormat="1" ht="15.75" thickBot="1">
      <c r="A8" s="2934"/>
      <c r="B8" s="2941"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12" t="s">
        <v>498</v>
      </c>
      <c r="Q8" s="3413"/>
      <c r="R8" s="1566" t="s">
        <v>8</v>
      </c>
      <c r="S8" s="1567">
        <f t="shared" si="0"/>
        <v>0</v>
      </c>
      <c r="T8" s="1566" t="s">
        <v>8</v>
      </c>
      <c r="U8" s="1567">
        <f t="shared" si="1"/>
        <v>0</v>
      </c>
      <c r="V8" s="1566" t="s">
        <v>8</v>
      </c>
      <c r="W8" s="1567">
        <f t="shared" si="2"/>
        <v>0</v>
      </c>
      <c r="X8" s="1568"/>
      <c r="Y8" s="3412" t="s">
        <v>498</v>
      </c>
      <c r="Z8" s="3413"/>
      <c r="AA8" s="1569" t="e">
        <f t="shared" ref="AA8:AA40" si="3">D8/F8</f>
        <v>#DIV/0!</v>
      </c>
      <c r="AB8" s="1569" t="e">
        <f t="shared" ref="AB8:AB40" si="4">D8/H8</f>
        <v>#DIV/0!</v>
      </c>
      <c r="AC8" s="1569" t="e">
        <f t="shared" ref="AC8:AC40" si="5">D8/J8</f>
        <v>#DIV/0!</v>
      </c>
    </row>
    <row r="9" spans="1:29" s="1218" customFormat="1" ht="15">
      <c r="A9" s="2935"/>
      <c r="B9" s="2942" t="s">
        <v>2718</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420" t="s">
        <v>500</v>
      </c>
      <c r="Q9" s="1149" t="str">
        <f t="shared" ref="Q9:Q15" si="6">B9</f>
        <v>用途</v>
      </c>
      <c r="R9" s="1566" t="s">
        <v>8</v>
      </c>
      <c r="S9" s="1567">
        <f t="shared" si="0"/>
        <v>100</v>
      </c>
      <c r="T9" s="1566" t="s">
        <v>8</v>
      </c>
      <c r="U9" s="1567">
        <f t="shared" si="1"/>
        <v>100</v>
      </c>
      <c r="V9" s="1566" t="s">
        <v>8</v>
      </c>
      <c r="W9" s="1567">
        <f t="shared" si="2"/>
        <v>100</v>
      </c>
      <c r="X9" s="1568"/>
      <c r="Y9" s="3377"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420"/>
      <c r="Q11" s="1149" t="str">
        <f t="shared" si="6"/>
        <v>容积率</v>
      </c>
      <c r="R11" s="1566" t="s">
        <v>8</v>
      </c>
      <c r="S11" s="1567" t="e">
        <f t="shared" si="0"/>
        <v>#N/A</v>
      </c>
      <c r="T11" s="1566" t="s">
        <v>8</v>
      </c>
      <c r="U11" s="1567" t="e">
        <f t="shared" si="1"/>
        <v>#N/A</v>
      </c>
      <c r="V11" s="1566" t="s">
        <v>8</v>
      </c>
      <c r="W11" s="1567" t="e">
        <f t="shared" si="2"/>
        <v>#N/A</v>
      </c>
      <c r="X11" s="1568"/>
      <c r="Y11" s="3377"/>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420"/>
      <c r="Q12" s="1149">
        <f t="shared" si="6"/>
        <v>111</v>
      </c>
      <c r="R12" s="1566" t="s">
        <v>8</v>
      </c>
      <c r="S12" s="1567">
        <f t="shared" si="0"/>
        <v>100</v>
      </c>
      <c r="T12" s="1566" t="s">
        <v>8</v>
      </c>
      <c r="U12" s="1567">
        <f t="shared" si="1"/>
        <v>100</v>
      </c>
      <c r="V12" s="1566" t="s">
        <v>8</v>
      </c>
      <c r="W12" s="1567">
        <f t="shared" si="2"/>
        <v>100</v>
      </c>
      <c r="X12" s="1568"/>
      <c r="Y12" s="3377"/>
      <c r="Z12" s="1148">
        <f t="shared" si="7"/>
        <v>111</v>
      </c>
      <c r="AA12" s="1569">
        <f>D12/F12</f>
        <v>1</v>
      </c>
      <c r="AB12" s="1569">
        <f>D12/H12</f>
        <v>1</v>
      </c>
      <c r="AC12" s="1569">
        <f>D12/J12</f>
        <v>1</v>
      </c>
    </row>
    <row r="13" spans="1:29" ht="15">
      <c r="A13" s="2938"/>
      <c r="B13" s="2944">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420"/>
      <c r="Q13" s="1149">
        <f t="shared" si="6"/>
        <v>111</v>
      </c>
      <c r="R13" s="1566" t="s">
        <v>8</v>
      </c>
      <c r="S13" s="1567">
        <f t="shared" si="0"/>
        <v>100</v>
      </c>
      <c r="T13" s="1566" t="s">
        <v>8</v>
      </c>
      <c r="U13" s="1567">
        <f t="shared" si="1"/>
        <v>100</v>
      </c>
      <c r="V13" s="1566" t="s">
        <v>8</v>
      </c>
      <c r="W13" s="1567">
        <f t="shared" si="2"/>
        <v>100</v>
      </c>
      <c r="X13" s="1568"/>
      <c r="Y13" s="3377"/>
      <c r="Z13" s="1148">
        <f t="shared" si="7"/>
        <v>111</v>
      </c>
      <c r="AA13" s="1569">
        <f t="shared" si="3"/>
        <v>1</v>
      </c>
      <c r="AB13" s="1569">
        <f t="shared" si="4"/>
        <v>1</v>
      </c>
      <c r="AC13" s="1569">
        <f t="shared" si="5"/>
        <v>1</v>
      </c>
    </row>
    <row r="14" spans="1:29" ht="15.75" thickBot="1">
      <c r="A14" s="2939"/>
      <c r="B14" s="2945">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20"/>
      <c r="Q14" s="1149">
        <f t="shared" si="6"/>
        <v>111</v>
      </c>
      <c r="R14" s="1566" t="s">
        <v>8</v>
      </c>
      <c r="S14" s="1567">
        <f t="shared" si="0"/>
        <v>100</v>
      </c>
      <c r="T14" s="1566" t="s">
        <v>8</v>
      </c>
      <c r="U14" s="1567">
        <f t="shared" si="1"/>
        <v>100</v>
      </c>
      <c r="V14" s="1566" t="s">
        <v>8</v>
      </c>
      <c r="W14" s="1567">
        <f t="shared" si="2"/>
        <v>100</v>
      </c>
      <c r="X14" s="1568"/>
      <c r="Y14" s="3377"/>
      <c r="Z14" s="1148">
        <f t="shared" si="7"/>
        <v>111</v>
      </c>
      <c r="AA14" s="1569">
        <f t="shared" si="3"/>
        <v>1</v>
      </c>
      <c r="AB14" s="1569">
        <f t="shared" si="4"/>
        <v>1</v>
      </c>
      <c r="AC14" s="1569">
        <f t="shared" si="5"/>
        <v>1</v>
      </c>
    </row>
    <row r="15" spans="1:29" ht="15">
      <c r="A15" s="2931" t="s">
        <v>2716</v>
      </c>
      <c r="B15" s="165"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22" t="s">
        <v>505</v>
      </c>
      <c r="Q15" s="1570" t="str">
        <f t="shared" si="6"/>
        <v>产业集聚程度</v>
      </c>
      <c r="R15" s="1571" t="s">
        <v>8</v>
      </c>
      <c r="S15" s="1572">
        <f t="shared" si="0"/>
        <v>100</v>
      </c>
      <c r="T15" s="1571" t="s">
        <v>8</v>
      </c>
      <c r="U15" s="1572">
        <f t="shared" si="1"/>
        <v>100</v>
      </c>
      <c r="V15" s="1571" t="s">
        <v>8</v>
      </c>
      <c r="W15" s="1572">
        <f t="shared" si="2"/>
        <v>100</v>
      </c>
      <c r="X15" s="1565"/>
      <c r="Y15" s="3422" t="s">
        <v>505</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23"/>
      <c r="Q16" s="1570"/>
      <c r="R16" s="1571"/>
      <c r="S16" s="1572"/>
      <c r="T16" s="1571"/>
      <c r="U16" s="1572"/>
      <c r="V16" s="1571"/>
      <c r="W16" s="1572"/>
      <c r="X16" s="1565"/>
      <c r="Y16" s="3423"/>
      <c r="Z16" s="1573"/>
      <c r="AA16" s="1574">
        <v>1</v>
      </c>
      <c r="AB16" s="1574">
        <v>1</v>
      </c>
      <c r="AC16" s="1574">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23"/>
      <c r="Q17" s="1570" t="str">
        <f>B17</f>
        <v>交通便捷度</v>
      </c>
      <c r="R17" s="1571" t="s">
        <v>8</v>
      </c>
      <c r="S17" s="1572">
        <f>F17</f>
        <v>100</v>
      </c>
      <c r="T17" s="1571" t="s">
        <v>8</v>
      </c>
      <c r="U17" s="1572">
        <f>H17</f>
        <v>100</v>
      </c>
      <c r="V17" s="1571" t="s">
        <v>8</v>
      </c>
      <c r="W17" s="1572">
        <f>J17</f>
        <v>100</v>
      </c>
      <c r="X17" s="1565"/>
      <c r="Y17" s="342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23"/>
      <c r="Q18" s="1570"/>
      <c r="R18" s="1571"/>
      <c r="S18" s="1572"/>
      <c r="T18" s="1571"/>
      <c r="U18" s="1572"/>
      <c r="V18" s="1571"/>
      <c r="W18" s="1572"/>
      <c r="X18" s="1565"/>
      <c r="Y18" s="3423"/>
      <c r="Z18" s="1573"/>
      <c r="AA18" s="1574">
        <v>1</v>
      </c>
      <c r="AB18" s="1574">
        <v>1</v>
      </c>
      <c r="AC18" s="1574">
        <v>1</v>
      </c>
    </row>
    <row r="19" spans="1:29" ht="15">
      <c r="A19" s="530"/>
      <c r="B19" s="2624" t="s">
        <v>2509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23"/>
      <c r="Q19" s="1570" t="str">
        <f>B19</f>
        <v>公共配套设施</v>
      </c>
      <c r="R19" s="1571" t="s">
        <v>8</v>
      </c>
      <c r="S19" s="1572">
        <f>F19</f>
        <v>100</v>
      </c>
      <c r="T19" s="1571" t="s">
        <v>8</v>
      </c>
      <c r="U19" s="1572">
        <f>H19</f>
        <v>100</v>
      </c>
      <c r="V19" s="1571" t="s">
        <v>8</v>
      </c>
      <c r="W19" s="1572">
        <f>J19</f>
        <v>100</v>
      </c>
      <c r="X19" s="1565"/>
      <c r="Y19" s="3423"/>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23"/>
      <c r="Q20" s="1570"/>
      <c r="R20" s="1571"/>
      <c r="S20" s="1572"/>
      <c r="T20" s="1571"/>
      <c r="U20" s="1572"/>
      <c r="V20" s="1571"/>
      <c r="W20" s="1572"/>
      <c r="X20" s="1565"/>
      <c r="Y20" s="3423"/>
      <c r="Z20" s="1573"/>
      <c r="AA20" s="1574">
        <v>1</v>
      </c>
      <c r="AB20" s="1574">
        <v>1</v>
      </c>
      <c r="AC20" s="1574">
        <v>1</v>
      </c>
    </row>
    <row r="21" spans="1:29" ht="15">
      <c r="A21" s="530"/>
      <c r="B21" s="2612" t="s">
        <v>2521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23"/>
      <c r="Q21" s="2600" t="str">
        <f>B21</f>
        <v>基础设施水平</v>
      </c>
      <c r="R21" s="1571" t="s">
        <v>8</v>
      </c>
      <c r="S21" s="1572">
        <f>F21</f>
        <v>100</v>
      </c>
      <c r="T21" s="1571" t="s">
        <v>8</v>
      </c>
      <c r="U21" s="1572">
        <f>H21</f>
        <v>100</v>
      </c>
      <c r="V21" s="1571" t="s">
        <v>8</v>
      </c>
      <c r="W21" s="1572">
        <f>J21</f>
        <v>100</v>
      </c>
      <c r="X21" s="2602"/>
      <c r="Y21" s="3423"/>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39"/>
      <c r="M22" s="2131"/>
      <c r="N22" s="2131"/>
      <c r="O22" s="2138"/>
      <c r="P22" s="3423"/>
      <c r="Q22" s="2600"/>
      <c r="R22" s="1571"/>
      <c r="S22" s="1572"/>
      <c r="T22" s="1571"/>
      <c r="U22" s="1572"/>
      <c r="V22" s="1571"/>
      <c r="W22" s="1572"/>
      <c r="X22" s="2602"/>
      <c r="Y22" s="3423"/>
      <c r="Z22" s="2601"/>
      <c r="AA22" s="1574">
        <v>1</v>
      </c>
      <c r="AB22" s="1574">
        <v>1</v>
      </c>
      <c r="AC22" s="1574">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23"/>
      <c r="Q23" s="1570" t="str">
        <f>B23</f>
        <v>环境质量</v>
      </c>
      <c r="R23" s="1571" t="s">
        <v>8</v>
      </c>
      <c r="S23" s="1572">
        <f>F23</f>
        <v>100</v>
      </c>
      <c r="T23" s="1571" t="s">
        <v>8</v>
      </c>
      <c r="U23" s="1572">
        <f>H23</f>
        <v>100</v>
      </c>
      <c r="V23" s="1571" t="s">
        <v>8</v>
      </c>
      <c r="W23" s="1572">
        <f>J23</f>
        <v>100</v>
      </c>
      <c r="X23" s="1565"/>
      <c r="Y23" s="3423"/>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23"/>
      <c r="Q24" s="1570"/>
      <c r="R24" s="1571"/>
      <c r="S24" s="1572"/>
      <c r="T24" s="1571"/>
      <c r="U24" s="1572"/>
      <c r="V24" s="1571"/>
      <c r="W24" s="1572"/>
      <c r="X24" s="1565"/>
      <c r="Y24" s="3423"/>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23"/>
      <c r="Q25" s="1570">
        <f>B25</f>
        <v>111</v>
      </c>
      <c r="R25" s="1571" t="s">
        <v>8</v>
      </c>
      <c r="S25" s="1572">
        <f>F25</f>
        <v>100</v>
      </c>
      <c r="T25" s="1571" t="s">
        <v>8</v>
      </c>
      <c r="U25" s="1572">
        <f>H25</f>
        <v>100</v>
      </c>
      <c r="V25" s="1571" t="s">
        <v>8</v>
      </c>
      <c r="W25" s="1572">
        <f>J25</f>
        <v>100</v>
      </c>
      <c r="X25" s="1565"/>
      <c r="Y25" s="3423"/>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23"/>
      <c r="Q26" s="1570">
        <f t="shared" ref="Q26:Q40" si="11">B26</f>
        <v>111</v>
      </c>
      <c r="R26" s="1571" t="s">
        <v>8</v>
      </c>
      <c r="S26" s="1572">
        <f>F26</f>
        <v>100</v>
      </c>
      <c r="T26" s="1571" t="s">
        <v>8</v>
      </c>
      <c r="U26" s="1572">
        <f>H26</f>
        <v>100</v>
      </c>
      <c r="V26" s="1571" t="s">
        <v>8</v>
      </c>
      <c r="W26" s="1572">
        <f>J26</f>
        <v>100</v>
      </c>
      <c r="X26" s="1565"/>
      <c r="Y26" s="3423"/>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23"/>
      <c r="Q27" s="1149">
        <f t="shared" si="11"/>
        <v>111</v>
      </c>
      <c r="R27" s="1566" t="s">
        <v>8</v>
      </c>
      <c r="S27" s="1567">
        <f>F27</f>
        <v>100</v>
      </c>
      <c r="T27" s="1566" t="s">
        <v>8</v>
      </c>
      <c r="U27" s="1567">
        <f>H27</f>
        <v>100</v>
      </c>
      <c r="V27" s="1566" t="s">
        <v>8</v>
      </c>
      <c r="W27" s="1567">
        <f>J27</f>
        <v>100</v>
      </c>
      <c r="X27" s="1568"/>
      <c r="Y27" s="3423"/>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23"/>
      <c r="Q28" s="1570">
        <f t="shared" si="11"/>
        <v>111</v>
      </c>
      <c r="R28" s="1571" t="s">
        <v>8</v>
      </c>
      <c r="S28" s="1572">
        <f t="shared" ref="S28:S40" si="12">F28</f>
        <v>100</v>
      </c>
      <c r="T28" s="1571" t="s">
        <v>8</v>
      </c>
      <c r="U28" s="1572">
        <f t="shared" ref="U28:U40" si="13">H28</f>
        <v>100</v>
      </c>
      <c r="V28" s="1571" t="s">
        <v>8</v>
      </c>
      <c r="W28" s="1572">
        <f t="shared" ref="W28:W40" si="14">J28</f>
        <v>100</v>
      </c>
      <c r="X28" s="1565"/>
      <c r="Y28" s="3423"/>
      <c r="Z28" s="1573">
        <f t="shared" ref="Z28:Z40" si="15">Q28</f>
        <v>111</v>
      </c>
      <c r="AA28" s="1574">
        <f t="shared" si="3"/>
        <v>1</v>
      </c>
      <c r="AB28" s="1574">
        <f t="shared" si="4"/>
        <v>1</v>
      </c>
      <c r="AC28" s="1574">
        <f t="shared" si="5"/>
        <v>1</v>
      </c>
    </row>
    <row r="29" spans="1:29" ht="15">
      <c r="A29" s="2928" t="s">
        <v>2717</v>
      </c>
      <c r="B29" s="171"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24" t="s">
        <v>515</v>
      </c>
      <c r="Q29" s="1570" t="str">
        <f t="shared" si="11"/>
        <v>建筑类型</v>
      </c>
      <c r="R29" s="1571" t="s">
        <v>8</v>
      </c>
      <c r="S29" s="1572">
        <f t="shared" si="12"/>
        <v>100</v>
      </c>
      <c r="T29" s="1571" t="s">
        <v>8</v>
      </c>
      <c r="U29" s="1572">
        <f t="shared" si="13"/>
        <v>100</v>
      </c>
      <c r="V29" s="1571" t="s">
        <v>8</v>
      </c>
      <c r="W29" s="1572">
        <f t="shared" si="14"/>
        <v>100</v>
      </c>
      <c r="X29" s="1565"/>
      <c r="Y29" s="3425" t="s">
        <v>515</v>
      </c>
      <c r="Z29" s="1573" t="str">
        <f t="shared" si="15"/>
        <v>建筑类型</v>
      </c>
      <c r="AA29" s="1574">
        <f t="shared" si="3"/>
        <v>1</v>
      </c>
      <c r="AB29" s="1574">
        <f t="shared" si="4"/>
        <v>1</v>
      </c>
      <c r="AC29" s="1574">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25"/>
      <c r="Q30" s="1603" t="str">
        <f t="shared" si="11"/>
        <v>项目建筑规模</v>
      </c>
      <c r="R30" s="1575" t="s">
        <v>8</v>
      </c>
      <c r="S30" s="1576" t="e">
        <f t="shared" si="12"/>
        <v>#N/A</v>
      </c>
      <c r="T30" s="1575" t="s">
        <v>8</v>
      </c>
      <c r="U30" s="1576" t="e">
        <f t="shared" si="13"/>
        <v>#N/A</v>
      </c>
      <c r="V30" s="1575" t="s">
        <v>8</v>
      </c>
      <c r="W30" s="1576" t="e">
        <f t="shared" si="14"/>
        <v>#N/A</v>
      </c>
      <c r="X30" s="1577"/>
      <c r="Y30" s="3425"/>
      <c r="Z30" s="1578" t="str">
        <f t="shared" si="15"/>
        <v>项目建筑规模</v>
      </c>
      <c r="AA30" s="1574" t="e">
        <f t="shared" si="3"/>
        <v>#N/A</v>
      </c>
      <c r="AB30" s="1574" t="e">
        <f t="shared" si="4"/>
        <v>#N/A</v>
      </c>
      <c r="AC30" s="1574"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25"/>
      <c r="Q31" s="1570" t="str">
        <f t="shared" si="11"/>
        <v>建筑结构</v>
      </c>
      <c r="R31" s="1571" t="s">
        <v>8</v>
      </c>
      <c r="S31" s="1572">
        <f t="shared" si="12"/>
        <v>100</v>
      </c>
      <c r="T31" s="1571" t="s">
        <v>8</v>
      </c>
      <c r="U31" s="1572">
        <f t="shared" si="13"/>
        <v>100</v>
      </c>
      <c r="V31" s="1571" t="s">
        <v>8</v>
      </c>
      <c r="W31" s="1572">
        <f t="shared" si="14"/>
        <v>100</v>
      </c>
      <c r="X31" s="1565"/>
      <c r="Y31" s="3425"/>
      <c r="Z31" s="1573" t="str">
        <f t="shared" si="15"/>
        <v>建筑结构</v>
      </c>
      <c r="AA31" s="1574">
        <f t="shared" si="3"/>
        <v>1</v>
      </c>
      <c r="AB31" s="1574">
        <f t="shared" si="4"/>
        <v>1</v>
      </c>
      <c r="AC31" s="1574">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25"/>
      <c r="Q32" s="1570" t="str">
        <f t="shared" si="11"/>
        <v>公共部分装修</v>
      </c>
      <c r="R32" s="1571" t="s">
        <v>8</v>
      </c>
      <c r="S32" s="1572">
        <f t="shared" si="12"/>
        <v>100</v>
      </c>
      <c r="T32" s="1571" t="s">
        <v>8</v>
      </c>
      <c r="U32" s="1572">
        <f t="shared" si="13"/>
        <v>100</v>
      </c>
      <c r="V32" s="1571" t="s">
        <v>8</v>
      </c>
      <c r="W32" s="1572">
        <f t="shared" si="14"/>
        <v>100</v>
      </c>
      <c r="X32" s="1565"/>
      <c r="Y32" s="3425"/>
      <c r="Z32" s="1573" t="str">
        <f t="shared" si="15"/>
        <v>公共部分装修</v>
      </c>
      <c r="AA32" s="1574">
        <f t="shared" si="3"/>
        <v>1</v>
      </c>
      <c r="AB32" s="1574">
        <f t="shared" si="4"/>
        <v>1</v>
      </c>
      <c r="AC32" s="1574">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25"/>
      <c r="Q33" s="1570" t="str">
        <f t="shared" si="11"/>
        <v>成新度</v>
      </c>
      <c r="R33" s="1571" t="s">
        <v>8</v>
      </c>
      <c r="S33" s="1572" t="e">
        <f t="shared" si="12"/>
        <v>#N/A</v>
      </c>
      <c r="T33" s="1571" t="s">
        <v>8</v>
      </c>
      <c r="U33" s="1572" t="e">
        <f t="shared" si="13"/>
        <v>#N/A</v>
      </c>
      <c r="V33" s="1571" t="s">
        <v>8</v>
      </c>
      <c r="W33" s="1572" t="e">
        <f t="shared" si="14"/>
        <v>#N/A</v>
      </c>
      <c r="X33" s="1565"/>
      <c r="Y33" s="3425"/>
      <c r="Z33" s="1573" t="str">
        <f t="shared" si="15"/>
        <v>成新度</v>
      </c>
      <c r="AA33" s="1574" t="e">
        <f t="shared" si="3"/>
        <v>#N/A</v>
      </c>
      <c r="AB33" s="1574" t="e">
        <f t="shared" si="4"/>
        <v>#N/A</v>
      </c>
      <c r="AC33" s="1574"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25"/>
      <c r="Q34" s="1149" t="str">
        <f t="shared" si="11"/>
        <v>物业管理</v>
      </c>
      <c r="R34" s="1566" t="s">
        <v>8</v>
      </c>
      <c r="S34" s="1567">
        <f t="shared" si="12"/>
        <v>100</v>
      </c>
      <c r="T34" s="1566" t="s">
        <v>8</v>
      </c>
      <c r="U34" s="1567">
        <f t="shared" si="13"/>
        <v>100</v>
      </c>
      <c r="V34" s="1566" t="s">
        <v>8</v>
      </c>
      <c r="W34" s="1567">
        <f t="shared" si="14"/>
        <v>100</v>
      </c>
      <c r="X34" s="1568"/>
      <c r="Y34" s="3425"/>
      <c r="Z34" s="1148" t="str">
        <f t="shared" si="15"/>
        <v>物业管理</v>
      </c>
      <c r="AA34" s="1569">
        <f t="shared" si="3"/>
        <v>1</v>
      </c>
      <c r="AB34" s="1569">
        <f t="shared" si="4"/>
        <v>1</v>
      </c>
      <c r="AC34" s="1569">
        <f t="shared" si="5"/>
        <v>1</v>
      </c>
    </row>
    <row r="35" spans="1:29" ht="15">
      <c r="A35" s="592"/>
      <c r="B35" s="1892" t="s">
        <v>2528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25" t="s">
        <v>515</v>
      </c>
      <c r="Q35" s="1570" t="str">
        <f t="shared" si="11"/>
        <v>市政基础设施</v>
      </c>
      <c r="R35" s="1571" t="s">
        <v>8</v>
      </c>
      <c r="S35" s="1572">
        <f t="shared" si="12"/>
        <v>100</v>
      </c>
      <c r="T35" s="1571" t="s">
        <v>8</v>
      </c>
      <c r="U35" s="1572">
        <f t="shared" si="13"/>
        <v>100</v>
      </c>
      <c r="V35" s="1571" t="s">
        <v>8</v>
      </c>
      <c r="W35" s="1572">
        <f t="shared" si="14"/>
        <v>100</v>
      </c>
      <c r="X35" s="1565"/>
      <c r="Y35" s="3425" t="s">
        <v>515</v>
      </c>
      <c r="Z35" s="1573" t="str">
        <f t="shared" si="15"/>
        <v>市政基础设施</v>
      </c>
      <c r="AA35" s="1574">
        <f t="shared" si="3"/>
        <v>1</v>
      </c>
      <c r="AB35" s="1574">
        <f t="shared" si="4"/>
        <v>1</v>
      </c>
      <c r="AC35" s="1574">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25"/>
      <c r="Q36" s="1570" t="str">
        <f t="shared" si="11"/>
        <v>内部装修</v>
      </c>
      <c r="R36" s="1571" t="s">
        <v>8</v>
      </c>
      <c r="S36" s="1572">
        <f t="shared" si="12"/>
        <v>100</v>
      </c>
      <c r="T36" s="1571" t="s">
        <v>8</v>
      </c>
      <c r="U36" s="1572">
        <f t="shared" si="13"/>
        <v>100</v>
      </c>
      <c r="V36" s="1571" t="s">
        <v>8</v>
      </c>
      <c r="W36" s="1572">
        <f t="shared" si="14"/>
        <v>100</v>
      </c>
      <c r="X36" s="1565"/>
      <c r="Y36" s="3425"/>
      <c r="Z36" s="1573" t="str">
        <f t="shared" si="15"/>
        <v>内部装修</v>
      </c>
      <c r="AA36" s="1574">
        <f t="shared" si="3"/>
        <v>1</v>
      </c>
      <c r="AB36" s="1574">
        <f t="shared" si="4"/>
        <v>1</v>
      </c>
      <c r="AC36" s="1574">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25"/>
      <c r="Q37" s="1570" t="str">
        <f t="shared" si="11"/>
        <v>内部装修状况</v>
      </c>
      <c r="R37" s="1571" t="s">
        <v>8</v>
      </c>
      <c r="S37" s="1572">
        <f t="shared" si="12"/>
        <v>100</v>
      </c>
      <c r="T37" s="1571" t="s">
        <v>8</v>
      </c>
      <c r="U37" s="1572">
        <f t="shared" si="13"/>
        <v>100</v>
      </c>
      <c r="V37" s="1571" t="s">
        <v>8</v>
      </c>
      <c r="W37" s="1572">
        <f t="shared" si="14"/>
        <v>100</v>
      </c>
      <c r="X37" s="1565"/>
      <c r="Y37" s="3425"/>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25"/>
      <c r="Q38" s="1603">
        <f t="shared" si="11"/>
        <v>111</v>
      </c>
      <c r="R38" s="1575" t="s">
        <v>8</v>
      </c>
      <c r="S38" s="1576">
        <f t="shared" si="12"/>
        <v>100</v>
      </c>
      <c r="T38" s="1575" t="s">
        <v>8</v>
      </c>
      <c r="U38" s="1576">
        <f t="shared" si="13"/>
        <v>100</v>
      </c>
      <c r="V38" s="1575" t="s">
        <v>8</v>
      </c>
      <c r="W38" s="1576">
        <f t="shared" si="14"/>
        <v>100</v>
      </c>
      <c r="X38" s="1577"/>
      <c r="Y38" s="3425"/>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25"/>
      <c r="Q39" s="1570">
        <f t="shared" si="11"/>
        <v>111</v>
      </c>
      <c r="R39" s="1571" t="s">
        <v>8</v>
      </c>
      <c r="S39" s="1572">
        <f t="shared" si="12"/>
        <v>100</v>
      </c>
      <c r="T39" s="1571" t="s">
        <v>8</v>
      </c>
      <c r="U39" s="1572">
        <f t="shared" si="13"/>
        <v>100</v>
      </c>
      <c r="V39" s="1571" t="s">
        <v>8</v>
      </c>
      <c r="W39" s="1572">
        <f t="shared" si="14"/>
        <v>100</v>
      </c>
      <c r="X39" s="1565"/>
      <c r="Y39" s="3425"/>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03"/>
      <c r="Q40" s="1570">
        <f t="shared" si="11"/>
        <v>111</v>
      </c>
      <c r="R40" s="1571" t="s">
        <v>8</v>
      </c>
      <c r="S40" s="1572">
        <f t="shared" si="12"/>
        <v>100</v>
      </c>
      <c r="T40" s="1571" t="s">
        <v>8</v>
      </c>
      <c r="U40" s="1572">
        <f t="shared" si="13"/>
        <v>100</v>
      </c>
      <c r="V40" s="1571" t="s">
        <v>8</v>
      </c>
      <c r="W40" s="1572">
        <f t="shared" si="14"/>
        <v>100</v>
      </c>
      <c r="X40" s="1565"/>
      <c r="Y40" s="3503"/>
      <c r="Z40" s="1573">
        <f t="shared" si="15"/>
        <v>111</v>
      </c>
      <c r="AA40" s="1574">
        <f t="shared" si="3"/>
        <v>1</v>
      </c>
      <c r="AB40" s="1574">
        <f t="shared" si="4"/>
        <v>1</v>
      </c>
      <c r="AC40" s="1574">
        <f t="shared" si="5"/>
        <v>1</v>
      </c>
    </row>
    <row r="41" spans="1:29" ht="15">
      <c r="A41" s="605" t="s">
        <v>701</v>
      </c>
      <c r="B41" s="885"/>
      <c r="C41" s="2648" t="s">
        <v>1</v>
      </c>
      <c r="D41" s="2649"/>
      <c r="E41" s="2650"/>
      <c r="F41" s="2651"/>
      <c r="G41" s="2652"/>
      <c r="H41" s="2653"/>
      <c r="I41" s="2650"/>
      <c r="J41" s="2653"/>
      <c r="K41" s="1609"/>
      <c r="L41" s="2141"/>
      <c r="M41" s="2142"/>
      <c r="N41" s="2131"/>
      <c r="O41" s="2142"/>
      <c r="P41" s="3420" t="str">
        <f>A41</f>
        <v>成交单价（元/平方米）</v>
      </c>
      <c r="Q41" s="3420"/>
      <c r="R41" s="3502">
        <f>E41</f>
        <v>0</v>
      </c>
      <c r="S41" s="3502"/>
      <c r="T41" s="3502">
        <f>G41</f>
        <v>0</v>
      </c>
      <c r="U41" s="3502"/>
      <c r="V41" s="3502">
        <f>I41</f>
        <v>0</v>
      </c>
      <c r="W41" s="3502"/>
      <c r="X41" s="1557"/>
      <c r="Y41" s="1579"/>
      <c r="Z41" s="1557"/>
      <c r="AA41" s="1557"/>
      <c r="AB41" s="1557"/>
      <c r="AC41" s="1557"/>
    </row>
    <row r="42" spans="1:29" ht="15.75" thickBot="1">
      <c r="A42" s="613" t="s">
        <v>2722</v>
      </c>
      <c r="B42" s="886"/>
      <c r="C42" s="2654" t="e">
        <f>R43</f>
        <v>#DIV/0!</v>
      </c>
      <c r="D42" s="2655"/>
      <c r="E42" s="2656" t="e">
        <f>R42</f>
        <v>#DIV/0!</v>
      </c>
      <c r="F42" s="2656"/>
      <c r="G42" s="2654" t="e">
        <f>T42</f>
        <v>#DIV/0!</v>
      </c>
      <c r="H42" s="2655"/>
      <c r="I42" s="2656" t="e">
        <f>V42</f>
        <v>#DIV/0!</v>
      </c>
      <c r="J42" s="2655"/>
      <c r="K42" s="1610"/>
      <c r="L42" s="2141"/>
      <c r="M42" s="2142"/>
      <c r="N42" s="2131"/>
      <c r="O42" s="2142"/>
      <c r="P42" s="3420" t="str">
        <f>A42</f>
        <v>比较价格（元/平方米）</v>
      </c>
      <c r="Q42" s="3420"/>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7"/>
      <c r="Y42" s="1557"/>
      <c r="Z42" s="1557"/>
      <c r="AA42" s="1557"/>
      <c r="AB42" s="1557"/>
      <c r="AC42" s="1557"/>
    </row>
    <row r="43" spans="1:29" ht="15.75" thickBot="1">
      <c r="A43" s="619" t="s">
        <v>2887</v>
      </c>
      <c r="B43" s="620"/>
      <c r="C43" s="2657" t="e">
        <f>R43</f>
        <v>#DIV/0!</v>
      </c>
      <c r="D43" s="2657"/>
      <c r="E43" s="2657"/>
      <c r="F43" s="2657"/>
      <c r="G43" s="2657"/>
      <c r="H43" s="2657"/>
      <c r="I43" s="2657"/>
      <c r="J43" s="2657"/>
      <c r="K43" s="1611"/>
      <c r="L43" s="2141"/>
      <c r="M43" s="2142"/>
      <c r="N43" s="2142"/>
      <c r="O43" s="2142"/>
      <c r="P43" s="3442" t="str">
        <f>A43</f>
        <v>估价对象XX用房的比较价格（楼面单价，元/平方米）</v>
      </c>
      <c r="Q43" s="3443"/>
      <c r="R43" s="3501" t="e">
        <f>IF(F1="售价",ROUND(AVERAGE(R42:V42),0),ROUND(AVERAGE(R42:V42),1))</f>
        <v>#DIV/0!</v>
      </c>
      <c r="S43" s="3501"/>
      <c r="T43" s="3501"/>
      <c r="U43" s="3501"/>
      <c r="V43" s="3501"/>
      <c r="W43" s="3501"/>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539</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494</v>
      </c>
      <c r="B52" s="644"/>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2520</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2521</v>
      </c>
      <c r="C76" s="2619" t="s">
        <v>2522</v>
      </c>
      <c r="D76" s="2619" t="s">
        <v>2523</v>
      </c>
      <c r="E76" s="2619" t="s">
        <v>2524</v>
      </c>
      <c r="F76" s="2619" t="s">
        <v>2525</v>
      </c>
      <c r="G76" s="2619" t="s">
        <v>2526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26" t="s">
        <v>763</v>
      </c>
      <c r="D4" s="3427"/>
      <c r="E4" s="3451" t="s">
        <v>764</v>
      </c>
      <c r="F4" s="3452"/>
      <c r="G4" s="3426" t="s">
        <v>765</v>
      </c>
      <c r="H4" s="3427"/>
      <c r="I4" s="3426" t="s">
        <v>766</v>
      </c>
      <c r="J4" s="3427"/>
      <c r="K4" s="512" t="s">
        <v>767</v>
      </c>
      <c r="L4" s="2130"/>
      <c r="M4" s="2131"/>
      <c r="N4" s="2131"/>
      <c r="O4" s="2131"/>
      <c r="P4" s="3428" t="s">
        <v>768</v>
      </c>
      <c r="Q4" s="3429"/>
      <c r="R4" s="3414" t="s">
        <v>764</v>
      </c>
      <c r="S4" s="3415"/>
      <c r="T4" s="3414" t="s">
        <v>765</v>
      </c>
      <c r="U4" s="3415"/>
      <c r="V4" s="3434" t="s">
        <v>766</v>
      </c>
      <c r="W4" s="3434"/>
      <c r="X4" s="1565"/>
      <c r="Y4" s="3414" t="s">
        <v>768</v>
      </c>
      <c r="Z4" s="3415"/>
      <c r="AA4" s="3409" t="s">
        <v>764</v>
      </c>
      <c r="AB4" s="3410" t="s">
        <v>765</v>
      </c>
      <c r="AC4" s="3409" t="s">
        <v>766</v>
      </c>
    </row>
    <row r="5" spans="1:29" ht="15">
      <c r="A5" s="513"/>
      <c r="B5" s="514"/>
      <c r="C5" s="3455" t="s">
        <v>2881</v>
      </c>
      <c r="D5" s="3456"/>
      <c r="E5" s="3453" t="s">
        <v>2882</v>
      </c>
      <c r="F5" s="3454"/>
      <c r="G5" s="3455" t="s">
        <v>2883</v>
      </c>
      <c r="H5" s="3456"/>
      <c r="I5" s="3455" t="s">
        <v>2884</v>
      </c>
      <c r="J5" s="3456"/>
      <c r="K5" s="512"/>
      <c r="L5" s="2130"/>
      <c r="M5" s="2131"/>
      <c r="N5" s="2131"/>
      <c r="O5" s="2131"/>
      <c r="P5" s="3430"/>
      <c r="Q5" s="3431"/>
      <c r="R5" s="3416"/>
      <c r="S5" s="3417"/>
      <c r="T5" s="3416"/>
      <c r="U5" s="3417"/>
      <c r="V5" s="3434"/>
      <c r="W5" s="3434"/>
      <c r="X5" s="1565"/>
      <c r="Y5" s="3416"/>
      <c r="Z5" s="3417"/>
      <c r="AA5" s="3410"/>
      <c r="AB5" s="3410"/>
      <c r="AC5" s="3410"/>
    </row>
    <row r="6" spans="1:29" ht="15.75" thickBot="1">
      <c r="A6" s="515"/>
      <c r="B6" s="516"/>
      <c r="C6" s="3457" t="s">
        <v>2885</v>
      </c>
      <c r="D6" s="3458"/>
      <c r="E6" s="3459" t="s">
        <v>2885</v>
      </c>
      <c r="F6" s="3460"/>
      <c r="G6" s="3457" t="s">
        <v>2885</v>
      </c>
      <c r="H6" s="3458"/>
      <c r="I6" s="3457" t="s">
        <v>2885</v>
      </c>
      <c r="J6" s="3458"/>
      <c r="K6" s="512" t="s">
        <v>493</v>
      </c>
      <c r="L6" s="2130"/>
      <c r="M6" s="2131"/>
      <c r="N6" s="2131"/>
      <c r="O6" s="2131"/>
      <c r="P6" s="3432"/>
      <c r="Q6" s="3433"/>
      <c r="R6" s="3416"/>
      <c r="S6" s="3417"/>
      <c r="T6" s="3418"/>
      <c r="U6" s="3419"/>
      <c r="V6" s="3434"/>
      <c r="W6" s="3434"/>
      <c r="X6" s="1565"/>
      <c r="Y6" s="3418"/>
      <c r="Z6" s="3419"/>
      <c r="AA6" s="3411"/>
      <c r="AB6" s="3411"/>
      <c r="AC6" s="3411"/>
    </row>
    <row r="7" spans="1:29" s="1218" customFormat="1" ht="15.75" thickBot="1">
      <c r="A7" s="2933"/>
      <c r="B7" s="2940" t="s">
        <v>494</v>
      </c>
      <c r="C7" s="517">
        <f>'数据-取费表'!B2</f>
        <v>43234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12" t="s">
        <v>495</v>
      </c>
      <c r="Q7" s="3421"/>
      <c r="R7" s="1566" t="s">
        <v>8</v>
      </c>
      <c r="S7" s="1567">
        <f t="shared" ref="S7:S14" si="0">F7</f>
        <v>0</v>
      </c>
      <c r="T7" s="1566" t="s">
        <v>8</v>
      </c>
      <c r="U7" s="1567">
        <f t="shared" ref="U7:U14" si="1">H7</f>
        <v>0</v>
      </c>
      <c r="V7" s="1566" t="s">
        <v>8</v>
      </c>
      <c r="W7" s="1567">
        <f t="shared" ref="W7:W14" si="2">J7</f>
        <v>0</v>
      </c>
      <c r="X7" s="1568"/>
      <c r="Y7" s="3412" t="s">
        <v>495</v>
      </c>
      <c r="Z7" s="3413"/>
      <c r="AA7" s="1569" t="e">
        <f>D7/F7</f>
        <v>#DIV/0!</v>
      </c>
      <c r="AB7" s="1569" t="e">
        <f>D7/H7</f>
        <v>#DIV/0!</v>
      </c>
      <c r="AC7" s="1569" t="e">
        <f>D7/J7</f>
        <v>#DIV/0!</v>
      </c>
    </row>
    <row r="8" spans="1:29" s="1218" customFormat="1" ht="15.75" thickBot="1">
      <c r="A8" s="2934"/>
      <c r="B8" s="2941"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12" t="s">
        <v>498</v>
      </c>
      <c r="Q8" s="3413"/>
      <c r="R8" s="1566" t="s">
        <v>8</v>
      </c>
      <c r="S8" s="1567">
        <f t="shared" si="0"/>
        <v>0</v>
      </c>
      <c r="T8" s="1566" t="s">
        <v>8</v>
      </c>
      <c r="U8" s="1567">
        <f t="shared" si="1"/>
        <v>0</v>
      </c>
      <c r="V8" s="1566" t="s">
        <v>8</v>
      </c>
      <c r="W8" s="1567">
        <f t="shared" si="2"/>
        <v>0</v>
      </c>
      <c r="X8" s="1568"/>
      <c r="Y8" s="3412" t="s">
        <v>498</v>
      </c>
      <c r="Z8" s="3413"/>
      <c r="AA8" s="1569" t="e">
        <f t="shared" ref="AA8:AA34" si="3">D8/F8</f>
        <v>#DIV/0!</v>
      </c>
      <c r="AB8" s="1569" t="e">
        <f t="shared" ref="AB8:AB34" si="4">D8/H8</f>
        <v>#DIV/0!</v>
      </c>
      <c r="AC8" s="1569" t="e">
        <f t="shared" ref="AC8:AC34" si="5">D8/J8</f>
        <v>#DIV/0!</v>
      </c>
    </row>
    <row r="9" spans="1:29" s="1218" customFormat="1" ht="15">
      <c r="A9" s="2935"/>
      <c r="B9" s="2942" t="s">
        <v>2718</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420" t="s">
        <v>500</v>
      </c>
      <c r="Q9" s="1149" t="str">
        <f t="shared" ref="Q9:Q14" si="6">B9</f>
        <v>用途</v>
      </c>
      <c r="R9" s="1566" t="s">
        <v>8</v>
      </c>
      <c r="S9" s="1567">
        <f t="shared" si="0"/>
        <v>100</v>
      </c>
      <c r="T9" s="1566" t="s">
        <v>8</v>
      </c>
      <c r="U9" s="1567">
        <f t="shared" si="1"/>
        <v>100</v>
      </c>
      <c r="V9" s="1566" t="s">
        <v>8</v>
      </c>
      <c r="W9" s="1567">
        <f t="shared" si="2"/>
        <v>100</v>
      </c>
      <c r="X9" s="1568"/>
      <c r="Y9" s="3377"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8"/>
      <c r="B11" s="2944">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420"/>
      <c r="Q11" s="1149">
        <f t="shared" si="6"/>
        <v>111</v>
      </c>
      <c r="R11" s="1566" t="s">
        <v>8</v>
      </c>
      <c r="S11" s="1567">
        <f t="shared" si="0"/>
        <v>100</v>
      </c>
      <c r="T11" s="1566" t="s">
        <v>8</v>
      </c>
      <c r="U11" s="1567">
        <f t="shared" si="1"/>
        <v>100</v>
      </c>
      <c r="V11" s="1566" t="s">
        <v>8</v>
      </c>
      <c r="W11" s="1567">
        <f t="shared" si="2"/>
        <v>100</v>
      </c>
      <c r="X11" s="1568"/>
      <c r="Y11" s="3377"/>
      <c r="Z11" s="1148">
        <f t="shared" si="7"/>
        <v>111</v>
      </c>
      <c r="AA11" s="1569">
        <f t="shared" si="3"/>
        <v>1</v>
      </c>
      <c r="AB11" s="1569">
        <f t="shared" si="4"/>
        <v>1</v>
      </c>
      <c r="AC11" s="1569">
        <f t="shared" si="5"/>
        <v>1</v>
      </c>
    </row>
    <row r="12" spans="1:29" s="1218" customFormat="1" ht="15">
      <c r="A12" s="2938"/>
      <c r="B12" s="2944">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420"/>
      <c r="Q12" s="1149">
        <f t="shared" si="6"/>
        <v>111</v>
      </c>
      <c r="R12" s="1566" t="s">
        <v>8</v>
      </c>
      <c r="S12" s="1567">
        <f t="shared" si="0"/>
        <v>100</v>
      </c>
      <c r="T12" s="1566" t="s">
        <v>8</v>
      </c>
      <c r="U12" s="1567">
        <f t="shared" si="1"/>
        <v>100</v>
      </c>
      <c r="V12" s="1566" t="s">
        <v>8</v>
      </c>
      <c r="W12" s="1567">
        <f t="shared" si="2"/>
        <v>100</v>
      </c>
      <c r="X12" s="1568"/>
      <c r="Y12" s="3377"/>
      <c r="Z12" s="1148">
        <f t="shared" si="7"/>
        <v>111</v>
      </c>
      <c r="AA12" s="1569">
        <f>D12/F12</f>
        <v>1</v>
      </c>
      <c r="AB12" s="1569">
        <f>D12/H12</f>
        <v>1</v>
      </c>
      <c r="AC12" s="1569">
        <f>D12/J12</f>
        <v>1</v>
      </c>
    </row>
    <row r="13" spans="1:29" ht="15.75" thickBot="1">
      <c r="A13" s="2939"/>
      <c r="B13" s="2945">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420"/>
      <c r="Q13" s="1149">
        <f t="shared" si="6"/>
        <v>111</v>
      </c>
      <c r="R13" s="1566" t="s">
        <v>8</v>
      </c>
      <c r="S13" s="1567">
        <f t="shared" si="0"/>
        <v>100</v>
      </c>
      <c r="T13" s="1566" t="s">
        <v>8</v>
      </c>
      <c r="U13" s="1567">
        <f t="shared" si="1"/>
        <v>100</v>
      </c>
      <c r="V13" s="1566" t="s">
        <v>8</v>
      </c>
      <c r="W13" s="1567">
        <f t="shared" si="2"/>
        <v>100</v>
      </c>
      <c r="X13" s="1568"/>
      <c r="Y13" s="3377"/>
      <c r="Z13" s="1148">
        <f t="shared" si="7"/>
        <v>111</v>
      </c>
      <c r="AA13" s="1569">
        <f t="shared" si="3"/>
        <v>1</v>
      </c>
      <c r="AB13" s="1569">
        <f t="shared" si="4"/>
        <v>1</v>
      </c>
      <c r="AC13" s="1569">
        <f t="shared" si="5"/>
        <v>1</v>
      </c>
    </row>
    <row r="14" spans="1:29" ht="99.75">
      <c r="A14" s="2931" t="s">
        <v>2716</v>
      </c>
      <c r="B14" s="165" t="s">
        <v>508</v>
      </c>
      <c r="C14" s="919"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22" t="s">
        <v>505</v>
      </c>
      <c r="Q14" s="1570" t="str">
        <f t="shared" si="6"/>
        <v>交通便捷度</v>
      </c>
      <c r="R14" s="1571" t="s">
        <v>8</v>
      </c>
      <c r="S14" s="1572">
        <f t="shared" si="0"/>
        <v>100</v>
      </c>
      <c r="T14" s="1571" t="s">
        <v>8</v>
      </c>
      <c r="U14" s="1572">
        <f t="shared" si="1"/>
        <v>100</v>
      </c>
      <c r="V14" s="1571" t="s">
        <v>8</v>
      </c>
      <c r="W14" s="1572">
        <f t="shared" si="2"/>
        <v>100</v>
      </c>
      <c r="X14" s="1565"/>
      <c r="Y14" s="3422" t="s">
        <v>505</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23"/>
      <c r="Q15" s="1570"/>
      <c r="R15" s="1571"/>
      <c r="S15" s="1572"/>
      <c r="T15" s="1571"/>
      <c r="U15" s="1572"/>
      <c r="V15" s="1571"/>
      <c r="W15" s="1572"/>
      <c r="X15" s="1565"/>
      <c r="Y15" s="3423"/>
      <c r="Z15" s="1573"/>
      <c r="AA15" s="1574">
        <v>1</v>
      </c>
      <c r="AB15" s="1574">
        <v>1</v>
      </c>
      <c r="AC15" s="1574">
        <v>1</v>
      </c>
    </row>
    <row r="16" spans="1:29" ht="42.75">
      <c r="A16" s="530"/>
      <c r="B16" s="2624" t="s">
        <v>2509</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23"/>
      <c r="Q16" s="1570" t="str">
        <f>B16</f>
        <v>公共配套设施</v>
      </c>
      <c r="R16" s="1571" t="s">
        <v>8</v>
      </c>
      <c r="S16" s="1572">
        <f>F16</f>
        <v>100</v>
      </c>
      <c r="T16" s="1571" t="s">
        <v>8</v>
      </c>
      <c r="U16" s="1572">
        <f>H16</f>
        <v>100</v>
      </c>
      <c r="V16" s="1571" t="s">
        <v>8</v>
      </c>
      <c r="W16" s="1572">
        <f>J16</f>
        <v>100</v>
      </c>
      <c r="X16" s="1565"/>
      <c r="Y16" s="3423"/>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23"/>
      <c r="Q17" s="1570"/>
      <c r="R17" s="1571"/>
      <c r="S17" s="1572"/>
      <c r="T17" s="1571"/>
      <c r="U17" s="1572"/>
      <c r="V17" s="1571"/>
      <c r="W17" s="1572"/>
      <c r="X17" s="1565"/>
      <c r="Y17" s="3423"/>
      <c r="Z17" s="1573"/>
      <c r="AA17" s="1574">
        <v>1</v>
      </c>
      <c r="AB17" s="1574">
        <v>1</v>
      </c>
      <c r="AC17" s="1574">
        <v>1</v>
      </c>
    </row>
    <row r="18" spans="1:29" ht="42.75">
      <c r="A18" s="530"/>
      <c r="B18" s="2612" t="s">
        <v>2521</v>
      </c>
      <c r="C18" s="870" t="str">
        <f>IF(B1="工业",估价对象房地状况!G6,估价对象房地状况!C8)</f>
        <v>估价对象所在区域基础设施水平好</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23"/>
      <c r="Q18" s="2600" t="str">
        <f>B18</f>
        <v>基础设施水平</v>
      </c>
      <c r="R18" s="1571" t="s">
        <v>8</v>
      </c>
      <c r="S18" s="1572">
        <f>F18</f>
        <v>100</v>
      </c>
      <c r="T18" s="1571" t="s">
        <v>8</v>
      </c>
      <c r="U18" s="1572">
        <f>H18</f>
        <v>100</v>
      </c>
      <c r="V18" s="1571" t="s">
        <v>8</v>
      </c>
      <c r="W18" s="1572">
        <f>J18</f>
        <v>100</v>
      </c>
      <c r="X18" s="2602"/>
      <c r="Y18" s="3423"/>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39"/>
      <c r="M19" s="2131"/>
      <c r="N19" s="2131"/>
      <c r="O19" s="2138"/>
      <c r="P19" s="3423"/>
      <c r="Q19" s="2600"/>
      <c r="R19" s="1571"/>
      <c r="S19" s="1572"/>
      <c r="T19" s="1571"/>
      <c r="U19" s="1572"/>
      <c r="V19" s="1571"/>
      <c r="W19" s="1572"/>
      <c r="X19" s="2602"/>
      <c r="Y19" s="3423"/>
      <c r="Z19" s="2601"/>
      <c r="AA19" s="1574">
        <v>1</v>
      </c>
      <c r="AB19" s="1574">
        <v>1</v>
      </c>
      <c r="AC19" s="1574">
        <v>1</v>
      </c>
    </row>
    <row r="20" spans="1:29" ht="57">
      <c r="A20" s="530"/>
      <c r="B20" s="869" t="s">
        <v>769</v>
      </c>
      <c r="C20" s="870" t="str">
        <f>IF(B1="工业",估价对象房地状况!G7,估价对象房地状况!C9)</f>
        <v>区域自然环境及人文环境较好；综合评价环境状况较好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23"/>
      <c r="Q20" s="1570" t="str">
        <f>B20</f>
        <v>自然及人文环境</v>
      </c>
      <c r="R20" s="1571" t="s">
        <v>8</v>
      </c>
      <c r="S20" s="1572">
        <f>F20</f>
        <v>100</v>
      </c>
      <c r="T20" s="1571" t="s">
        <v>8</v>
      </c>
      <c r="U20" s="1572">
        <f>H20</f>
        <v>100</v>
      </c>
      <c r="V20" s="1571" t="s">
        <v>8</v>
      </c>
      <c r="W20" s="1572">
        <f>J20</f>
        <v>100</v>
      </c>
      <c r="X20" s="1565"/>
      <c r="Y20" s="3423"/>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23"/>
      <c r="Q21" s="1570"/>
      <c r="R21" s="1571"/>
      <c r="S21" s="1572"/>
      <c r="T21" s="1571"/>
      <c r="U21" s="1572"/>
      <c r="V21" s="1571"/>
      <c r="W21" s="1572"/>
      <c r="X21" s="1565"/>
      <c r="Y21" s="3423"/>
      <c r="Z21" s="1573"/>
      <c r="AA21" s="1574">
        <v>1</v>
      </c>
      <c r="AB21" s="1574">
        <v>1</v>
      </c>
      <c r="AC21" s="1574">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23"/>
      <c r="Q22" s="1570" t="str">
        <f>B22</f>
        <v>楼层</v>
      </c>
      <c r="R22" s="1571" t="s">
        <v>8</v>
      </c>
      <c r="S22" s="1572">
        <f>F22</f>
        <v>100</v>
      </c>
      <c r="T22" s="1571" t="s">
        <v>8</v>
      </c>
      <c r="U22" s="1572">
        <f>H22</f>
        <v>100</v>
      </c>
      <c r="V22" s="1571" t="s">
        <v>8</v>
      </c>
      <c r="W22" s="1572">
        <f>J22</f>
        <v>100</v>
      </c>
      <c r="X22" s="1565"/>
      <c r="Y22" s="3423"/>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23"/>
      <c r="Q23" s="1570">
        <f>B23</f>
        <v>111</v>
      </c>
      <c r="R23" s="1571" t="s">
        <v>8</v>
      </c>
      <c r="S23" s="1572">
        <f>F23</f>
        <v>100</v>
      </c>
      <c r="T23" s="1571" t="s">
        <v>8</v>
      </c>
      <c r="U23" s="1572">
        <f>H23</f>
        <v>100</v>
      </c>
      <c r="V23" s="1571" t="s">
        <v>8</v>
      </c>
      <c r="W23" s="1572">
        <f>J23</f>
        <v>100</v>
      </c>
      <c r="X23" s="1565"/>
      <c r="Y23" s="3423"/>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23"/>
      <c r="Q24" s="1570">
        <f t="shared" ref="Q24:Q34" si="11">B24</f>
        <v>111</v>
      </c>
      <c r="R24" s="1571" t="s">
        <v>8</v>
      </c>
      <c r="S24" s="1572">
        <f>F24</f>
        <v>100</v>
      </c>
      <c r="T24" s="1571" t="s">
        <v>8</v>
      </c>
      <c r="U24" s="1572">
        <f>H24</f>
        <v>100</v>
      </c>
      <c r="V24" s="1571" t="s">
        <v>8</v>
      </c>
      <c r="W24" s="1572">
        <f>J24</f>
        <v>100</v>
      </c>
      <c r="X24" s="1565"/>
      <c r="Y24" s="3423"/>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23"/>
      <c r="Q25" s="1149">
        <f t="shared" si="11"/>
        <v>111</v>
      </c>
      <c r="R25" s="1566" t="s">
        <v>8</v>
      </c>
      <c r="S25" s="1567">
        <f>F25</f>
        <v>100</v>
      </c>
      <c r="T25" s="1566" t="s">
        <v>8</v>
      </c>
      <c r="U25" s="1567">
        <f>H25</f>
        <v>100</v>
      </c>
      <c r="V25" s="1566" t="s">
        <v>8</v>
      </c>
      <c r="W25" s="1567">
        <f>J25</f>
        <v>100</v>
      </c>
      <c r="X25" s="1568"/>
      <c r="Y25" s="3423"/>
      <c r="Z25" s="1148">
        <f>Q25</f>
        <v>111</v>
      </c>
      <c r="AA25" s="1574">
        <f>D25/F25</f>
        <v>1</v>
      </c>
      <c r="AB25" s="1574">
        <f>D25/H25</f>
        <v>1</v>
      </c>
      <c r="AC25" s="1574">
        <f>D25/J25</f>
        <v>1</v>
      </c>
    </row>
    <row r="26" spans="1:29" ht="15">
      <c r="A26" s="2928" t="s">
        <v>2717</v>
      </c>
      <c r="B26" s="171"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24"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5" t="s">
        <v>786</v>
      </c>
      <c r="Z26" s="1573" t="str">
        <f t="shared" ref="Z26:Z34" si="15">Q26</f>
        <v>公共部分装修</v>
      </c>
      <c r="AA26" s="1574">
        <f t="shared" si="3"/>
        <v>1</v>
      </c>
      <c r="AB26" s="1574">
        <f t="shared" si="4"/>
        <v>1</v>
      </c>
      <c r="AC26" s="1574">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25"/>
      <c r="Q27" s="1603" t="str">
        <f t="shared" si="11"/>
        <v>成新率</v>
      </c>
      <c r="R27" s="1575" t="s">
        <v>8</v>
      </c>
      <c r="S27" s="1576" t="e">
        <f t="shared" si="12"/>
        <v>#N/A</v>
      </c>
      <c r="T27" s="1575" t="s">
        <v>8</v>
      </c>
      <c r="U27" s="1576" t="e">
        <f t="shared" si="13"/>
        <v>#N/A</v>
      </c>
      <c r="V27" s="1575" t="s">
        <v>8</v>
      </c>
      <c r="W27" s="1576" t="e">
        <f t="shared" si="14"/>
        <v>#N/A</v>
      </c>
      <c r="X27" s="1577"/>
      <c r="Y27" s="3425"/>
      <c r="Z27" s="1578" t="str">
        <f t="shared" si="15"/>
        <v>成新率</v>
      </c>
      <c r="AA27" s="1574" t="e">
        <f t="shared" si="3"/>
        <v>#N/A</v>
      </c>
      <c r="AB27" s="1574" t="e">
        <f t="shared" si="4"/>
        <v>#N/A</v>
      </c>
      <c r="AC27" s="1574"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25"/>
      <c r="Q28" s="1570" t="str">
        <f t="shared" si="11"/>
        <v>物业等级</v>
      </c>
      <c r="R28" s="1571" t="s">
        <v>8</v>
      </c>
      <c r="S28" s="1572">
        <f t="shared" si="12"/>
        <v>100</v>
      </c>
      <c r="T28" s="1571" t="s">
        <v>8</v>
      </c>
      <c r="U28" s="1572">
        <f t="shared" si="13"/>
        <v>100</v>
      </c>
      <c r="V28" s="1571" t="s">
        <v>8</v>
      </c>
      <c r="W28" s="1572">
        <f t="shared" si="14"/>
        <v>100</v>
      </c>
      <c r="X28" s="1565"/>
      <c r="Y28" s="3425"/>
      <c r="Z28" s="1573" t="str">
        <f t="shared" si="15"/>
        <v>物业等级</v>
      </c>
      <c r="AA28" s="1574">
        <f t="shared" si="3"/>
        <v>1</v>
      </c>
      <c r="AB28" s="1574">
        <f t="shared" si="4"/>
        <v>1</v>
      </c>
      <c r="AC28" s="1574">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25"/>
      <c r="Q29" s="1570" t="str">
        <f t="shared" si="11"/>
        <v>有无电梯</v>
      </c>
      <c r="R29" s="1571" t="s">
        <v>8</v>
      </c>
      <c r="S29" s="1572">
        <f t="shared" si="12"/>
        <v>100</v>
      </c>
      <c r="T29" s="1571" t="s">
        <v>8</v>
      </c>
      <c r="U29" s="1572">
        <f t="shared" si="13"/>
        <v>100</v>
      </c>
      <c r="V29" s="1571" t="s">
        <v>8</v>
      </c>
      <c r="W29" s="1572">
        <f t="shared" si="14"/>
        <v>100</v>
      </c>
      <c r="X29" s="1565"/>
      <c r="Y29" s="3425"/>
      <c r="Z29" s="1573" t="str">
        <f t="shared" si="15"/>
        <v>有无电梯</v>
      </c>
      <c r="AA29" s="1574">
        <f t="shared" si="3"/>
        <v>1</v>
      </c>
      <c r="AB29" s="1574">
        <f t="shared" si="4"/>
        <v>1</v>
      </c>
      <c r="AC29" s="1574">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25"/>
      <c r="Q30" s="1570" t="str">
        <f t="shared" si="11"/>
        <v>建筑面积</v>
      </c>
      <c r="R30" s="1571" t="s">
        <v>8</v>
      </c>
      <c r="S30" s="1572" t="e">
        <f t="shared" si="12"/>
        <v>#N/A</v>
      </c>
      <c r="T30" s="1571" t="s">
        <v>8</v>
      </c>
      <c r="U30" s="1572" t="e">
        <f t="shared" si="13"/>
        <v>#N/A</v>
      </c>
      <c r="V30" s="1571" t="s">
        <v>8</v>
      </c>
      <c r="W30" s="1572" t="e">
        <f t="shared" si="14"/>
        <v>#N/A</v>
      </c>
      <c r="X30" s="1565"/>
      <c r="Y30" s="3425"/>
      <c r="Z30" s="1573" t="str">
        <f t="shared" si="15"/>
        <v>建筑面积</v>
      </c>
      <c r="AA30" s="1574" t="e">
        <f t="shared" si="3"/>
        <v>#N/A</v>
      </c>
      <c r="AB30" s="1574" t="e">
        <f t="shared" si="4"/>
        <v>#N/A</v>
      </c>
      <c r="AC30" s="1574"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25"/>
      <c r="Q31" s="1149" t="str">
        <f t="shared" si="11"/>
        <v>是否封闭</v>
      </c>
      <c r="R31" s="1566" t="s">
        <v>8</v>
      </c>
      <c r="S31" s="1567">
        <f t="shared" si="12"/>
        <v>100</v>
      </c>
      <c r="T31" s="1566" t="s">
        <v>8</v>
      </c>
      <c r="U31" s="1567">
        <f t="shared" si="13"/>
        <v>100</v>
      </c>
      <c r="V31" s="1566" t="s">
        <v>8</v>
      </c>
      <c r="W31" s="1567">
        <f t="shared" si="14"/>
        <v>100</v>
      </c>
      <c r="X31" s="1568"/>
      <c r="Y31" s="3425"/>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25" t="s">
        <v>515</v>
      </c>
      <c r="Q32" s="1570">
        <f t="shared" si="11"/>
        <v>111</v>
      </c>
      <c r="R32" s="1571" t="s">
        <v>8</v>
      </c>
      <c r="S32" s="1572">
        <f t="shared" si="12"/>
        <v>100</v>
      </c>
      <c r="T32" s="1571" t="s">
        <v>8</v>
      </c>
      <c r="U32" s="1572">
        <f t="shared" si="13"/>
        <v>100</v>
      </c>
      <c r="V32" s="1571" t="s">
        <v>8</v>
      </c>
      <c r="W32" s="1572">
        <f t="shared" si="14"/>
        <v>100</v>
      </c>
      <c r="X32" s="1565"/>
      <c r="Y32" s="3425" t="s">
        <v>515</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25"/>
      <c r="Q33" s="1570">
        <f t="shared" si="11"/>
        <v>111</v>
      </c>
      <c r="R33" s="1571" t="s">
        <v>8</v>
      </c>
      <c r="S33" s="1572">
        <f t="shared" si="12"/>
        <v>100</v>
      </c>
      <c r="T33" s="1571" t="s">
        <v>8</v>
      </c>
      <c r="U33" s="1572">
        <f t="shared" si="13"/>
        <v>100</v>
      </c>
      <c r="V33" s="1571" t="s">
        <v>8</v>
      </c>
      <c r="W33" s="1572">
        <f t="shared" si="14"/>
        <v>100</v>
      </c>
      <c r="X33" s="1565"/>
      <c r="Y33" s="3425"/>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25"/>
      <c r="Q34" s="1570">
        <f t="shared" si="11"/>
        <v>111</v>
      </c>
      <c r="R34" s="1571" t="s">
        <v>8</v>
      </c>
      <c r="S34" s="1572">
        <f t="shared" si="12"/>
        <v>100</v>
      </c>
      <c r="T34" s="1571" t="s">
        <v>8</v>
      </c>
      <c r="U34" s="1572">
        <f t="shared" si="13"/>
        <v>100</v>
      </c>
      <c r="V34" s="1571" t="s">
        <v>8</v>
      </c>
      <c r="W34" s="1572">
        <f t="shared" si="14"/>
        <v>100</v>
      </c>
      <c r="X34" s="1565"/>
      <c r="Y34" s="3425"/>
      <c r="Z34" s="1573">
        <f t="shared" si="15"/>
        <v>111</v>
      </c>
      <c r="AA34" s="1574">
        <f t="shared" si="3"/>
        <v>1</v>
      </c>
      <c r="AB34" s="1574">
        <f t="shared" si="4"/>
        <v>1</v>
      </c>
      <c r="AC34" s="1574">
        <f t="shared" si="5"/>
        <v>1</v>
      </c>
    </row>
    <row r="35" spans="1:29" ht="15">
      <c r="A35" s="605" t="s">
        <v>701</v>
      </c>
      <c r="B35" s="885"/>
      <c r="C35" s="2648" t="s">
        <v>1</v>
      </c>
      <c r="D35" s="2649"/>
      <c r="E35" s="2650"/>
      <c r="F35" s="2651"/>
      <c r="G35" s="2652"/>
      <c r="H35" s="2653"/>
      <c r="I35" s="2650"/>
      <c r="J35" s="2653"/>
      <c r="K35" s="1609"/>
      <c r="L35" s="2141"/>
      <c r="M35" s="2142"/>
      <c r="N35" s="2131"/>
      <c r="O35" s="2142"/>
      <c r="P35" s="3420" t="str">
        <f>A35</f>
        <v>成交单价（元/平方米）</v>
      </c>
      <c r="Q35" s="3420"/>
      <c r="R35" s="3502">
        <f>E35</f>
        <v>0</v>
      </c>
      <c r="S35" s="3502"/>
      <c r="T35" s="3502">
        <f>G35</f>
        <v>0</v>
      </c>
      <c r="U35" s="3502"/>
      <c r="V35" s="3502">
        <f>I35</f>
        <v>0</v>
      </c>
      <c r="W35" s="3502"/>
      <c r="X35" s="1557"/>
      <c r="Y35" s="1579"/>
      <c r="Z35" s="1557"/>
      <c r="AA35" s="1557"/>
      <c r="AB35" s="1557"/>
      <c r="AC35" s="1557"/>
    </row>
    <row r="36" spans="1:29" ht="15.75" thickBot="1">
      <c r="A36" s="613" t="s">
        <v>2722</v>
      </c>
      <c r="B36" s="886"/>
      <c r="C36" s="2654" t="e">
        <f>R37</f>
        <v>#DIV/0!</v>
      </c>
      <c r="D36" s="2655"/>
      <c r="E36" s="2656" t="e">
        <f>R36</f>
        <v>#DIV/0!</v>
      </c>
      <c r="F36" s="2656"/>
      <c r="G36" s="2654" t="e">
        <f>T36</f>
        <v>#DIV/0!</v>
      </c>
      <c r="H36" s="2655"/>
      <c r="I36" s="2656" t="e">
        <f>V36</f>
        <v>#DIV/0!</v>
      </c>
      <c r="J36" s="2655"/>
      <c r="K36" s="1610"/>
      <c r="L36" s="2141"/>
      <c r="M36" s="2142"/>
      <c r="N36" s="2131"/>
      <c r="O36" s="2142"/>
      <c r="P36" s="3420" t="str">
        <f>A36</f>
        <v>比较价格（元/平方米）</v>
      </c>
      <c r="Q36" s="3420"/>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7"/>
      <c r="Y36" s="1557"/>
      <c r="Z36" s="1557"/>
      <c r="AA36" s="1557"/>
      <c r="AB36" s="1557"/>
      <c r="AC36" s="1557"/>
    </row>
    <row r="37" spans="1:29" ht="15.75" thickBot="1">
      <c r="A37" s="619" t="s">
        <v>2887</v>
      </c>
      <c r="B37" s="620"/>
      <c r="C37" s="2657" t="e">
        <f>R37</f>
        <v>#DIV/0!</v>
      </c>
      <c r="D37" s="2657"/>
      <c r="E37" s="2657"/>
      <c r="F37" s="2657"/>
      <c r="G37" s="2657"/>
      <c r="H37" s="2657"/>
      <c r="I37" s="2657"/>
      <c r="J37" s="2657"/>
      <c r="K37" s="1611"/>
      <c r="L37" s="2141"/>
      <c r="M37" s="2142"/>
      <c r="N37" s="2142"/>
      <c r="O37" s="2142"/>
      <c r="P37" s="3442" t="str">
        <f>A37</f>
        <v>估价对象XX用房的比较价格（楼面单价，元/平方米）</v>
      </c>
      <c r="Q37" s="3443"/>
      <c r="R37" s="3501" t="e">
        <f>IF(F1="售价",ROUND(AVERAGE(R36:V36),0),ROUND(AVERAGE(R36:V36),1))</f>
        <v>#DIV/0!</v>
      </c>
      <c r="S37" s="3501"/>
      <c r="T37" s="3501"/>
      <c r="U37" s="3501"/>
      <c r="V37" s="3501"/>
      <c r="W37" s="3501"/>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539</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494</v>
      </c>
      <c r="B46" s="644"/>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2520</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2521</v>
      </c>
      <c r="C65" s="2619" t="s">
        <v>2522</v>
      </c>
      <c r="D65" s="2619" t="s">
        <v>2523</v>
      </c>
      <c r="E65" s="2619" t="s">
        <v>2524</v>
      </c>
      <c r="F65" s="2619" t="s">
        <v>2525</v>
      </c>
      <c r="G65" s="2619" t="s">
        <v>2526</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1" t="s">
        <v>2266</v>
      </c>
      <c r="C1" s="3534" t="s">
        <v>2267</v>
      </c>
      <c r="D1" s="3535"/>
      <c r="E1" s="3535"/>
      <c r="F1" s="3535"/>
      <c r="G1" s="3535"/>
      <c r="H1" s="3535"/>
      <c r="I1" s="3535"/>
      <c r="J1" s="3535"/>
      <c r="K1" s="3535"/>
      <c r="L1" s="3535"/>
      <c r="M1" s="3535"/>
      <c r="N1" s="3535"/>
      <c r="O1" s="3535"/>
      <c r="P1" s="3535"/>
      <c r="Q1" s="3535"/>
      <c r="R1" s="3535"/>
      <c r="S1" s="3536"/>
      <c r="T1" s="2231" t="s">
        <v>2268</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2880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2879</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2878</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2893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2877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2876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2270</v>
      </c>
      <c r="B17" s="2275" t="s">
        <v>2271</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2">
        <f>SUM(B24:B10000)</f>
        <v>0</v>
      </c>
      <c r="C22" s="3531" t="s">
        <v>19</v>
      </c>
      <c r="D22" s="3532"/>
      <c r="E22" s="3532"/>
      <c r="F22" s="3532"/>
      <c r="G22" s="3532"/>
      <c r="H22" s="3532"/>
      <c r="I22" s="3532"/>
      <c r="J22" s="3532"/>
      <c r="K22" s="3532"/>
      <c r="L22" s="3532"/>
      <c r="M22" s="3532"/>
      <c r="N22" s="3532"/>
      <c r="O22" s="3532"/>
      <c r="P22" s="3532"/>
      <c r="Q22" s="3533"/>
      <c r="R22" s="488" t="e">
        <f>ROUND(S22*10000/B22,0)</f>
        <v>#DIV/0!</v>
      </c>
      <c r="S22" s="52">
        <f>SUM(S24:S10000)</f>
        <v>0</v>
      </c>
    </row>
    <row r="23" spans="1:45" s="1612"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2750</v>
      </c>
      <c r="C1" s="3025">
        <f>项目基本情况!D3</f>
        <v>43234</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2781</v>
      </c>
      <c r="C2" s="3026">
        <f>'数据-取费表'!B22</f>
        <v>2</v>
      </c>
      <c r="D2" s="3021" t="s">
        <v>2751</v>
      </c>
      <c r="E2" s="3024">
        <f ca="1">INDIRECT("I"&amp;$I$1)/100</f>
        <v>4.7500000000000001E-2</v>
      </c>
      <c r="G2" s="2961"/>
      <c r="H2" s="2961"/>
      <c r="I2" s="2961" t="s">
        <v>2752</v>
      </c>
      <c r="K2" s="2961"/>
      <c r="L2" s="2961"/>
      <c r="M2" s="2961"/>
      <c r="N2" s="2961" t="s">
        <v>2753</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2783</v>
      </c>
      <c r="C3" s="3023">
        <f>'数据-取费表'!B19</f>
        <v>0</v>
      </c>
      <c r="D3" s="3021" t="s">
        <v>2751</v>
      </c>
      <c r="E3" s="3024">
        <f ca="1">INDIRECT("J"&amp;$J$1)/100</f>
        <v>0</v>
      </c>
      <c r="G3" s="2963" t="s">
        <v>2754</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2782</v>
      </c>
      <c r="C4" s="3024">
        <f ca="1">N4/100</f>
        <v>1.4999999999999999E-2</v>
      </c>
      <c r="G4" s="2969" t="s">
        <v>2755</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2756</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2757</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2758</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2759</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2760</v>
      </c>
      <c r="C10" s="2988"/>
      <c r="D10" s="2988"/>
      <c r="E10" s="2988"/>
      <c r="F10" s="2988"/>
      <c r="G10" s="2988"/>
      <c r="H10" s="2988"/>
      <c r="I10" s="2962"/>
      <c r="J10" s="2962"/>
      <c r="K10" s="2988"/>
      <c r="L10" s="2989" t="s">
        <v>2761</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2762</v>
      </c>
      <c r="C11" s="2993" t="s">
        <v>2763</v>
      </c>
      <c r="D11" s="2994" t="s">
        <v>2764</v>
      </c>
      <c r="E11" s="2995"/>
      <c r="F11" s="2994" t="s">
        <v>2765</v>
      </c>
      <c r="G11" s="2996"/>
      <c r="H11" s="2995"/>
      <c r="I11" s="2994" t="s">
        <v>2766</v>
      </c>
      <c r="J11" s="2995"/>
      <c r="K11" s="2991"/>
      <c r="L11" s="2992" t="s">
        <v>2762</v>
      </c>
      <c r="M11" s="2993" t="s">
        <v>2763</v>
      </c>
      <c r="N11" s="2992" t="s">
        <v>2767</v>
      </c>
      <c r="O11" s="2994" t="s">
        <v>2768</v>
      </c>
      <c r="P11" s="2996"/>
      <c r="Q11" s="2996"/>
      <c r="R11" s="2996"/>
      <c r="S11" s="2996"/>
      <c r="T11" s="2995"/>
      <c r="U11" s="2994" t="s">
        <v>2769</v>
      </c>
      <c r="V11" s="2996"/>
      <c r="W11" s="2995"/>
      <c r="X11" s="2992" t="s">
        <v>2770</v>
      </c>
      <c r="Y11" s="2992" t="s">
        <v>2771</v>
      </c>
      <c r="Z11" s="2992" t="s">
        <v>2772</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2773</v>
      </c>
      <c r="E12" s="3001" t="s">
        <v>2774</v>
      </c>
      <c r="F12" s="3001" t="s">
        <v>2775</v>
      </c>
      <c r="G12" s="3001" t="s">
        <v>2776</v>
      </c>
      <c r="H12" s="3001" t="s">
        <v>2758</v>
      </c>
      <c r="I12" s="3002" t="s">
        <v>2777</v>
      </c>
      <c r="J12" s="3002" t="s">
        <v>2777</v>
      </c>
      <c r="K12" s="2998"/>
      <c r="L12" s="2999"/>
      <c r="M12" s="3000"/>
      <c r="N12" s="2999"/>
      <c r="O12" s="3002" t="s">
        <v>2778</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2779</v>
      </c>
      <c r="C13" s="3006">
        <v>42301</v>
      </c>
      <c r="D13" s="3007">
        <v>4.3499999999999996</v>
      </c>
      <c r="E13" s="3007">
        <v>4.3499999999999996</v>
      </c>
      <c r="F13" s="3007">
        <v>4.75</v>
      </c>
      <c r="G13" s="3007">
        <v>4.75</v>
      </c>
      <c r="H13" s="3007">
        <v>4.9000000000000004</v>
      </c>
      <c r="I13" s="3007">
        <v>2.75</v>
      </c>
      <c r="J13" s="3007">
        <v>3.25</v>
      </c>
      <c r="K13" s="3004"/>
      <c r="L13" s="3005" t="s">
        <v>2779</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2780</v>
      </c>
      <c r="Y42" s="3011" t="s">
        <v>2780</v>
      </c>
      <c r="Z42" s="3011" t="s">
        <v>2780</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2780</v>
      </c>
      <c r="Y43" s="3011" t="s">
        <v>2780</v>
      </c>
      <c r="Z43" s="3011" t="s">
        <v>2780</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2780</v>
      </c>
      <c r="Y44" s="3011" t="s">
        <v>2780</v>
      </c>
      <c r="Z44" s="3011" t="s">
        <v>2780</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2780</v>
      </c>
      <c r="Y45" s="3011" t="s">
        <v>2780</v>
      </c>
      <c r="Z45" s="3011" t="s">
        <v>2780</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2780</v>
      </c>
      <c r="Y46" s="3011" t="s">
        <v>2780</v>
      </c>
      <c r="Z46" s="3011" t="s">
        <v>2780</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2780</v>
      </c>
      <c r="Y47" s="3011" t="s">
        <v>2780</v>
      </c>
      <c r="Z47" s="3011" t="s">
        <v>2780</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2780</v>
      </c>
      <c r="Y48" s="3011" t="s">
        <v>2780</v>
      </c>
      <c r="Z48" s="3011" t="s">
        <v>2780</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2780</v>
      </c>
      <c r="Y49" s="3011" t="s">
        <v>2780</v>
      </c>
      <c r="Z49" s="3011" t="s">
        <v>2780</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2780</v>
      </c>
      <c r="Y50" s="3011" t="s">
        <v>2780</v>
      </c>
      <c r="Z50" s="3011" t="s">
        <v>2780</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2780</v>
      </c>
      <c r="V51" s="3011" t="s">
        <v>2780</v>
      </c>
      <c r="W51" s="3011" t="s">
        <v>2780</v>
      </c>
      <c r="X51" s="3011" t="s">
        <v>2780</v>
      </c>
      <c r="Y51" s="3011" t="s">
        <v>2780</v>
      </c>
      <c r="Z51" s="3011" t="s">
        <v>2780</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2780</v>
      </c>
      <c r="J55" s="3011" t="s">
        <v>2780</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93.75">
      <c r="A7" s="2894" t="s">
        <v>2710</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2034</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2037</v>
      </c>
    </row>
    <row r="23" spans="1:1" ht="18.75">
      <c r="A23" s="2896" t="s">
        <v>2711</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2935</v>
      </c>
      <c r="D1" s="3152" t="s">
        <v>3065</v>
      </c>
      <c r="E1" s="2408" t="s">
        <v>835</v>
      </c>
      <c r="F1" s="2409">
        <f ca="1">J53</f>
        <v>47.1</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594</v>
      </c>
      <c r="B2" s="773">
        <f ca="1">C40+J29+L46</f>
        <v>17860</v>
      </c>
      <c r="C2" s="2054"/>
      <c r="D2" s="2052"/>
      <c r="E2" s="2053"/>
      <c r="F2" s="2053"/>
      <c r="G2" s="1588"/>
      <c r="H2" s="2054"/>
      <c r="I2" s="2054"/>
      <c r="J2" s="2054"/>
      <c r="K2" s="2055"/>
      <c r="L2" s="2054"/>
      <c r="M2" s="2054"/>
    </row>
    <row r="3" spans="1:33" ht="18" customHeight="1" thickBot="1">
      <c r="A3" s="831" t="s">
        <v>484</v>
      </c>
      <c r="B3" s="832">
        <f ca="1">IF(ISERROR(B2*10000/F43),0,ROUND(B2*10000/F43,0))</f>
        <v>5343</v>
      </c>
      <c r="C3" s="2054"/>
      <c r="D3" s="2052"/>
      <c r="E3" s="2053"/>
      <c r="F3" s="2053"/>
      <c r="G3" s="1588"/>
      <c r="H3" s="774" t="s">
        <v>660</v>
      </c>
      <c r="I3" s="1361"/>
      <c r="J3" s="1361"/>
      <c r="K3" s="1589"/>
      <c r="L3" s="1361"/>
      <c r="M3" s="1361"/>
    </row>
    <row r="4" spans="1:33" ht="18" customHeight="1">
      <c r="A4" s="775" t="s">
        <v>663</v>
      </c>
      <c r="B4" s="776" t="s">
        <v>596</v>
      </c>
      <c r="C4" s="776" t="s">
        <v>1692</v>
      </c>
      <c r="D4" s="776" t="s">
        <v>598</v>
      </c>
      <c r="E4" s="777" t="s">
        <v>1693</v>
      </c>
      <c r="F4" s="778"/>
      <c r="G4" s="1590"/>
      <c r="H4" s="775" t="s">
        <v>663</v>
      </c>
      <c r="I4" s="776" t="s">
        <v>596</v>
      </c>
      <c r="J4" s="776" t="s">
        <v>1692</v>
      </c>
      <c r="K4" s="776" t="s">
        <v>598</v>
      </c>
      <c r="L4" s="777" t="s">
        <v>1693</v>
      </c>
      <c r="M4" s="778"/>
    </row>
    <row r="5" spans="1:33" ht="18" customHeight="1">
      <c r="A5" s="779">
        <v>1</v>
      </c>
      <c r="B5" s="780" t="s">
        <v>2421</v>
      </c>
      <c r="C5" s="54">
        <f ca="1">C6+C10+C12</f>
        <v>1099</v>
      </c>
      <c r="D5" s="2517" t="s">
        <v>2424</v>
      </c>
      <c r="E5" s="2511"/>
      <c r="F5" s="2512"/>
      <c r="G5" s="1590"/>
      <c r="H5" s="779">
        <v>1</v>
      </c>
      <c r="I5" s="780" t="s">
        <v>2421</v>
      </c>
      <c r="J5" s="54">
        <f ca="1">J6+J10+J12</f>
        <v>0</v>
      </c>
      <c r="K5" s="2517" t="s">
        <v>2424</v>
      </c>
      <c r="L5" s="2511"/>
      <c r="M5" s="2512"/>
    </row>
    <row r="6" spans="1:33" ht="18" customHeight="1">
      <c r="A6" s="1827" t="s">
        <v>1786</v>
      </c>
      <c r="B6" s="3485" t="s">
        <v>2426</v>
      </c>
      <c r="C6" s="781">
        <f ca="1">ROUND(F6*F8*F7*(1-F9)/10000,0)</f>
        <v>1098</v>
      </c>
      <c r="D6" s="2518" t="s">
        <v>2425</v>
      </c>
      <c r="E6" s="782" t="s">
        <v>602</v>
      </c>
      <c r="F6" s="783">
        <f ca="1">INDIRECT("'数据-取费表'!u"&amp;$G$1)</f>
        <v>1</v>
      </c>
      <c r="G6" s="1590"/>
      <c r="H6" s="2525" t="s">
        <v>1786</v>
      </c>
      <c r="I6" s="3485" t="s">
        <v>2426</v>
      </c>
      <c r="J6" s="781">
        <f ca="1">ROUND(M6*M8*M7*(1-M9)/10000,0)</f>
        <v>0</v>
      </c>
      <c r="K6" s="339" t="s">
        <v>1699</v>
      </c>
      <c r="L6" s="782" t="s">
        <v>602</v>
      </c>
      <c r="M6" s="783">
        <f ca="1">INDIRECT("'数据-取费表'!z"&amp;$G$1)</f>
        <v>0</v>
      </c>
    </row>
    <row r="7" spans="1:33" ht="18" customHeight="1">
      <c r="A7" s="2521"/>
      <c r="B7" s="3486"/>
      <c r="C7" s="786"/>
      <c r="D7" s="787"/>
      <c r="E7" s="782" t="s">
        <v>1701</v>
      </c>
      <c r="F7" s="783">
        <f ca="1">IF(INDIRECT("'数据-取费表'!ah"&amp;$G$1)="",INDIRECT("'数据-取费表'!k"&amp;$G$1),INDIRECT("'数据-取费表'!ah"&amp;$G$1))</f>
        <v>33424.14</v>
      </c>
      <c r="G7" s="1590"/>
      <c r="H7" s="2510"/>
      <c r="I7" s="3486"/>
      <c r="J7" s="786"/>
      <c r="K7" s="787"/>
      <c r="L7" s="782" t="s">
        <v>1701</v>
      </c>
      <c r="M7" s="783">
        <f ca="1">F7</f>
        <v>33424.14</v>
      </c>
    </row>
    <row r="8" spans="1:33" ht="18" customHeight="1">
      <c r="A8" s="2514"/>
      <c r="B8" s="3487"/>
      <c r="C8" s="786"/>
      <c r="D8" s="787"/>
      <c r="E8" s="782" t="s">
        <v>604</v>
      </c>
      <c r="F8" s="783">
        <f ca="1">INDIRECT("'数据-取费表'!ai"&amp;$G$1)</f>
        <v>365</v>
      </c>
      <c r="G8" s="1590"/>
      <c r="H8" s="2510"/>
      <c r="I8" s="3487"/>
      <c r="J8" s="786"/>
      <c r="K8" s="787"/>
      <c r="L8" s="782" t="s">
        <v>604</v>
      </c>
      <c r="M8" s="783">
        <f ca="1">INDIRECT("'数据-取费表'!ai"&amp;$G$1)</f>
        <v>365</v>
      </c>
    </row>
    <row r="9" spans="1:33" ht="18" customHeight="1">
      <c r="A9" s="784"/>
      <c r="B9" s="3488"/>
      <c r="C9" s="786"/>
      <c r="D9" s="787"/>
      <c r="E9" s="782" t="s">
        <v>1703</v>
      </c>
      <c r="F9" s="792">
        <f ca="1">INDIRECT("'数据-取费表'!w"&amp;$G$1)</f>
        <v>0.1</v>
      </c>
      <c r="G9" s="1590"/>
      <c r="H9" s="2526"/>
      <c r="I9" s="3487"/>
      <c r="J9" s="786"/>
      <c r="K9" s="787"/>
      <c r="L9" s="793" t="s">
        <v>1703</v>
      </c>
      <c r="M9" s="794">
        <f ca="1">INDIRECT("'数据-取费表'!ab"&amp;$G$1)</f>
        <v>0</v>
      </c>
    </row>
    <row r="10" spans="1:33" ht="18" customHeight="1">
      <c r="A10" s="1827" t="s">
        <v>1787</v>
      </c>
      <c r="B10" s="2515" t="s">
        <v>2422</v>
      </c>
      <c r="C10" s="797">
        <f ca="1">ROUND(IF(F10="押一",C6/12*F11,IF(F10="押二",C6/12*2*F11,IF(F10="押三",C6/12*3*F11,C11*F11))),0)</f>
        <v>1</v>
      </c>
      <c r="D10" s="2522" t="s">
        <v>2927</v>
      </c>
      <c r="E10" s="2519" t="s">
        <v>2427</v>
      </c>
      <c r="F10" s="2642" t="s">
        <v>3066</v>
      </c>
      <c r="G10" s="1590"/>
      <c r="H10" s="2582" t="s">
        <v>1787</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2419</v>
      </c>
      <c r="F11" s="794">
        <f ca="1">'数据-取费表'!B39</f>
        <v>1.4999999999999999E-2</v>
      </c>
      <c r="G11" s="1590"/>
      <c r="H11" s="2583"/>
      <c r="I11" s="2516" t="s">
        <v>2536</v>
      </c>
      <c r="J11" s="2520"/>
      <c r="K11" s="2584"/>
      <c r="L11" s="2519" t="s">
        <v>2419</v>
      </c>
      <c r="M11" s="2513">
        <f ca="1">'数据-取费表'!B39</f>
        <v>1.4999999999999999E-2</v>
      </c>
    </row>
    <row r="12" spans="1:33" ht="18" customHeight="1" thickBot="1">
      <c r="A12" s="2558" t="s">
        <v>2430</v>
      </c>
      <c r="B12" s="2559" t="s">
        <v>2423</v>
      </c>
      <c r="C12" s="2560"/>
      <c r="D12" s="2561"/>
      <c r="E12" s="2562"/>
      <c r="F12" s="2563"/>
      <c r="G12" s="1590"/>
      <c r="H12" s="2572" t="s">
        <v>2430</v>
      </c>
      <c r="I12" s="2585" t="s">
        <v>2423</v>
      </c>
      <c r="J12" s="2586"/>
      <c r="K12" s="2561"/>
      <c r="L12" s="2562"/>
      <c r="M12" s="2575"/>
    </row>
    <row r="13" spans="1:33" ht="18" customHeight="1" thickTop="1">
      <c r="A13" s="1826">
        <v>2</v>
      </c>
      <c r="B13" s="1824" t="s">
        <v>1704</v>
      </c>
      <c r="C13" s="790">
        <f ca="1">ROUND(C29*F13,0)</f>
        <v>14294</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1793</v>
      </c>
      <c r="B14" s="782" t="s">
        <v>610</v>
      </c>
      <c r="C14" s="802">
        <f ca="1">INDIRECT("'数据-取费表'!m"&amp;$G$1)+INDIRECT("'数据-取费表'!t"&amp;$G$1)</f>
        <v>10551</v>
      </c>
      <c r="D14" s="3178" t="s">
        <v>611</v>
      </c>
      <c r="E14" s="3179"/>
      <c r="F14" s="803"/>
      <c r="G14" s="1590"/>
      <c r="H14" s="1647" t="s">
        <v>1786</v>
      </c>
      <c r="I14" s="2228" t="s">
        <v>2787</v>
      </c>
      <c r="J14" s="52">
        <f ca="1">C29</f>
        <v>14294</v>
      </c>
      <c r="K14" s="25"/>
      <c r="L14" s="799"/>
      <c r="M14" s="800"/>
    </row>
    <row r="15" spans="1:33" s="2061" customFormat="1" ht="18" customHeight="1" thickBot="1">
      <c r="A15" s="1646" t="s">
        <v>1794</v>
      </c>
      <c r="B15" s="782" t="s">
        <v>612</v>
      </c>
      <c r="C15" s="52">
        <f ca="1">ROUND(C14*F15,0)</f>
        <v>317</v>
      </c>
      <c r="D15" s="804" t="s">
        <v>1708</v>
      </c>
      <c r="E15" s="804" t="s">
        <v>614</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1795</v>
      </c>
      <c r="B16" s="782" t="s">
        <v>615</v>
      </c>
      <c r="C16" s="52">
        <f ca="1">ROUND(INDIRECT("'数据-取费表'!m"&amp;$G$1)*F16,0)</f>
        <v>0</v>
      </c>
      <c r="D16" s="782" t="s">
        <v>1708</v>
      </c>
      <c r="E16" s="782" t="s">
        <v>614</v>
      </c>
      <c r="F16" s="807">
        <f ca="1">IF(INDIRECT("'数据-取费表'!c"&amp;$G$1)="住宅",'数据-取费表'!B34,0)</f>
        <v>0</v>
      </c>
      <c r="G16" s="1590"/>
      <c r="H16" s="1826" t="s">
        <v>1710</v>
      </c>
      <c r="I16" s="1824" t="s">
        <v>616</v>
      </c>
      <c r="J16" s="790">
        <f ca="1">ROUND(J17+J22+J23+J24,0)</f>
        <v>1419</v>
      </c>
      <c r="K16" s="1818" t="s">
        <v>1712</v>
      </c>
      <c r="L16" s="3180"/>
      <c r="M16" s="2512"/>
    </row>
    <row r="17" spans="1:33" s="2061" customFormat="1" ht="18" customHeight="1">
      <c r="A17" s="1646" t="s">
        <v>1849</v>
      </c>
      <c r="B17" s="782" t="s">
        <v>618</v>
      </c>
      <c r="C17" s="52">
        <f ca="1">ROUND(F17*(F43+INDIRECT("'数据-取费表'!S"&amp;$G$1))/10000,0)</f>
        <v>782</v>
      </c>
      <c r="D17" s="782" t="s">
        <v>1713</v>
      </c>
      <c r="E17" s="782" t="s">
        <v>1714</v>
      </c>
      <c r="F17" s="55">
        <f>'数据-取费表'!B35</f>
        <v>200</v>
      </c>
      <c r="G17" s="1591"/>
      <c r="H17" s="1647" t="s">
        <v>1786</v>
      </c>
      <c r="I17" s="782" t="s">
        <v>621</v>
      </c>
      <c r="J17" s="52">
        <f ca="1">ROUND(IF(项目基本情况!B11="自然人",J5*M17,J18+J19+J20),0)</f>
        <v>1205</v>
      </c>
      <c r="K17" s="3178" t="s">
        <v>1715</v>
      </c>
      <c r="L17" s="3177" t="s">
        <v>623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158</v>
      </c>
      <c r="D18" s="782" t="s">
        <v>1708</v>
      </c>
      <c r="E18" s="782" t="s">
        <v>614</v>
      </c>
      <c r="F18" s="807">
        <f>'数据-取费表'!B36</f>
        <v>1.4999999999999999E-2</v>
      </c>
      <c r="G18" s="1591"/>
      <c r="H18" s="1646" t="s">
        <v>1793</v>
      </c>
      <c r="I18" s="782" t="s">
        <v>625</v>
      </c>
      <c r="J18" s="52">
        <f ca="1">ROUND(J5*M18/1.05,1)</f>
        <v>0</v>
      </c>
      <c r="K18" s="3177" t="s">
        <v>1718</v>
      </c>
      <c r="L18" s="782" t="s">
        <v>614</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1786</v>
      </c>
      <c r="B19" s="782" t="s">
        <v>627</v>
      </c>
      <c r="C19" s="52">
        <f ca="1">SUM(C14:C18)</f>
        <v>11808</v>
      </c>
      <c r="D19" s="259" t="s">
        <v>1719</v>
      </c>
      <c r="E19" s="3182"/>
      <c r="F19" s="55"/>
      <c r="G19" s="1590"/>
      <c r="H19" s="1646" t="s">
        <v>1794</v>
      </c>
      <c r="I19" s="782" t="s">
        <v>1720</v>
      </c>
      <c r="J19" s="52">
        <f ca="1">IF(K19="按租金收入计税",ROUND(J5*M19,1),ROUND(C29*F33*0.7,1))</f>
        <v>1200.7</v>
      </c>
      <c r="K19" s="809" t="s">
        <v>630</v>
      </c>
      <c r="L19" s="782" t="s">
        <v>614</v>
      </c>
      <c r="M19" s="807">
        <f>IF(K19="按租金收入计税",'数据-取费表'!B51,'数据-取费表'!B50)</f>
        <v>1.2E-2</v>
      </c>
    </row>
    <row r="20" spans="1:33" s="2061" customFormat="1" ht="18" customHeight="1">
      <c r="A20" s="1647" t="s">
        <v>1851</v>
      </c>
      <c r="B20" s="782" t="s">
        <v>631</v>
      </c>
      <c r="C20" s="52">
        <f ca="1">ROUND(C19*F20,0)</f>
        <v>236</v>
      </c>
      <c r="D20" s="810" t="s">
        <v>632</v>
      </c>
      <c r="E20" s="782" t="s">
        <v>614</v>
      </c>
      <c r="F20" s="807">
        <f>'数据-取费表'!B37</f>
        <v>0.02</v>
      </c>
      <c r="G20" s="1591"/>
      <c r="H20" s="1649" t="s">
        <v>1795</v>
      </c>
      <c r="I20" s="339" t="s">
        <v>633</v>
      </c>
      <c r="J20" s="53">
        <f ca="1">ROUND(M20*M21/10000,0)</f>
        <v>4</v>
      </c>
      <c r="K20" s="812" t="s">
        <v>634</v>
      </c>
      <c r="L20" s="782" t="s">
        <v>635</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636</v>
      </c>
      <c r="C21" s="52" t="s">
        <v>1726</v>
      </c>
      <c r="D21" s="810" t="s">
        <v>2261</v>
      </c>
      <c r="E21" s="782" t="s">
        <v>638</v>
      </c>
      <c r="F21" s="807">
        <f>'数据-取费表'!B38</f>
        <v>0.02</v>
      </c>
      <c r="G21" s="1591"/>
      <c r="H21" s="2527"/>
      <c r="I21" s="791"/>
      <c r="J21" s="68"/>
      <c r="K21" s="814"/>
      <c r="L21" s="782" t="s">
        <v>1728</v>
      </c>
      <c r="M21" s="783">
        <f ca="1">INDIRECT("'数据-取费表'!r"&amp;$G$1)</f>
        <v>13275.8</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640</v>
      </c>
      <c r="C22" s="52"/>
      <c r="D22" s="2593" t="str">
        <f>IF(F23&lt;=1,"单利计息。","复利计息。")&amp;"建造成本、管理费用、销售费用产生的利息。"</f>
        <v>复利计息。建造成本、管理费用、销售费用产生的利息。</v>
      </c>
      <c r="E22" s="3182"/>
      <c r="F22" s="55"/>
      <c r="G22" s="1590"/>
      <c r="H22" s="1647" t="s">
        <v>1851</v>
      </c>
      <c r="I22" s="782" t="s">
        <v>641</v>
      </c>
      <c r="J22" s="52">
        <f ca="1">ROUND(J14*M22,0)</f>
        <v>214</v>
      </c>
      <c r="K22" s="3177" t="s">
        <v>642</v>
      </c>
      <c r="L22" s="782" t="s">
        <v>614</v>
      </c>
      <c r="M22" s="815">
        <f ca="1">INDIRECT("'数据-取费表'!Ak"&amp;$G$1)</f>
        <v>1.4999999999999999E-2</v>
      </c>
    </row>
    <row r="23" spans="1:33" s="2061" customFormat="1" ht="18" customHeight="1">
      <c r="A23" s="1646" t="s">
        <v>1793</v>
      </c>
      <c r="B23" s="782" t="s">
        <v>2400</v>
      </c>
      <c r="C23" s="52">
        <f ca="1">ROUND(IF('数据-取费表'!B22&lt;=1,(C19+C20)*F24*F23/2,(C19+C20)*(POWER((1+F24),F23/2)-1)),0)</f>
        <v>572</v>
      </c>
      <c r="D23" s="2592" t="str">
        <f>IF(F23&lt;=1,"(建造成本+管理费用)×利率×(建设周期÷2)","(建造成本+管理费用)×((1+利率)^(建设周期÷2)-1)")</f>
        <v>(建造成本+管理费用)×((1+利率)^(建设周期÷2)-1)</v>
      </c>
      <c r="E23" s="782" t="s">
        <v>643</v>
      </c>
      <c r="F23" s="638">
        <f>'数据-取费表'!B20</f>
        <v>2</v>
      </c>
      <c r="G23" s="1591"/>
      <c r="H23" s="1647" t="s">
        <v>1852</v>
      </c>
      <c r="I23" s="782" t="s">
        <v>644</v>
      </c>
      <c r="J23" s="52">
        <f ca="1">ROUND(J13*M23,0)</f>
        <v>0</v>
      </c>
      <c r="K23" s="3177" t="s">
        <v>645</v>
      </c>
      <c r="L23" s="782" t="s">
        <v>614</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647</v>
      </c>
      <c r="F24" s="817">
        <f ca="1">'数据-取费表'!B40</f>
        <v>4.7500000000000001E-2</v>
      </c>
      <c r="G24" s="1591"/>
      <c r="H24" s="2572" t="s">
        <v>1853</v>
      </c>
      <c r="I24" s="2567" t="s">
        <v>631</v>
      </c>
      <c r="J24" s="2565">
        <f ca="1">ROUND(J5*M24,0)</f>
        <v>0</v>
      </c>
      <c r="K24" s="2566" t="s">
        <v>648</v>
      </c>
      <c r="L24" s="2567" t="s">
        <v>614</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650</v>
      </c>
      <c r="E25" s="3182"/>
      <c r="F25" s="55"/>
      <c r="G25" s="1590"/>
      <c r="H25" s="1826" t="s">
        <v>1738</v>
      </c>
      <c r="I25" s="3031" t="s">
        <v>2784</v>
      </c>
      <c r="J25" s="790">
        <f ca="1">J5-J16</f>
        <v>-1419</v>
      </c>
      <c r="K25" s="2569" t="s">
        <v>665</v>
      </c>
      <c r="L25" s="2570"/>
      <c r="M25" s="2571"/>
    </row>
    <row r="26" spans="1:33" ht="18" customHeight="1">
      <c r="A26" s="1646" t="s">
        <v>1793</v>
      </c>
      <c r="B26" s="782" t="s">
        <v>2401</v>
      </c>
      <c r="C26" s="52">
        <f ca="1">ROUND((C19+C20)*F26,0)</f>
        <v>602</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671</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614</v>
      </c>
      <c r="F28" s="807">
        <f>'数据-取费表'!B41</f>
        <v>5.6000000000000001E-2</v>
      </c>
      <c r="G28" s="1591"/>
      <c r="H28" s="1826"/>
      <c r="I28" s="789"/>
      <c r="J28" s="790"/>
      <c r="K28" s="814"/>
      <c r="L28" s="782" t="s">
        <v>675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14294</v>
      </c>
      <c r="D29" s="2566"/>
      <c r="E29" s="2567"/>
      <c r="F29" s="2568"/>
      <c r="G29" s="1591"/>
      <c r="H29" s="821" t="s">
        <v>1749</v>
      </c>
      <c r="I29" s="822" t="s">
        <v>1750</v>
      </c>
      <c r="J29" s="823">
        <f ca="1">ROUND(J26/(1+F40)^F41,0)</f>
        <v>0</v>
      </c>
      <c r="K29" s="824" t="s">
        <v>653</v>
      </c>
      <c r="L29" s="825"/>
      <c r="M29" s="826">
        <f ca="1">INDIRECT("'数据-取费表'!k"&amp;$G$1)</f>
        <v>33424.14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1710</v>
      </c>
      <c r="B30" s="1824" t="s">
        <v>616</v>
      </c>
      <c r="C30" s="790">
        <f ca="1">ROUND(C31+C36+C37+C38,0)</f>
        <v>441</v>
      </c>
      <c r="D30" s="1818" t="s">
        <v>1712</v>
      </c>
      <c r="E30" s="3180"/>
      <c r="F30" s="2512"/>
      <c r="G30" s="2059"/>
      <c r="H30" s="2062"/>
      <c r="I30" s="2063"/>
      <c r="J30" s="2064"/>
      <c r="K30" s="2065"/>
      <c r="L30" s="2066"/>
      <c r="M30" s="2067"/>
    </row>
    <row r="31" spans="1:33" ht="18" customHeight="1">
      <c r="A31" s="1647" t="s">
        <v>1786</v>
      </c>
      <c r="B31" s="782" t="s">
        <v>621</v>
      </c>
      <c r="C31" s="52">
        <f ca="1">ROUND(IF(项目基本情况!B11="自然人",C5*F31,C32+C33+C34),1)</f>
        <v>194.5</v>
      </c>
      <c r="D31" s="3178" t="s">
        <v>1715</v>
      </c>
      <c r="E31" s="3177" t="s">
        <v>655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625</v>
      </c>
      <c r="C32" s="52">
        <f ca="1">ROUND(C5*F32/1.05,1)</f>
        <v>58.6</v>
      </c>
      <c r="D32" s="3177" t="s">
        <v>1718</v>
      </c>
      <c r="E32" s="782" t="s">
        <v>614</v>
      </c>
      <c r="F32" s="807">
        <f>'数据-取费表'!B41</f>
        <v>5.6000000000000001E-2</v>
      </c>
      <c r="G32" s="2059"/>
      <c r="H32" s="2068"/>
      <c r="I32" s="2069"/>
      <c r="J32" s="2070"/>
      <c r="K32" s="2071"/>
      <c r="L32" s="2072"/>
      <c r="M32" s="2073"/>
    </row>
    <row r="33" spans="1:18" ht="18" customHeight="1">
      <c r="A33" s="1646" t="s">
        <v>1794</v>
      </c>
      <c r="B33" s="782" t="s">
        <v>1720</v>
      </c>
      <c r="C33" s="52">
        <f ca="1">IF(D33="按租金收入计税",ROUND(C5*F33,1),IF(D33="按房产原值计税",ROUND(C29*F33*0.7,1),INDIRECT("'数据-取费表'!Aj"&amp;$G$1)))</f>
        <v>131.9</v>
      </c>
      <c r="D33" s="809" t="s">
        <v>3070</v>
      </c>
      <c r="E33" s="782" t="s">
        <v>614</v>
      </c>
      <c r="F33" s="807">
        <f>IF(D33="按租金收入计税",'数据-取费表'!B51,'数据-取费表'!B50)</f>
        <v>0.12</v>
      </c>
      <c r="G33" s="2059"/>
      <c r="H33" s="2074"/>
      <c r="I33" s="2074"/>
      <c r="J33" s="2074"/>
      <c r="K33" s="2075"/>
      <c r="L33" s="2074"/>
      <c r="M33" s="2074"/>
    </row>
    <row r="34" spans="1:18" ht="18" customHeight="1">
      <c r="A34" s="1649" t="s">
        <v>1795</v>
      </c>
      <c r="B34" s="339" t="s">
        <v>633</v>
      </c>
      <c r="C34" s="53">
        <f ca="1">ROUND(F34*F35/10000,1)</f>
        <v>4</v>
      </c>
      <c r="D34" s="812" t="s">
        <v>634</v>
      </c>
      <c r="E34" s="782" t="s">
        <v>635</v>
      </c>
      <c r="F34" s="638">
        <f>'数据-取费表'!B52</f>
        <v>3</v>
      </c>
      <c r="G34" s="2059"/>
      <c r="H34" s="2062"/>
      <c r="I34" s="833" t="s">
        <v>1775</v>
      </c>
      <c r="J34" s="834"/>
      <c r="K34" s="2077"/>
      <c r="L34" s="2076"/>
      <c r="M34" s="2076"/>
    </row>
    <row r="35" spans="1:18" ht="18" customHeight="1">
      <c r="A35" s="813"/>
      <c r="B35" s="791"/>
      <c r="C35" s="68"/>
      <c r="D35" s="814"/>
      <c r="E35" s="782" t="s">
        <v>1728</v>
      </c>
      <c r="F35" s="783">
        <f ca="1">INDIRECT("'数据-取费表'!r"&amp;$G$1)</f>
        <v>13275.8</v>
      </c>
      <c r="G35" s="2059"/>
      <c r="H35" s="2062"/>
      <c r="I35" s="835" t="s">
        <v>1776</v>
      </c>
      <c r="J35" s="836">
        <f ca="1">ROUND(C13*J36,0)</f>
        <v>1215</v>
      </c>
      <c r="K35" s="2075"/>
      <c r="L35" s="2074"/>
      <c r="M35" s="2074"/>
    </row>
    <row r="36" spans="1:18" ht="18" customHeight="1">
      <c r="A36" s="1647" t="s">
        <v>1851</v>
      </c>
      <c r="B36" s="782" t="s">
        <v>641</v>
      </c>
      <c r="C36" s="52">
        <f ca="1">ROUND(C29*F36,1)</f>
        <v>214.4</v>
      </c>
      <c r="D36" s="3177" t="s">
        <v>1765</v>
      </c>
      <c r="E36" s="782" t="s">
        <v>614</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21.4</v>
      </c>
      <c r="D37" s="3177" t="s">
        <v>645</v>
      </c>
      <c r="E37" s="782" t="s">
        <v>614</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11</v>
      </c>
      <c r="D38" s="2566" t="s">
        <v>648</v>
      </c>
      <c r="E38" s="2567" t="s">
        <v>614</v>
      </c>
      <c r="F38" s="2563">
        <f ca="1">INDIRECT("'数据-取费表'!Am"&amp;$G$1)</f>
        <v>0.01</v>
      </c>
      <c r="G38" s="2059"/>
      <c r="H38" s="2074"/>
      <c r="I38" s="841" t="s">
        <v>1779</v>
      </c>
      <c r="J38" s="842"/>
      <c r="K38" s="2080"/>
      <c r="L38" s="2074"/>
      <c r="M38" s="2074"/>
    </row>
    <row r="39" spans="1:18" ht="24.6" customHeight="1" thickTop="1">
      <c r="A39" s="1826" t="s">
        <v>1738</v>
      </c>
      <c r="B39" s="3031" t="s">
        <v>2784</v>
      </c>
      <c r="C39" s="790">
        <f ca="1">C5-C30</f>
        <v>658</v>
      </c>
      <c r="D39" s="2569" t="s">
        <v>665</v>
      </c>
      <c r="E39" s="2570"/>
      <c r="F39" s="2571"/>
      <c r="G39" s="2059"/>
      <c r="H39" s="2074"/>
      <c r="I39" s="835" t="s">
        <v>1780</v>
      </c>
      <c r="J39" s="843">
        <f ca="1">ROUND(J35/C39,3)</f>
        <v>1.847</v>
      </c>
      <c r="K39" s="2080"/>
      <c r="L39" s="2074"/>
      <c r="M39" s="2074"/>
    </row>
    <row r="40" spans="1:18" ht="18" customHeight="1">
      <c r="A40" s="779" t="s">
        <v>1742</v>
      </c>
      <c r="B40" s="2229" t="s">
        <v>2264</v>
      </c>
      <c r="C40" s="781">
        <f ca="1">ROUND(C39*(1-((1+F42)/(1+F40))^F41)/(F40-F42),0)</f>
        <v>17860</v>
      </c>
      <c r="D40" s="812" t="s">
        <v>1743</v>
      </c>
      <c r="E40" s="782" t="s">
        <v>2382</v>
      </c>
      <c r="F40" s="792">
        <f ca="1">INDIRECT("'数据-取费表'!I"&amp;$G$1)</f>
        <v>0.05</v>
      </c>
      <c r="G40" s="2059"/>
      <c r="H40" s="2059"/>
      <c r="I40" s="835" t="s">
        <v>1781</v>
      </c>
      <c r="J40" s="843">
        <f ca="1">1-J39</f>
        <v>-0.84699999999999998</v>
      </c>
      <c r="K40" s="2080"/>
      <c r="L40" s="2059"/>
      <c r="M40" s="2059"/>
    </row>
    <row r="41" spans="1:18" ht="18" customHeight="1">
      <c r="A41" s="784"/>
      <c r="B41" s="785"/>
      <c r="C41" s="786"/>
      <c r="D41" s="819" t="s">
        <v>1770</v>
      </c>
      <c r="E41" s="782" t="s">
        <v>1746</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675</v>
      </c>
      <c r="F42" s="792">
        <f ca="1">INDIRECT("'数据-取费表'!v"&amp;$G$1)</f>
        <v>2.5000000000000001E-2</v>
      </c>
      <c r="G42" s="2059"/>
      <c r="H42" s="1985"/>
      <c r="I42" s="845" t="s">
        <v>1783</v>
      </c>
      <c r="J42" s="843">
        <f ca="1">ROUND(C13/C40,3)</f>
        <v>0.8</v>
      </c>
      <c r="K42" s="2079"/>
      <c r="L42" s="1985"/>
      <c r="M42" s="1985"/>
    </row>
    <row r="43" spans="1:18" ht="18" customHeight="1" thickBot="1">
      <c r="A43" s="821" t="s">
        <v>1749</v>
      </c>
      <c r="B43" s="822" t="s">
        <v>1772</v>
      </c>
      <c r="C43" s="823">
        <f ca="1">ROUND(C40*10000/F43,0)</f>
        <v>5343</v>
      </c>
      <c r="D43" s="824" t="s">
        <v>1773</v>
      </c>
      <c r="E43" s="825" t="s">
        <v>1774</v>
      </c>
      <c r="F43" s="826">
        <f ca="1">INDIRECT("'数据-取费表'!k"&amp;$G$1)</f>
        <v>33424.14</v>
      </c>
      <c r="G43" s="2059"/>
      <c r="H43" s="1985"/>
      <c r="I43" s="845" t="s">
        <v>1784</v>
      </c>
      <c r="J43" s="846">
        <f ca="1">1-J42</f>
        <v>0.19999999999999996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-22178</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3067</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1832</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17860</v>
      </c>
      <c r="R48" s="2420" t="s">
        <v>2343</v>
      </c>
    </row>
    <row r="49" spans="1:18" s="2056" customFormat="1" ht="18" customHeight="1" thickBot="1">
      <c r="A49" s="784"/>
      <c r="B49" s="785"/>
      <c r="C49" s="786"/>
      <c r="D49" s="787"/>
      <c r="E49" s="782" t="s">
        <v>1701</v>
      </c>
      <c r="F49" s="783">
        <f ca="1">F7</f>
        <v>33424.14</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604</v>
      </c>
      <c r="F50" s="783">
        <f ca="1">F8</f>
        <v>365</v>
      </c>
      <c r="G50" s="2092"/>
      <c r="H50" s="2090"/>
      <c r="I50" s="2380" t="s">
        <v>2309</v>
      </c>
      <c r="J50" s="2393">
        <f>SUMPRODUCT((I63:I65=J47)*(J62:L62=J48)*(J63:L65))</f>
        <v>60</v>
      </c>
      <c r="K50" s="2391" t="s">
        <v>2316</v>
      </c>
      <c r="L50" s="2392"/>
      <c r="O50" s="2422" t="s">
        <v>2346</v>
      </c>
      <c r="P50" s="2420" t="s">
        <v>2370</v>
      </c>
      <c r="Q50" s="2421">
        <f ca="1">C29</f>
        <v>14294</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-10952</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2927</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504" t="s">
        <v>2919</v>
      </c>
      <c r="L53" s="3505"/>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17860</v>
      </c>
      <c r="R54" s="2424" t="s">
        <v>2355</v>
      </c>
    </row>
    <row r="55" spans="1:18" s="2056" customFormat="1" ht="18" customHeight="1" thickTop="1" thickBot="1">
      <c r="A55" s="795">
        <v>2</v>
      </c>
      <c r="B55" s="796" t="s">
        <v>609</v>
      </c>
      <c r="C55" s="797">
        <f ca="1">C13</f>
        <v>14294</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2263</v>
      </c>
      <c r="C56" s="52">
        <f ca="1">C29</f>
        <v>14294</v>
      </c>
      <c r="D56" s="3177"/>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240</v>
      </c>
      <c r="D57" s="25" t="s">
        <v>1712</v>
      </c>
      <c r="E57" s="3182"/>
      <c r="F57" s="55"/>
      <c r="I57" s="2401" t="s">
        <v>2321</v>
      </c>
      <c r="J57" s="2403" t="str">
        <f ca="1">IF(OR(M47="住宅",J51&lt;L48,J56="是"),"——",J51-L48)</f>
        <v>——</v>
      </c>
      <c r="K57" s="2380" t="s">
        <v>2326</v>
      </c>
      <c r="L57" s="2389" t="str">
        <f ca="1">IF(L48&lt;J51,"——",IF(L55="比较法",L49,IF(L55="基准地价",L50,L51)))</f>
        <v>——</v>
      </c>
      <c r="O57" s="2419" t="s">
        <v>2342</v>
      </c>
      <c r="P57" s="2420" t="s">
        <v>2368</v>
      </c>
      <c r="Q57" s="2421">
        <f ca="1">C40+J29</f>
        <v>17860</v>
      </c>
      <c r="R57" s="2420" t="s">
        <v>2343</v>
      </c>
    </row>
    <row r="58" spans="1:18" s="2056" customFormat="1" ht="28.5" customHeight="1" thickBot="1">
      <c r="A58" s="1647" t="s">
        <v>1786</v>
      </c>
      <c r="B58" s="782" t="s">
        <v>621</v>
      </c>
      <c r="C58" s="52">
        <f ca="1">ROUND(IF(项目基本情况!B11="自然人",C47*F58,C59+C60+C61),1)</f>
        <v>4</v>
      </c>
      <c r="D58" s="3178" t="s">
        <v>622</v>
      </c>
      <c r="E58" s="3177"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3177" t="s">
        <v>1718</v>
      </c>
      <c r="E59" s="782" t="s">
        <v>614</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3177" t="str">
        <f>D33</f>
        <v>按租金收入计税</v>
      </c>
      <c r="E60" s="782" t="s">
        <v>614</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4</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13275.8</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214.4</v>
      </c>
      <c r="D63" s="3177" t="s">
        <v>1765</v>
      </c>
      <c r="E63" s="782" t="s">
        <v>614</v>
      </c>
      <c r="F63" s="815">
        <f t="shared" ca="1" si="0"/>
        <v>1.4999999999999999E-2</v>
      </c>
      <c r="I63" s="2406" t="s">
        <v>2333</v>
      </c>
      <c r="J63" s="2407">
        <v>70</v>
      </c>
      <c r="K63" s="2407">
        <v>50</v>
      </c>
      <c r="L63" s="2407">
        <v>80</v>
      </c>
      <c r="M63" s="3126">
        <v>0.02</v>
      </c>
      <c r="O63" s="2419" t="s">
        <v>2354</v>
      </c>
      <c r="P63" s="2420" t="s">
        <v>2371</v>
      </c>
      <c r="Q63" s="2421">
        <f ca="1">Q57+Q58</f>
        <v>17860</v>
      </c>
      <c r="R63" s="2424" t="s">
        <v>2355</v>
      </c>
    </row>
    <row r="64" spans="1:18" s="2056" customFormat="1" ht="16.5" thickBot="1">
      <c r="A64" s="1647" t="s">
        <v>1852</v>
      </c>
      <c r="B64" s="782" t="s">
        <v>644</v>
      </c>
      <c r="C64" s="52">
        <f ca="1">ROUND(C55*F64,1)</f>
        <v>21.4</v>
      </c>
      <c r="D64" s="3177" t="s">
        <v>645</v>
      </c>
      <c r="E64" s="782" t="s">
        <v>614</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3177" t="s">
        <v>648</v>
      </c>
      <c r="E65" s="782" t="s">
        <v>614</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-240</v>
      </c>
      <c r="D66" s="3178" t="s">
        <v>665</v>
      </c>
      <c r="E66" s="3181"/>
      <c r="F66" s="818"/>
      <c r="K66" s="2083"/>
      <c r="O66" s="2419" t="s">
        <v>2342</v>
      </c>
      <c r="P66" s="2420" t="s">
        <v>2368</v>
      </c>
      <c r="Q66" s="2421">
        <f ca="1">C40+J29</f>
        <v>17860</v>
      </c>
      <c r="R66" s="2420" t="s">
        <v>2343</v>
      </c>
    </row>
    <row r="67" spans="1:18" s="2056" customFormat="1" ht="20.25" thickBot="1">
      <c r="A67" s="779" t="s">
        <v>1742</v>
      </c>
      <c r="B67" s="2229" t="s">
        <v>2264</v>
      </c>
      <c r="C67" s="781">
        <f ca="1">ROUND(C66*(1-((1+F69)/(1+F67))^F68)/(F67-F69),0)</f>
        <v>-4318</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-10952</v>
      </c>
      <c r="R68" s="2427" t="s">
        <v>2379</v>
      </c>
    </row>
    <row r="69" spans="1:18" ht="20.25" thickBot="1">
      <c r="A69" s="788"/>
      <c r="B69" s="789"/>
      <c r="C69" s="790"/>
      <c r="D69" s="814"/>
      <c r="E69" s="782" t="s">
        <v>675</v>
      </c>
      <c r="F69" s="2368"/>
      <c r="O69" s="2422" t="s">
        <v>2347</v>
      </c>
      <c r="P69" s="2428" t="s">
        <v>2361</v>
      </c>
      <c r="Q69" s="2421">
        <f ca="1">ROUND(Q70-Q71*Q72,0)</f>
        <v>-557</v>
      </c>
      <c r="R69" s="2424"/>
    </row>
    <row r="70" spans="1:18" ht="15.75" thickBot="1">
      <c r="A70" s="821" t="s">
        <v>1749</v>
      </c>
      <c r="B70" s="822" t="s">
        <v>1772</v>
      </c>
      <c r="C70" s="823">
        <f ca="1">ROUND(C67*10000/F70,0)</f>
        <v>-1292</v>
      </c>
      <c r="D70" s="824" t="s">
        <v>1773</v>
      </c>
      <c r="E70" s="825" t="s">
        <v>1774</v>
      </c>
      <c r="F70" s="826">
        <f ca="1">F43</f>
        <v>33424.14</v>
      </c>
      <c r="O70" s="2422" t="s">
        <v>2362</v>
      </c>
      <c r="P70" s="2428" t="s">
        <v>2363</v>
      </c>
      <c r="Q70" s="2421">
        <f ca="1">C39</f>
        <v>658</v>
      </c>
      <c r="R70" s="2420" t="s">
        <v>2343</v>
      </c>
    </row>
    <row r="71" spans="1:18" ht="15.75" thickBot="1">
      <c r="O71" s="2422" t="s">
        <v>2364</v>
      </c>
      <c r="P71" s="2428" t="s">
        <v>2365</v>
      </c>
      <c r="Q71" s="2421">
        <f ca="1">C13</f>
        <v>14294</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17860</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33" sqref="L3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t="s">
        <v>2969</v>
      </c>
      <c r="C1" s="502" t="s">
        <v>757</v>
      </c>
      <c r="D1" s="847" t="s">
        <v>34</v>
      </c>
      <c r="E1" s="504"/>
      <c r="F1" s="2828" t="s">
        <v>3074</v>
      </c>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f>IF(B37="元/平方米",ROUND(B3*D3/10000,0),ROUND(F3*C39/10000,0))</f>
        <v>21268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f>IF(B37="元/平方米",C39,ROUND(B2*10000/D3,0))</f>
        <v>4862</v>
      </c>
      <c r="C3" s="850" t="s">
        <v>761</v>
      </c>
      <c r="D3" s="849">
        <f>SUMIF('数据-汇总表'!$C19:$C33,D1,'数据-汇总表'!$E19:$E33)</f>
        <v>43743.43</v>
      </c>
      <c r="E3" s="1845" t="s">
        <v>2039</v>
      </c>
      <c r="F3" s="849">
        <f>SUMIF('数据-取费表'!A5:A15,D1,'数据-取费表'!AH5:AH15)</f>
        <v>963</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26" t="s">
        <v>763</v>
      </c>
      <c r="D4" s="3427"/>
      <c r="E4" s="3426" t="s">
        <v>764</v>
      </c>
      <c r="F4" s="3427"/>
      <c r="G4" s="3426" t="s">
        <v>765</v>
      </c>
      <c r="H4" s="3427"/>
      <c r="I4" s="3426" t="s">
        <v>766</v>
      </c>
      <c r="J4" s="3427"/>
      <c r="K4" s="512" t="s">
        <v>767</v>
      </c>
      <c r="L4" s="2130"/>
      <c r="M4" s="2131"/>
      <c r="N4" s="2131"/>
      <c r="O4" s="2131"/>
      <c r="P4" s="3428" t="s">
        <v>768</v>
      </c>
      <c r="Q4" s="3429"/>
      <c r="R4" s="3414" t="s">
        <v>764</v>
      </c>
      <c r="S4" s="3415"/>
      <c r="T4" s="3414" t="s">
        <v>765</v>
      </c>
      <c r="U4" s="3415"/>
      <c r="V4" s="3434" t="s">
        <v>766</v>
      </c>
      <c r="W4" s="3434"/>
      <c r="X4" s="1565"/>
      <c r="Y4" s="3414" t="s">
        <v>768</v>
      </c>
      <c r="Z4" s="3415"/>
      <c r="AA4" s="3409" t="s">
        <v>764</v>
      </c>
      <c r="AB4" s="3410" t="s">
        <v>765</v>
      </c>
      <c r="AC4" s="3409" t="s">
        <v>766</v>
      </c>
    </row>
    <row r="5" spans="1:29" ht="15">
      <c r="A5" s="513"/>
      <c r="B5" s="514"/>
      <c r="C5" s="3537" t="s">
        <v>3079</v>
      </c>
      <c r="D5" s="3456"/>
      <c r="E5" s="3537" t="s">
        <v>3089</v>
      </c>
      <c r="F5" s="3456"/>
      <c r="G5" s="3537" t="s">
        <v>3090</v>
      </c>
      <c r="H5" s="3456"/>
      <c r="I5" s="3537" t="s">
        <v>3091</v>
      </c>
      <c r="J5" s="3456"/>
      <c r="K5" s="512"/>
      <c r="L5" s="2130"/>
      <c r="M5" s="2131"/>
      <c r="N5" s="2131"/>
      <c r="O5" s="2131"/>
      <c r="P5" s="3430"/>
      <c r="Q5" s="3431"/>
      <c r="R5" s="3416"/>
      <c r="S5" s="3417"/>
      <c r="T5" s="3416"/>
      <c r="U5" s="3417"/>
      <c r="V5" s="3434"/>
      <c r="W5" s="3434"/>
      <c r="X5" s="1565"/>
      <c r="Y5" s="3416"/>
      <c r="Z5" s="3417"/>
      <c r="AA5" s="3410"/>
      <c r="AB5" s="3410"/>
      <c r="AC5" s="3410"/>
    </row>
    <row r="6" spans="1:29" ht="15.75" thickBot="1">
      <c r="A6" s="515"/>
      <c r="B6" s="516"/>
      <c r="C6" s="3457" t="s">
        <v>2885</v>
      </c>
      <c r="D6" s="3458"/>
      <c r="E6" s="3538" t="s">
        <v>2885</v>
      </c>
      <c r="F6" s="3539"/>
      <c r="G6" s="3457" t="s">
        <v>2885</v>
      </c>
      <c r="H6" s="3458"/>
      <c r="I6" s="3457" t="s">
        <v>2885</v>
      </c>
      <c r="J6" s="3458"/>
      <c r="K6" s="512" t="s">
        <v>493</v>
      </c>
      <c r="L6" s="2130"/>
      <c r="M6" s="2131"/>
      <c r="N6" s="2131"/>
      <c r="O6" s="2131"/>
      <c r="P6" s="3432"/>
      <c r="Q6" s="3433"/>
      <c r="R6" s="3416"/>
      <c r="S6" s="3417"/>
      <c r="T6" s="3418"/>
      <c r="U6" s="3419"/>
      <c r="V6" s="3434"/>
      <c r="W6" s="3434"/>
      <c r="X6" s="1565"/>
      <c r="Y6" s="3418"/>
      <c r="Z6" s="3419"/>
      <c r="AA6" s="3411"/>
      <c r="AB6" s="3411"/>
      <c r="AC6" s="3411"/>
    </row>
    <row r="7" spans="1:29" s="1218" customFormat="1" ht="15.75" thickBot="1">
      <c r="A7" s="2933"/>
      <c r="B7" s="2940" t="s">
        <v>494</v>
      </c>
      <c r="C7" s="517">
        <f>'数据-取费表'!B2</f>
        <v>43234</v>
      </c>
      <c r="D7" s="518">
        <v>100</v>
      </c>
      <c r="E7" s="519">
        <v>43191</v>
      </c>
      <c r="F7" s="520">
        <f>SUMIF(48:48,YEAR(E7)&amp;"-"&amp;MONTH(E7),49:49)</f>
        <v>99</v>
      </c>
      <c r="G7" s="521">
        <v>43191</v>
      </c>
      <c r="H7" s="518">
        <f>SUMIF(48:48,YEAR(G7)&amp;"-"&amp;MONTH(G7),49:49)</f>
        <v>99</v>
      </c>
      <c r="I7" s="521">
        <v>43191</v>
      </c>
      <c r="J7" s="518">
        <f>SUMIF(48:48,YEAR(I7)&amp;"-"&amp;MONTH(I7),49:49)</f>
        <v>99</v>
      </c>
      <c r="K7" s="522"/>
      <c r="L7" s="2132"/>
      <c r="M7" s="2133"/>
      <c r="N7" s="2133"/>
      <c r="O7" s="2133"/>
      <c r="P7" s="3412" t="s">
        <v>495</v>
      </c>
      <c r="Q7" s="3421"/>
      <c r="R7" s="1566" t="s">
        <v>8</v>
      </c>
      <c r="S7" s="1567">
        <f t="shared" ref="S7:S14" si="0">F7</f>
        <v>99</v>
      </c>
      <c r="T7" s="1566" t="s">
        <v>8</v>
      </c>
      <c r="U7" s="1567">
        <f t="shared" ref="U7:U14" si="1">H7</f>
        <v>99</v>
      </c>
      <c r="V7" s="1566" t="s">
        <v>8</v>
      </c>
      <c r="W7" s="1567">
        <f t="shared" ref="W7:W14" si="2">J7</f>
        <v>99</v>
      </c>
      <c r="X7" s="1568"/>
      <c r="Y7" s="3412" t="s">
        <v>495</v>
      </c>
      <c r="Z7" s="3413"/>
      <c r="AA7" s="1569">
        <f>D7/F7</f>
        <v>1.0101010101010102</v>
      </c>
      <c r="AB7" s="1569">
        <f>D7/H7</f>
        <v>1.0101010101010102</v>
      </c>
      <c r="AC7" s="1569">
        <f>D7/J7</f>
        <v>1.0101010101010102</v>
      </c>
    </row>
    <row r="8" spans="1:29" s="1218" customFormat="1" ht="15.75" thickBot="1">
      <c r="A8" s="2934"/>
      <c r="B8" s="2941" t="s">
        <v>496</v>
      </c>
      <c r="C8" s="523" t="s">
        <v>541</v>
      </c>
      <c r="D8" s="518">
        <v>100</v>
      </c>
      <c r="E8" s="523" t="s">
        <v>3092</v>
      </c>
      <c r="F8" s="520">
        <f>SUMIF(51:51,E8,52:52)-SUMIF(51:51,C8,52:52)+100</f>
        <v>100</v>
      </c>
      <c r="G8" s="523" t="s">
        <v>3092</v>
      </c>
      <c r="H8" s="518">
        <f>SUMIF(51:51,G8,52:52)-SUMIF(51:51,C8,52:52)+100</f>
        <v>100</v>
      </c>
      <c r="I8" s="523" t="s">
        <v>3092</v>
      </c>
      <c r="J8" s="518">
        <f>SUMIF(51:51,I8,52:52)-SUMIF(51:51,C8,52:52)+100</f>
        <v>100</v>
      </c>
      <c r="K8" s="522"/>
      <c r="L8" s="2132"/>
      <c r="M8" s="2133"/>
      <c r="N8" s="2133"/>
      <c r="O8" s="2133"/>
      <c r="P8" s="3412" t="s">
        <v>498</v>
      </c>
      <c r="Q8" s="3413"/>
      <c r="R8" s="1566" t="s">
        <v>8</v>
      </c>
      <c r="S8" s="1567">
        <f t="shared" si="0"/>
        <v>100</v>
      </c>
      <c r="T8" s="1566" t="s">
        <v>8</v>
      </c>
      <c r="U8" s="1567">
        <f t="shared" si="1"/>
        <v>100</v>
      </c>
      <c r="V8" s="1566" t="s">
        <v>8</v>
      </c>
      <c r="W8" s="1567">
        <f t="shared" si="2"/>
        <v>100</v>
      </c>
      <c r="X8" s="1568"/>
      <c r="Y8" s="3412" t="s">
        <v>498</v>
      </c>
      <c r="Z8" s="3413"/>
      <c r="AA8" s="1569">
        <f t="shared" ref="AA8:AA36" si="3">D8/F8</f>
        <v>1</v>
      </c>
      <c r="AB8" s="1569">
        <f t="shared" ref="AB8:AB36" si="4">D8/H8</f>
        <v>1</v>
      </c>
      <c r="AC8" s="1569">
        <f t="shared" ref="AC8:AC36" si="5">D8/J8</f>
        <v>1</v>
      </c>
    </row>
    <row r="9" spans="1:29" s="1218" customFormat="1" ht="15">
      <c r="A9" s="2935"/>
      <c r="B9" s="2942" t="s">
        <v>2718</v>
      </c>
      <c r="C9" s="3234" t="s">
        <v>3077</v>
      </c>
      <c r="D9" s="252">
        <v>100</v>
      </c>
      <c r="E9" s="858" t="s">
        <v>3076</v>
      </c>
      <c r="F9" s="252">
        <f>SUMIF(53:53,E9,54:54)-SUMIF(53:53,C9,54:54)+100</f>
        <v>100</v>
      </c>
      <c r="G9" s="858" t="s">
        <v>3076</v>
      </c>
      <c r="H9" s="252">
        <f>SUMIF(53:53,G9,54:54)-SUMIF(53:53,C9,54:54)+100</f>
        <v>100</v>
      </c>
      <c r="I9" s="858" t="s">
        <v>3076</v>
      </c>
      <c r="J9" s="252">
        <f>SUMIF(53:53,I9,54:54)-SUMIF(53:53,C9,54:54)+100</f>
        <v>100</v>
      </c>
      <c r="K9" s="522"/>
      <c r="L9" s="2132"/>
      <c r="M9" s="2133"/>
      <c r="N9" s="2133"/>
      <c r="O9" s="2134"/>
      <c r="P9" s="3420" t="s">
        <v>500</v>
      </c>
      <c r="Q9" s="1149" t="str">
        <f t="shared" ref="Q9:Q14" si="6">B9</f>
        <v>用途</v>
      </c>
      <c r="R9" s="1566" t="s">
        <v>8</v>
      </c>
      <c r="S9" s="1567">
        <f t="shared" si="0"/>
        <v>100</v>
      </c>
      <c r="T9" s="1566" t="s">
        <v>8</v>
      </c>
      <c r="U9" s="1567">
        <f t="shared" si="1"/>
        <v>100</v>
      </c>
      <c r="V9" s="1566" t="s">
        <v>8</v>
      </c>
      <c r="W9" s="1567">
        <f t="shared" si="2"/>
        <v>100</v>
      </c>
      <c r="X9" s="1568"/>
      <c r="Y9" s="3377" t="s">
        <v>501</v>
      </c>
      <c r="Z9" s="1148" t="str">
        <f t="shared" ref="Z9:Z14" si="7">Q9</f>
        <v>用途</v>
      </c>
      <c r="AA9" s="1569">
        <f t="shared" si="3"/>
        <v>1</v>
      </c>
      <c r="AB9" s="1569">
        <f t="shared" si="4"/>
        <v>1</v>
      </c>
      <c r="AC9" s="1569">
        <f t="shared" si="5"/>
        <v>1</v>
      </c>
    </row>
    <row r="10" spans="1:29" s="1336" customFormat="1" ht="27">
      <c r="A10" s="2936"/>
      <c r="B10" s="2941" t="s">
        <v>2719</v>
      </c>
      <c r="C10" s="859" t="s">
        <v>3078</v>
      </c>
      <c r="D10" s="253">
        <v>100</v>
      </c>
      <c r="E10" s="859" t="s">
        <v>3078</v>
      </c>
      <c r="F10" s="253">
        <f>SUMIF(55:55,E10,56:56)-SUMIF(55:55,C10,56:56)+100</f>
        <v>100</v>
      </c>
      <c r="G10" s="859" t="s">
        <v>3078</v>
      </c>
      <c r="H10" s="253">
        <f>SUMIF(55:55,G10,56:56)-SUMIF(55:55,C10,56:56)+100</f>
        <v>100</v>
      </c>
      <c r="I10" s="859" t="s">
        <v>3078</v>
      </c>
      <c r="J10" s="253">
        <f>SUMIF(55:55,I10,56:56)-SUMIF(55:55,C10,56:56)+100</f>
        <v>100</v>
      </c>
      <c r="K10" s="582">
        <v>1</v>
      </c>
      <c r="L10" s="2135"/>
      <c r="M10" s="2175"/>
      <c r="N10" s="2175"/>
      <c r="O10" s="2136"/>
      <c r="P10" s="3420"/>
      <c r="Q10" s="1149" t="str">
        <f t="shared" si="6"/>
        <v>土地使用年限（年）</v>
      </c>
      <c r="R10" s="1566" t="s">
        <v>8</v>
      </c>
      <c r="S10" s="1567">
        <f t="shared" si="0"/>
        <v>100</v>
      </c>
      <c r="T10" s="1566" t="s">
        <v>8</v>
      </c>
      <c r="U10" s="1567">
        <f t="shared" si="1"/>
        <v>100</v>
      </c>
      <c r="V10" s="1566" t="s">
        <v>8</v>
      </c>
      <c r="W10" s="1567">
        <f t="shared" si="2"/>
        <v>100</v>
      </c>
      <c r="X10" s="1568"/>
      <c r="Y10" s="3377"/>
      <c r="Z10" s="1148" t="str">
        <f t="shared" si="7"/>
        <v>土地使用年限（年）</v>
      </c>
      <c r="AA10" s="1569">
        <f t="shared" si="3"/>
        <v>1</v>
      </c>
      <c r="AB10" s="1569">
        <f t="shared" si="4"/>
        <v>1</v>
      </c>
      <c r="AC10" s="1569">
        <f t="shared" si="5"/>
        <v>1</v>
      </c>
    </row>
    <row r="11" spans="1:29" ht="15">
      <c r="A11" s="2938"/>
      <c r="B11" s="2944"/>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420"/>
      <c r="Q11" s="1149">
        <f t="shared" si="6"/>
        <v>0</v>
      </c>
      <c r="R11" s="1566" t="s">
        <v>8</v>
      </c>
      <c r="S11" s="1567">
        <f t="shared" si="0"/>
        <v>100</v>
      </c>
      <c r="T11" s="1566" t="s">
        <v>8</v>
      </c>
      <c r="U11" s="1567">
        <f t="shared" si="1"/>
        <v>100</v>
      </c>
      <c r="V11" s="1566" t="s">
        <v>8</v>
      </c>
      <c r="W11" s="1567">
        <f t="shared" si="2"/>
        <v>100</v>
      </c>
      <c r="X11" s="1568"/>
      <c r="Y11" s="3377"/>
      <c r="Z11" s="1148">
        <f t="shared" si="7"/>
        <v>0</v>
      </c>
      <c r="AA11" s="1569">
        <f t="shared" si="3"/>
        <v>1</v>
      </c>
      <c r="AB11" s="1569">
        <f t="shared" si="4"/>
        <v>1</v>
      </c>
      <c r="AC11" s="1569">
        <f t="shared" si="5"/>
        <v>1</v>
      </c>
    </row>
    <row r="12" spans="1:29" s="1218" customFormat="1" ht="15">
      <c r="A12" s="2938"/>
      <c r="B12" s="2944"/>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420"/>
      <c r="Q12" s="1149">
        <f t="shared" si="6"/>
        <v>0</v>
      </c>
      <c r="R12" s="1566" t="s">
        <v>8</v>
      </c>
      <c r="S12" s="1567">
        <f t="shared" si="0"/>
        <v>100</v>
      </c>
      <c r="T12" s="1566" t="s">
        <v>8</v>
      </c>
      <c r="U12" s="1567">
        <f t="shared" si="1"/>
        <v>100</v>
      </c>
      <c r="V12" s="1566" t="s">
        <v>8</v>
      </c>
      <c r="W12" s="1567">
        <f t="shared" si="2"/>
        <v>100</v>
      </c>
      <c r="X12" s="1568"/>
      <c r="Y12" s="3377"/>
      <c r="Z12" s="1148">
        <f t="shared" si="7"/>
        <v>0</v>
      </c>
      <c r="AA12" s="1569">
        <f>D12/F12</f>
        <v>1</v>
      </c>
      <c r="AB12" s="1569">
        <f>D12/H12</f>
        <v>1</v>
      </c>
      <c r="AC12" s="1569">
        <f>D12/J12</f>
        <v>1</v>
      </c>
    </row>
    <row r="13" spans="1:29" ht="15.75" thickBot="1">
      <c r="A13" s="2939"/>
      <c r="B13" s="2945"/>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420"/>
      <c r="Q13" s="1149">
        <f t="shared" si="6"/>
        <v>0</v>
      </c>
      <c r="R13" s="1566" t="s">
        <v>8</v>
      </c>
      <c r="S13" s="1567">
        <f t="shared" si="0"/>
        <v>100</v>
      </c>
      <c r="T13" s="1566" t="s">
        <v>8</v>
      </c>
      <c r="U13" s="1567">
        <f t="shared" si="1"/>
        <v>100</v>
      </c>
      <c r="V13" s="1566" t="s">
        <v>8</v>
      </c>
      <c r="W13" s="1567">
        <f t="shared" si="2"/>
        <v>100</v>
      </c>
      <c r="X13" s="1568"/>
      <c r="Y13" s="3377"/>
      <c r="Z13" s="1148">
        <f t="shared" si="7"/>
        <v>0</v>
      </c>
      <c r="AA13" s="1569">
        <f t="shared" si="3"/>
        <v>1</v>
      </c>
      <c r="AB13" s="1569">
        <f t="shared" si="4"/>
        <v>1</v>
      </c>
      <c r="AC13" s="1569">
        <f t="shared" si="5"/>
        <v>1</v>
      </c>
    </row>
    <row r="14" spans="1:29" ht="99.75">
      <c r="A14" s="2931" t="s">
        <v>2716</v>
      </c>
      <c r="B14" s="545" t="s">
        <v>508</v>
      </c>
      <c r="C14" s="919" t="str">
        <f>IF(B1="工业",估价对象房地状况!G4,估价对象房地状况!C6)</f>
        <v>估价对象周边道路状况较好、公共交通通达情况较好、停车便捷程度较好，综合评价交通便捷度较好</v>
      </c>
      <c r="D14" s="547">
        <v>100</v>
      </c>
      <c r="E14" s="548" t="s">
        <v>3050</v>
      </c>
      <c r="F14" s="549">
        <f>SUMIF(63:63,E15,64:64)-SUMIF(63:63,C15,64:64)+100</f>
        <v>100</v>
      </c>
      <c r="G14" s="3238" t="s">
        <v>3095</v>
      </c>
      <c r="H14" s="547">
        <f>SUMIF(63:63,G15,64:64)-SUMIF(63:63,C15,64:64)+100</f>
        <v>102</v>
      </c>
      <c r="I14" s="548" t="s">
        <v>3050</v>
      </c>
      <c r="J14" s="547">
        <f>SUMIF(63:63,I15,64:64)-SUMIF(63:63,C15,64:64)+100</f>
        <v>100</v>
      </c>
      <c r="K14" s="896">
        <v>2</v>
      </c>
      <c r="L14" s="2139"/>
      <c r="M14" s="2131"/>
      <c r="N14" s="2131"/>
      <c r="O14" s="2138"/>
      <c r="P14" s="3422" t="s">
        <v>505</v>
      </c>
      <c r="Q14" s="1570" t="str">
        <f t="shared" si="6"/>
        <v>交通便捷度</v>
      </c>
      <c r="R14" s="1571" t="s">
        <v>8</v>
      </c>
      <c r="S14" s="1572">
        <f t="shared" si="0"/>
        <v>100</v>
      </c>
      <c r="T14" s="1571" t="s">
        <v>8</v>
      </c>
      <c r="U14" s="1572">
        <f t="shared" si="1"/>
        <v>102</v>
      </c>
      <c r="V14" s="1571" t="s">
        <v>8</v>
      </c>
      <c r="W14" s="1572">
        <f t="shared" si="2"/>
        <v>100</v>
      </c>
      <c r="X14" s="1565"/>
      <c r="Y14" s="3422" t="s">
        <v>505</v>
      </c>
      <c r="Z14" s="1573" t="str">
        <f t="shared" si="7"/>
        <v>交通便捷度</v>
      </c>
      <c r="AA14" s="1574">
        <f t="shared" si="3"/>
        <v>1</v>
      </c>
      <c r="AB14" s="1574">
        <f t="shared" si="4"/>
        <v>0.98039215686274506</v>
      </c>
      <c r="AC14" s="1574">
        <f t="shared" si="5"/>
        <v>1</v>
      </c>
    </row>
    <row r="15" spans="1:29" ht="15">
      <c r="A15" s="513"/>
      <c r="B15" s="922"/>
      <c r="C15" s="574" t="s">
        <v>2981</v>
      </c>
      <c r="D15" s="553"/>
      <c r="E15" s="574" t="s">
        <v>2981</v>
      </c>
      <c r="F15" s="555"/>
      <c r="G15" s="574" t="s">
        <v>3096</v>
      </c>
      <c r="H15" s="557"/>
      <c r="I15" s="574" t="s">
        <v>2981</v>
      </c>
      <c r="J15" s="553"/>
      <c r="K15" s="897"/>
      <c r="L15" s="2139"/>
      <c r="M15" s="2131"/>
      <c r="N15" s="2131"/>
      <c r="O15" s="2138"/>
      <c r="P15" s="3423"/>
      <c r="Q15" s="1570"/>
      <c r="R15" s="1571"/>
      <c r="S15" s="1572"/>
      <c r="T15" s="1571"/>
      <c r="U15" s="1572"/>
      <c r="V15" s="1571"/>
      <c r="W15" s="1572"/>
      <c r="X15" s="1565"/>
      <c r="Y15" s="3423"/>
      <c r="Z15" s="1573"/>
      <c r="AA15" s="1574">
        <v>1</v>
      </c>
      <c r="AB15" s="1574">
        <v>1</v>
      </c>
      <c r="AC15" s="1574">
        <v>1</v>
      </c>
    </row>
    <row r="16" spans="1:29" ht="42.75">
      <c r="A16" s="513"/>
      <c r="B16" s="2624" t="s">
        <v>2509</v>
      </c>
      <c r="C16" s="870" t="str">
        <f>IF(B1="工业",估价对象房地状况!G5,估价对象房地状况!C7)</f>
        <v>估价对象所在区域公共配套设施齐备情况一般</v>
      </c>
      <c r="D16" s="563">
        <v>100</v>
      </c>
      <c r="E16" s="570" t="s">
        <v>3053</v>
      </c>
      <c r="F16" s="569">
        <f>SUMIF(65:65,E17,66:66)-SUMIF(65:65,C17,66:66)+100</f>
        <v>100</v>
      </c>
      <c r="G16" s="3237" t="s">
        <v>3094</v>
      </c>
      <c r="H16" s="563">
        <f>SUMIF(65:65,G17,66:66)-SUMIF(65:65,C17,66:66)+100</f>
        <v>101</v>
      </c>
      <c r="I16" s="570" t="s">
        <v>3053</v>
      </c>
      <c r="J16" s="563">
        <f>SUMIF(65:65,I17,66:66)-SUMIF(65:65,C17,66:66)+100</f>
        <v>100</v>
      </c>
      <c r="K16" s="896">
        <v>1</v>
      </c>
      <c r="L16" s="2139"/>
      <c r="M16" s="2131"/>
      <c r="N16" s="2131"/>
      <c r="O16" s="2138"/>
      <c r="P16" s="3423"/>
      <c r="Q16" s="1570" t="str">
        <f>B16</f>
        <v>公共配套设施</v>
      </c>
      <c r="R16" s="1571" t="s">
        <v>8</v>
      </c>
      <c r="S16" s="1572">
        <f>F16</f>
        <v>100</v>
      </c>
      <c r="T16" s="1571" t="s">
        <v>8</v>
      </c>
      <c r="U16" s="1572">
        <f>H16</f>
        <v>101</v>
      </c>
      <c r="V16" s="1571" t="s">
        <v>8</v>
      </c>
      <c r="W16" s="1572">
        <f>J16</f>
        <v>100</v>
      </c>
      <c r="X16" s="1565"/>
      <c r="Y16" s="3423"/>
      <c r="Z16" s="1573" t="str">
        <f>Q16</f>
        <v>公共配套设施</v>
      </c>
      <c r="AA16" s="1574">
        <f t="shared" si="3"/>
        <v>1</v>
      </c>
      <c r="AB16" s="1574">
        <f t="shared" si="4"/>
        <v>0.99009900990099009</v>
      </c>
      <c r="AC16" s="1574">
        <f t="shared" si="5"/>
        <v>1</v>
      </c>
    </row>
    <row r="17" spans="1:29" ht="15">
      <c r="A17" s="513"/>
      <c r="B17" s="564"/>
      <c r="C17" s="871" t="s">
        <v>2978</v>
      </c>
      <c r="D17" s="553"/>
      <c r="E17" s="574" t="s">
        <v>2978</v>
      </c>
      <c r="F17" s="555"/>
      <c r="G17" s="574" t="s">
        <v>2981</v>
      </c>
      <c r="H17" s="553"/>
      <c r="I17" s="574" t="s">
        <v>2978</v>
      </c>
      <c r="J17" s="553"/>
      <c r="K17" s="897"/>
      <c r="L17" s="2139"/>
      <c r="M17" s="2131"/>
      <c r="N17" s="2131"/>
      <c r="O17" s="2138"/>
      <c r="P17" s="3423"/>
      <c r="Q17" s="1570"/>
      <c r="R17" s="1571"/>
      <c r="S17" s="1572"/>
      <c r="T17" s="1571"/>
      <c r="U17" s="1572"/>
      <c r="V17" s="1571"/>
      <c r="W17" s="1572"/>
      <c r="X17" s="1565"/>
      <c r="Y17" s="3423"/>
      <c r="Z17" s="1573"/>
      <c r="AA17" s="1574">
        <v>1</v>
      </c>
      <c r="AB17" s="1574">
        <v>1</v>
      </c>
      <c r="AC17" s="1574">
        <v>1</v>
      </c>
    </row>
    <row r="18" spans="1:29" ht="42.75">
      <c r="A18" s="513"/>
      <c r="B18" s="2612" t="s">
        <v>2521</v>
      </c>
      <c r="C18" s="870" t="str">
        <f>IF(B1="工业",估价对象房地状况!G6,估价对象房地状况!C8)</f>
        <v>估价对象所在区域基础设施水平好</v>
      </c>
      <c r="D18" s="557">
        <v>100</v>
      </c>
      <c r="E18" s="570" t="s">
        <v>3054</v>
      </c>
      <c r="F18" s="569">
        <f>SUMIF(67:67,E19,68:68)-SUMIF(67:67,C19,68:68)+100</f>
        <v>100</v>
      </c>
      <c r="G18" s="570" t="s">
        <v>3054</v>
      </c>
      <c r="H18" s="563">
        <f>SUMIF(67:67,G19,68:68)-SUMIF(67:67,C19,68:68)+100</f>
        <v>100</v>
      </c>
      <c r="I18" s="570" t="s">
        <v>3054</v>
      </c>
      <c r="J18" s="563">
        <f>SUMIF(67:67,I19,68:68)-SUMIF(67:67,C19,68:68)+100</f>
        <v>100</v>
      </c>
      <c r="K18" s="896">
        <v>1</v>
      </c>
      <c r="L18" s="2139"/>
      <c r="M18" s="2131"/>
      <c r="N18" s="2131"/>
      <c r="O18" s="2138"/>
      <c r="P18" s="3423"/>
      <c r="Q18" s="2600" t="str">
        <f>B18</f>
        <v>基础设施水平</v>
      </c>
      <c r="R18" s="1571" t="s">
        <v>8</v>
      </c>
      <c r="S18" s="1572">
        <f>F18</f>
        <v>100</v>
      </c>
      <c r="T18" s="1571" t="s">
        <v>8</v>
      </c>
      <c r="U18" s="1572">
        <f>H18</f>
        <v>100</v>
      </c>
      <c r="V18" s="1571" t="s">
        <v>8</v>
      </c>
      <c r="W18" s="1572">
        <f>J18</f>
        <v>100</v>
      </c>
      <c r="X18" s="2602"/>
      <c r="Y18" s="3423"/>
      <c r="Z18" s="2601" t="str">
        <f>Q18</f>
        <v>基础设施水平</v>
      </c>
      <c r="AA18" s="1574">
        <f t="shared" ref="AA18" si="8">D18/F18</f>
        <v>1</v>
      </c>
      <c r="AB18" s="1574">
        <f t="shared" ref="AB18" si="9">D18/H18</f>
        <v>1</v>
      </c>
      <c r="AC18" s="1574">
        <f t="shared" ref="AC18" si="10">D18/J18</f>
        <v>1</v>
      </c>
    </row>
    <row r="19" spans="1:29" ht="15">
      <c r="A19" s="513"/>
      <c r="B19" s="576"/>
      <c r="C19" s="871" t="s">
        <v>2982</v>
      </c>
      <c r="D19" s="557"/>
      <c r="E19" s="574" t="s">
        <v>2982</v>
      </c>
      <c r="F19" s="555"/>
      <c r="G19" s="574" t="s">
        <v>2982</v>
      </c>
      <c r="H19" s="553"/>
      <c r="I19" s="574" t="s">
        <v>2982</v>
      </c>
      <c r="J19" s="553"/>
      <c r="K19" s="2623"/>
      <c r="L19" s="2139"/>
      <c r="M19" s="2131"/>
      <c r="N19" s="2131"/>
      <c r="O19" s="2138"/>
      <c r="P19" s="3423"/>
      <c r="Q19" s="2600"/>
      <c r="R19" s="1571"/>
      <c r="S19" s="1572"/>
      <c r="T19" s="1571"/>
      <c r="U19" s="1572"/>
      <c r="V19" s="1571"/>
      <c r="W19" s="1572"/>
      <c r="X19" s="2602"/>
      <c r="Y19" s="3423"/>
      <c r="Z19" s="2601"/>
      <c r="AA19" s="1574">
        <v>1</v>
      </c>
      <c r="AB19" s="1574">
        <v>1</v>
      </c>
      <c r="AC19" s="1574">
        <v>1</v>
      </c>
    </row>
    <row r="20" spans="1:29" ht="57">
      <c r="A20" s="513"/>
      <c r="B20" s="558" t="s">
        <v>769</v>
      </c>
      <c r="C20" s="870" t="str">
        <f>IF(B1="工业",估价对象房地状况!G7,估价对象房地状况!C9)</f>
        <v>区域自然环境及人文环境较好；综合评价环境状况较好</v>
      </c>
      <c r="D20" s="563">
        <v>100</v>
      </c>
      <c r="E20" s="560" t="s">
        <v>3052</v>
      </c>
      <c r="F20" s="561">
        <f>SUMIF(69:69,E21,70:70)-SUMIF(69:69,C21,70:70)+100</f>
        <v>100</v>
      </c>
      <c r="G20" s="560" t="s">
        <v>3052</v>
      </c>
      <c r="H20" s="557">
        <f>SUMIF(69:69,G21,70:70)-SUMIF(69:69,C21,70:70)+100</f>
        <v>100</v>
      </c>
      <c r="I20" s="560" t="s">
        <v>3052</v>
      </c>
      <c r="J20" s="557">
        <f>SUMIF(69:69,I21,70:70)-SUMIF(69:69,C21,70:70)+100</f>
        <v>100</v>
      </c>
      <c r="K20" s="896">
        <v>1</v>
      </c>
      <c r="L20" s="2139"/>
      <c r="M20" s="2131"/>
      <c r="N20" s="2131"/>
      <c r="O20" s="2138"/>
      <c r="P20" s="3423"/>
      <c r="Q20" s="1570" t="str">
        <f>B20</f>
        <v>自然及人文环境</v>
      </c>
      <c r="R20" s="1571" t="s">
        <v>8</v>
      </c>
      <c r="S20" s="1572">
        <f>F20</f>
        <v>100</v>
      </c>
      <c r="T20" s="1571" t="s">
        <v>8</v>
      </c>
      <c r="U20" s="1572">
        <f>H20</f>
        <v>100</v>
      </c>
      <c r="V20" s="1571" t="s">
        <v>8</v>
      </c>
      <c r="W20" s="1572">
        <f>J20</f>
        <v>100</v>
      </c>
      <c r="X20" s="1565"/>
      <c r="Y20" s="3423"/>
      <c r="Z20" s="1573" t="str">
        <f>Q20</f>
        <v>自然及人文环境</v>
      </c>
      <c r="AA20" s="1574">
        <f t="shared" si="3"/>
        <v>1</v>
      </c>
      <c r="AB20" s="1574">
        <f t="shared" si="4"/>
        <v>1</v>
      </c>
      <c r="AC20" s="1574">
        <f t="shared" si="5"/>
        <v>1</v>
      </c>
    </row>
    <row r="21" spans="1:29" ht="15">
      <c r="A21" s="513"/>
      <c r="B21" s="564"/>
      <c r="C21" s="574" t="s">
        <v>2981</v>
      </c>
      <c r="D21" s="553"/>
      <c r="E21" s="574" t="s">
        <v>2981</v>
      </c>
      <c r="F21" s="555"/>
      <c r="G21" s="574" t="s">
        <v>2981</v>
      </c>
      <c r="H21" s="553"/>
      <c r="I21" s="574" t="s">
        <v>2981</v>
      </c>
      <c r="J21" s="553"/>
      <c r="K21" s="897"/>
      <c r="L21" s="2139"/>
      <c r="M21" s="2131"/>
      <c r="N21" s="2131"/>
      <c r="O21" s="2138"/>
      <c r="P21" s="3423"/>
      <c r="Q21" s="1570"/>
      <c r="R21" s="1571"/>
      <c r="S21" s="1572"/>
      <c r="T21" s="1571"/>
      <c r="U21" s="1572"/>
      <c r="V21" s="1571"/>
      <c r="W21" s="1572"/>
      <c r="X21" s="1565"/>
      <c r="Y21" s="3423"/>
      <c r="Z21" s="1573"/>
      <c r="AA21" s="1574">
        <v>1</v>
      </c>
      <c r="AB21" s="1574">
        <v>1</v>
      </c>
      <c r="AC21" s="1574">
        <v>1</v>
      </c>
    </row>
    <row r="22" spans="1:29" ht="15">
      <c r="A22" s="513"/>
      <c r="B22" s="558" t="s">
        <v>770</v>
      </c>
      <c r="C22" s="581" t="s">
        <v>3080</v>
      </c>
      <c r="D22" s="557">
        <v>100</v>
      </c>
      <c r="E22" s="581" t="s">
        <v>3080</v>
      </c>
      <c r="F22" s="573">
        <f>SUMIF(71:71,E22,72:72)-SUMIF(71:71,C22,72:72)+100</f>
        <v>100</v>
      </c>
      <c r="G22" s="581" t="s">
        <v>3080</v>
      </c>
      <c r="H22" s="538">
        <f>SUMIF(71:71,G22,72:72)-SUMIF(71:71,C22,72:72)+100</f>
        <v>100</v>
      </c>
      <c r="I22" s="581" t="s">
        <v>3080</v>
      </c>
      <c r="J22" s="538">
        <f>SUMIF(71:71,I22,72:72)-SUMIF(71:71,C22,72:72)+100</f>
        <v>100</v>
      </c>
      <c r="K22" s="582">
        <v>1</v>
      </c>
      <c r="L22" s="2139"/>
      <c r="M22" s="2131"/>
      <c r="N22" s="2131"/>
      <c r="O22" s="2138"/>
      <c r="P22" s="3423"/>
      <c r="Q22" s="1570" t="str">
        <f>B22</f>
        <v>楼层</v>
      </c>
      <c r="R22" s="1571" t="s">
        <v>8</v>
      </c>
      <c r="S22" s="1572">
        <f>F22</f>
        <v>100</v>
      </c>
      <c r="T22" s="1571" t="s">
        <v>8</v>
      </c>
      <c r="U22" s="1572">
        <f>H22</f>
        <v>100</v>
      </c>
      <c r="V22" s="1571" t="s">
        <v>8</v>
      </c>
      <c r="W22" s="1572">
        <f>J22</f>
        <v>100</v>
      </c>
      <c r="X22" s="1565"/>
      <c r="Y22" s="3423"/>
      <c r="Z22" s="1573" t="str">
        <f>Q22</f>
        <v>楼层</v>
      </c>
      <c r="AA22" s="1574">
        <f t="shared" si="3"/>
        <v>1</v>
      </c>
      <c r="AB22" s="1574">
        <f t="shared" si="4"/>
        <v>1</v>
      </c>
      <c r="AC22" s="1574">
        <f t="shared" si="5"/>
        <v>1</v>
      </c>
    </row>
    <row r="23" spans="1:29" ht="15">
      <c r="A23" s="513"/>
      <c r="B23" s="923"/>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23"/>
      <c r="Q23" s="1570">
        <f>B23</f>
        <v>0</v>
      </c>
      <c r="R23" s="1571" t="s">
        <v>8</v>
      </c>
      <c r="S23" s="1572">
        <f>F23</f>
        <v>100</v>
      </c>
      <c r="T23" s="1571" t="s">
        <v>8</v>
      </c>
      <c r="U23" s="1572">
        <f>H23</f>
        <v>100</v>
      </c>
      <c r="V23" s="1571" t="s">
        <v>8</v>
      </c>
      <c r="W23" s="1572">
        <f>J23</f>
        <v>100</v>
      </c>
      <c r="X23" s="1565"/>
      <c r="Y23" s="3423"/>
      <c r="Z23" s="1573">
        <f>Q23</f>
        <v>0</v>
      </c>
      <c r="AA23" s="1574">
        <f t="shared" si="3"/>
        <v>1</v>
      </c>
      <c r="AB23" s="1574">
        <f t="shared" si="4"/>
        <v>1</v>
      </c>
      <c r="AC23" s="1574">
        <f t="shared" si="5"/>
        <v>1</v>
      </c>
    </row>
    <row r="24" spans="1:29" ht="15">
      <c r="A24" s="513"/>
      <c r="B24" s="923"/>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23"/>
      <c r="Q24" s="1570">
        <f t="shared" ref="Q24:Q36" si="11">B24</f>
        <v>0</v>
      </c>
      <c r="R24" s="1571" t="s">
        <v>8</v>
      </c>
      <c r="S24" s="1572">
        <f>F24</f>
        <v>100</v>
      </c>
      <c r="T24" s="1571" t="s">
        <v>8</v>
      </c>
      <c r="U24" s="1572">
        <f>H24</f>
        <v>100</v>
      </c>
      <c r="V24" s="1571" t="s">
        <v>8</v>
      </c>
      <c r="W24" s="1572">
        <f>J24</f>
        <v>100</v>
      </c>
      <c r="X24" s="1565"/>
      <c r="Y24" s="3423"/>
      <c r="Z24" s="1573">
        <f>Q24</f>
        <v>0</v>
      </c>
      <c r="AA24" s="1574">
        <f t="shared" si="3"/>
        <v>1</v>
      </c>
      <c r="AB24" s="1574">
        <f t="shared" si="4"/>
        <v>1</v>
      </c>
      <c r="AC24" s="1574">
        <f t="shared" si="5"/>
        <v>1</v>
      </c>
    </row>
    <row r="25" spans="1:29" s="1218" customFormat="1" ht="15.75" thickBot="1">
      <c r="A25" s="575"/>
      <c r="B25" s="912"/>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23"/>
      <c r="Q25" s="1149">
        <f t="shared" si="11"/>
        <v>0</v>
      </c>
      <c r="R25" s="1566" t="s">
        <v>8</v>
      </c>
      <c r="S25" s="1567">
        <f>F25</f>
        <v>100</v>
      </c>
      <c r="T25" s="1566" t="s">
        <v>8</v>
      </c>
      <c r="U25" s="1567">
        <f>H25</f>
        <v>100</v>
      </c>
      <c r="V25" s="1566" t="s">
        <v>8</v>
      </c>
      <c r="W25" s="1567">
        <f>J25</f>
        <v>100</v>
      </c>
      <c r="X25" s="1568"/>
      <c r="Y25" s="3423"/>
      <c r="Z25" s="1148">
        <f>Q25</f>
        <v>0</v>
      </c>
      <c r="AA25" s="1574">
        <f>D25/F25</f>
        <v>1</v>
      </c>
      <c r="AB25" s="1574">
        <f>D25/H25</f>
        <v>1</v>
      </c>
      <c r="AC25" s="1574">
        <f>D25/J25</f>
        <v>1</v>
      </c>
    </row>
    <row r="26" spans="1:29" ht="15">
      <c r="A26" s="2928" t="s">
        <v>2717</v>
      </c>
      <c r="B26" s="169" t="s">
        <v>771</v>
      </c>
      <c r="C26" s="926" t="str">
        <f>B1</f>
        <v>车库</v>
      </c>
      <c r="D26" s="553">
        <v>100</v>
      </c>
      <c r="E26" s="574" t="s">
        <v>2969</v>
      </c>
      <c r="F26" s="555">
        <f>SUMIF(79:79,E26,80:80)-SUMIF(79:79,C26,80:80)+100</f>
        <v>100</v>
      </c>
      <c r="G26" s="574" t="s">
        <v>2969</v>
      </c>
      <c r="H26" s="553">
        <f>SUMIF(79:79,G26,80:80)-SUMIF(79:79,C26,80:80)+100</f>
        <v>100</v>
      </c>
      <c r="I26" s="574" t="s">
        <v>2969</v>
      </c>
      <c r="J26" s="553">
        <f>SUMIF(79:79,I26,80:80)-SUMIF(79:79,C26,80:80)+100</f>
        <v>100</v>
      </c>
      <c r="K26" s="582">
        <v>1</v>
      </c>
      <c r="L26" s="2139"/>
      <c r="M26" s="2131"/>
      <c r="N26" s="2131"/>
      <c r="O26" s="2138"/>
      <c r="P26" s="3424"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5" t="s">
        <v>515</v>
      </c>
      <c r="Z26" s="1573" t="str">
        <f t="shared" ref="Z26:Z36" si="15">Q26</f>
        <v>配套类型</v>
      </c>
      <c r="AA26" s="1574">
        <f t="shared" si="3"/>
        <v>1</v>
      </c>
      <c r="AB26" s="1574">
        <f t="shared" si="4"/>
        <v>1</v>
      </c>
      <c r="AC26" s="1574">
        <f t="shared" si="5"/>
        <v>1</v>
      </c>
    </row>
    <row r="27" spans="1:29" s="1337" customFormat="1" ht="15">
      <c r="A27" s="927"/>
      <c r="B27" s="580" t="s">
        <v>772</v>
      </c>
      <c r="C27" s="3235" t="s">
        <v>3093</v>
      </c>
      <c r="D27" s="253">
        <v>100</v>
      </c>
      <c r="E27" s="928" t="s">
        <v>2981</v>
      </c>
      <c r="F27" s="573">
        <f>SUMIF(81:81,E27,82:82)-SUMIF(81:81,C27,82:82)+100</f>
        <v>100</v>
      </c>
      <c r="G27" s="928" t="s">
        <v>2981</v>
      </c>
      <c r="H27" s="538">
        <f>SUMIF(81:81,G27,82:82)-SUMIF(81:81,C27,82:82)+100</f>
        <v>100</v>
      </c>
      <c r="I27" s="928" t="s">
        <v>2981</v>
      </c>
      <c r="J27" s="538">
        <f>SUMIF(81:81,I27,82:82)-SUMIF(81:81,C27,82:82)+100</f>
        <v>100</v>
      </c>
      <c r="K27" s="579"/>
      <c r="L27" s="2137"/>
      <c r="M27" s="2168"/>
      <c r="N27" s="2168"/>
      <c r="O27" s="2140"/>
      <c r="P27" s="3425"/>
      <c r="Q27" s="1603" t="str">
        <f t="shared" si="11"/>
        <v>项目停车位配比</v>
      </c>
      <c r="R27" s="1575" t="s">
        <v>8</v>
      </c>
      <c r="S27" s="1576">
        <f t="shared" si="12"/>
        <v>100</v>
      </c>
      <c r="T27" s="1575" t="s">
        <v>8</v>
      </c>
      <c r="U27" s="1576">
        <f t="shared" si="13"/>
        <v>100</v>
      </c>
      <c r="V27" s="1575" t="s">
        <v>8</v>
      </c>
      <c r="W27" s="1576">
        <f t="shared" si="14"/>
        <v>100</v>
      </c>
      <c r="X27" s="1577"/>
      <c r="Y27" s="3425"/>
      <c r="Z27" s="1578" t="str">
        <f t="shared" si="15"/>
        <v>项目停车位配比</v>
      </c>
      <c r="AA27" s="1574">
        <f t="shared" si="3"/>
        <v>1</v>
      </c>
      <c r="AB27" s="1574">
        <f t="shared" si="4"/>
        <v>1</v>
      </c>
      <c r="AC27" s="1574">
        <f t="shared" si="5"/>
        <v>1</v>
      </c>
    </row>
    <row r="28" spans="1:29" ht="15">
      <c r="A28" s="929"/>
      <c r="B28" s="580" t="s">
        <v>773</v>
      </c>
      <c r="C28" s="572" t="s">
        <v>3082</v>
      </c>
      <c r="D28" s="538">
        <v>100</v>
      </c>
      <c r="E28" s="572" t="s">
        <v>3082</v>
      </c>
      <c r="F28" s="573">
        <f>SUMIF(83:83,E28,84:84)-SUMIF(83:83,C28,84:84)+100</f>
        <v>100</v>
      </c>
      <c r="G28" s="572" t="s">
        <v>3082</v>
      </c>
      <c r="H28" s="538">
        <f>SUMIF(83:83,G28,84:84)-SUMIF(83:83,C28,84:84)+100</f>
        <v>100</v>
      </c>
      <c r="I28" s="572" t="s">
        <v>3082</v>
      </c>
      <c r="J28" s="538">
        <f>SUMIF(83:83,I28,84:84)-SUMIF(83:83,C28,84:84)+100</f>
        <v>100</v>
      </c>
      <c r="K28" s="582">
        <v>1</v>
      </c>
      <c r="L28" s="2139"/>
      <c r="M28" s="2131"/>
      <c r="N28" s="2131"/>
      <c r="O28" s="2138"/>
      <c r="P28" s="3425"/>
      <c r="Q28" s="1570" t="str">
        <f t="shared" si="11"/>
        <v>公共部分装修</v>
      </c>
      <c r="R28" s="1571" t="s">
        <v>8</v>
      </c>
      <c r="S28" s="1572">
        <f t="shared" si="12"/>
        <v>100</v>
      </c>
      <c r="T28" s="1571" t="s">
        <v>8</v>
      </c>
      <c r="U28" s="1572">
        <f t="shared" si="13"/>
        <v>100</v>
      </c>
      <c r="V28" s="1571" t="s">
        <v>8</v>
      </c>
      <c r="W28" s="1572">
        <f t="shared" si="14"/>
        <v>100</v>
      </c>
      <c r="X28" s="1565"/>
      <c r="Y28" s="3425"/>
      <c r="Z28" s="1573" t="str">
        <f t="shared" si="15"/>
        <v>公共部分装修</v>
      </c>
      <c r="AA28" s="1574">
        <f t="shared" si="3"/>
        <v>1</v>
      </c>
      <c r="AB28" s="1574">
        <f t="shared" si="4"/>
        <v>1</v>
      </c>
      <c r="AC28" s="1574">
        <f t="shared" si="5"/>
        <v>1</v>
      </c>
    </row>
    <row r="29" spans="1:29" ht="15">
      <c r="A29" s="929"/>
      <c r="B29" s="580" t="s">
        <v>774</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39"/>
      <c r="M29" s="2131"/>
      <c r="N29" s="2131"/>
      <c r="O29" s="2138"/>
      <c r="P29" s="3425"/>
      <c r="Q29" s="1570" t="str">
        <f t="shared" si="11"/>
        <v>成新率</v>
      </c>
      <c r="R29" s="1571" t="s">
        <v>8</v>
      </c>
      <c r="S29" s="1572">
        <f t="shared" si="12"/>
        <v>100</v>
      </c>
      <c r="T29" s="1571" t="s">
        <v>8</v>
      </c>
      <c r="U29" s="1572">
        <f t="shared" si="13"/>
        <v>100</v>
      </c>
      <c r="V29" s="1571" t="s">
        <v>8</v>
      </c>
      <c r="W29" s="1572">
        <f t="shared" si="14"/>
        <v>100</v>
      </c>
      <c r="X29" s="1565"/>
      <c r="Y29" s="3425"/>
      <c r="Z29" s="1573" t="str">
        <f t="shared" si="15"/>
        <v>成新率</v>
      </c>
      <c r="AA29" s="1574">
        <f t="shared" si="3"/>
        <v>1</v>
      </c>
      <c r="AB29" s="1574">
        <f t="shared" si="4"/>
        <v>1</v>
      </c>
      <c r="AC29" s="1574">
        <f t="shared" si="5"/>
        <v>1</v>
      </c>
    </row>
    <row r="30" spans="1:29" ht="15">
      <c r="A30" s="929"/>
      <c r="B30" s="580" t="s">
        <v>775</v>
      </c>
      <c r="C30" s="930" t="s">
        <v>3084</v>
      </c>
      <c r="D30" s="538">
        <v>100</v>
      </c>
      <c r="E30" s="930" t="s">
        <v>3084</v>
      </c>
      <c r="F30" s="573">
        <f>SUMIF(88:88,E30,89:89)-SUMIF(88:88,C30,89:89)+100</f>
        <v>100</v>
      </c>
      <c r="G30" s="930" t="s">
        <v>3084</v>
      </c>
      <c r="H30" s="538">
        <f>SUMIF(88:88,E30,89:89)-SUMIF(88:88,C30,89:89)+100</f>
        <v>100</v>
      </c>
      <c r="I30" s="930" t="s">
        <v>3084</v>
      </c>
      <c r="J30" s="538">
        <f>SUMIF(88:88,E30,89:89)-SUMIF(88:88,C30,89:89)+100</f>
        <v>100</v>
      </c>
      <c r="K30" s="582">
        <v>1</v>
      </c>
      <c r="L30" s="2139"/>
      <c r="M30" s="2131"/>
      <c r="N30" s="2131"/>
      <c r="O30" s="2138"/>
      <c r="P30" s="3425"/>
      <c r="Q30" s="1570" t="str">
        <f t="shared" si="11"/>
        <v>物业等级</v>
      </c>
      <c r="R30" s="1571" t="s">
        <v>8</v>
      </c>
      <c r="S30" s="1572">
        <f t="shared" si="12"/>
        <v>100</v>
      </c>
      <c r="T30" s="1571" t="s">
        <v>8</v>
      </c>
      <c r="U30" s="1572">
        <f t="shared" si="13"/>
        <v>100</v>
      </c>
      <c r="V30" s="1571" t="s">
        <v>8</v>
      </c>
      <c r="W30" s="1572">
        <f t="shared" si="14"/>
        <v>100</v>
      </c>
      <c r="X30" s="1565"/>
      <c r="Y30" s="3425"/>
      <c r="Z30" s="1573" t="str">
        <f t="shared" si="15"/>
        <v>物业等级</v>
      </c>
      <c r="AA30" s="1574">
        <f t="shared" si="3"/>
        <v>1</v>
      </c>
      <c r="AB30" s="1574">
        <f t="shared" si="4"/>
        <v>1</v>
      </c>
      <c r="AC30" s="1574">
        <f t="shared" si="5"/>
        <v>1</v>
      </c>
    </row>
    <row r="31" spans="1:29" s="1218" customFormat="1" ht="15">
      <c r="A31" s="931"/>
      <c r="B31" s="580" t="s">
        <v>776</v>
      </c>
      <c r="C31" s="878">
        <f>ROUND(D3/F3,0)</f>
        <v>45</v>
      </c>
      <c r="D31" s="253">
        <v>100</v>
      </c>
      <c r="E31" s="878">
        <v>34</v>
      </c>
      <c r="F31" s="573">
        <f>LOOKUP(E31,91:91,92:92)-LOOKUP(C31,91:91,92:92)+100</f>
        <v>99</v>
      </c>
      <c r="G31" s="878">
        <v>39</v>
      </c>
      <c r="H31" s="538">
        <f>LOOKUP(G31,91:91,92:92)-LOOKUP(C31,91:91,92:92)+100</f>
        <v>99</v>
      </c>
      <c r="I31" s="878">
        <v>36</v>
      </c>
      <c r="J31" s="538">
        <f>LOOKUP(I31,91:91,92:92)-LOOKUP(C31,91:91,92:92)+100</f>
        <v>99</v>
      </c>
      <c r="K31" s="582">
        <v>1</v>
      </c>
      <c r="L31" s="2132"/>
      <c r="M31" s="2133"/>
      <c r="N31" s="2133"/>
      <c r="O31" s="2134"/>
      <c r="P31" s="3425"/>
      <c r="Q31" s="1149" t="str">
        <f t="shared" si="11"/>
        <v>停车位面积</v>
      </c>
      <c r="R31" s="1566" t="s">
        <v>8</v>
      </c>
      <c r="S31" s="1567">
        <f t="shared" si="12"/>
        <v>99</v>
      </c>
      <c r="T31" s="1566" t="s">
        <v>8</v>
      </c>
      <c r="U31" s="1567">
        <f t="shared" si="13"/>
        <v>99</v>
      </c>
      <c r="V31" s="1566" t="s">
        <v>8</v>
      </c>
      <c r="W31" s="1567">
        <f t="shared" si="14"/>
        <v>99</v>
      </c>
      <c r="X31" s="1568"/>
      <c r="Y31" s="3425"/>
      <c r="Z31" s="1148" t="str">
        <f t="shared" si="15"/>
        <v>停车位面积</v>
      </c>
      <c r="AA31" s="1569">
        <f t="shared" si="3"/>
        <v>1.0101010101010102</v>
      </c>
      <c r="AB31" s="1569">
        <f t="shared" si="4"/>
        <v>1.0101010101010102</v>
      </c>
      <c r="AC31" s="1569">
        <f t="shared" si="5"/>
        <v>1.0101010101010102</v>
      </c>
    </row>
    <row r="32" spans="1:29" ht="15">
      <c r="A32" s="929"/>
      <c r="B32" s="580" t="s">
        <v>777</v>
      </c>
      <c r="C32" s="572" t="s">
        <v>3087</v>
      </c>
      <c r="D32" s="538">
        <v>100</v>
      </c>
      <c r="E32" s="572" t="s">
        <v>3087</v>
      </c>
      <c r="F32" s="573">
        <f>SUMIF(93:93,E32,94:94)-SUMIF(93:93,C32,94:94)+100</f>
        <v>100</v>
      </c>
      <c r="G32" s="572" t="s">
        <v>3087</v>
      </c>
      <c r="H32" s="538">
        <f>SUMIF(93:93,G32,94:94)-SUMIF(93:93,C32,94:94)+100</f>
        <v>100</v>
      </c>
      <c r="I32" s="572" t="s">
        <v>3087</v>
      </c>
      <c r="J32" s="538">
        <f>SUMIF(93:93,I32,94:94)-SUMIF(93:93,C32,94:94)+100</f>
        <v>100</v>
      </c>
      <c r="K32" s="582">
        <v>1</v>
      </c>
      <c r="L32" s="2139"/>
      <c r="M32" s="2131"/>
      <c r="N32" s="2131"/>
      <c r="O32" s="2138"/>
      <c r="P32" s="3425" t="s">
        <v>515</v>
      </c>
      <c r="Q32" s="1570" t="str">
        <f t="shared" si="11"/>
        <v>车位类型</v>
      </c>
      <c r="R32" s="1571" t="s">
        <v>8</v>
      </c>
      <c r="S32" s="1572">
        <f t="shared" si="12"/>
        <v>100</v>
      </c>
      <c r="T32" s="1571" t="s">
        <v>8</v>
      </c>
      <c r="U32" s="1572">
        <f t="shared" si="13"/>
        <v>100</v>
      </c>
      <c r="V32" s="1571" t="s">
        <v>8</v>
      </c>
      <c r="W32" s="1572">
        <f t="shared" si="14"/>
        <v>100</v>
      </c>
      <c r="X32" s="1565"/>
      <c r="Y32" s="3425" t="s">
        <v>515</v>
      </c>
      <c r="Z32" s="1573" t="str">
        <f t="shared" si="15"/>
        <v>车位类型</v>
      </c>
      <c r="AA32" s="1574">
        <f t="shared" si="3"/>
        <v>1</v>
      </c>
      <c r="AB32" s="1574">
        <f t="shared" si="4"/>
        <v>1</v>
      </c>
      <c r="AC32" s="1574">
        <f t="shared" si="5"/>
        <v>1</v>
      </c>
    </row>
    <row r="33" spans="1:29" ht="15">
      <c r="A33" s="929"/>
      <c r="B33" s="580" t="s">
        <v>778</v>
      </c>
      <c r="C33" s="572" t="s">
        <v>2957</v>
      </c>
      <c r="D33" s="538">
        <v>100</v>
      </c>
      <c r="E33" s="572" t="s">
        <v>2957</v>
      </c>
      <c r="F33" s="573">
        <f>SUMIF(95:95,E33,96:96)-SUMIF(95:95,C33,96:96)+100</f>
        <v>100</v>
      </c>
      <c r="G33" s="572" t="s">
        <v>2957</v>
      </c>
      <c r="H33" s="538">
        <f>SUMIF(95:95,G33,96:96)-SUMIF(95:95,C33,96:96)+100</f>
        <v>100</v>
      </c>
      <c r="I33" s="572" t="s">
        <v>2957</v>
      </c>
      <c r="J33" s="538">
        <f>SUMIF(95:95,I33,96:96)-SUMIF(95:95,C33,96:96)+100</f>
        <v>100</v>
      </c>
      <c r="K33" s="582">
        <v>1</v>
      </c>
      <c r="L33" s="2139"/>
      <c r="M33" s="2131"/>
      <c r="N33" s="2131"/>
      <c r="O33" s="2138"/>
      <c r="P33" s="3425"/>
      <c r="Q33" s="1570" t="str">
        <f t="shared" si="11"/>
        <v>是否直接入户</v>
      </c>
      <c r="R33" s="1571" t="s">
        <v>8</v>
      </c>
      <c r="S33" s="1572">
        <f t="shared" si="12"/>
        <v>100</v>
      </c>
      <c r="T33" s="1571" t="s">
        <v>8</v>
      </c>
      <c r="U33" s="1572">
        <f t="shared" si="13"/>
        <v>100</v>
      </c>
      <c r="V33" s="1571" t="s">
        <v>8</v>
      </c>
      <c r="W33" s="1572">
        <f t="shared" si="14"/>
        <v>100</v>
      </c>
      <c r="X33" s="1565"/>
      <c r="Y33" s="3425"/>
      <c r="Z33" s="1573" t="str">
        <f t="shared" si="15"/>
        <v>是否直接入户</v>
      </c>
      <c r="AA33" s="1574">
        <f t="shared" si="3"/>
        <v>1</v>
      </c>
      <c r="AB33" s="1574">
        <f t="shared" si="4"/>
        <v>1</v>
      </c>
      <c r="AC33" s="1574">
        <f t="shared" si="5"/>
        <v>1</v>
      </c>
    </row>
    <row r="34" spans="1:29" ht="15">
      <c r="A34" s="929"/>
      <c r="B34" s="923"/>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25"/>
      <c r="Q34" s="1570">
        <f t="shared" si="11"/>
        <v>0</v>
      </c>
      <c r="R34" s="1571" t="s">
        <v>8</v>
      </c>
      <c r="S34" s="1572">
        <f t="shared" si="12"/>
        <v>100</v>
      </c>
      <c r="T34" s="1571" t="s">
        <v>8</v>
      </c>
      <c r="U34" s="1572">
        <f t="shared" si="13"/>
        <v>100</v>
      </c>
      <c r="V34" s="1571" t="s">
        <v>8</v>
      </c>
      <c r="W34" s="1572">
        <f t="shared" si="14"/>
        <v>100</v>
      </c>
      <c r="X34" s="1565"/>
      <c r="Y34" s="3425"/>
      <c r="Z34" s="1573">
        <f t="shared" si="15"/>
        <v>0</v>
      </c>
      <c r="AA34" s="1574">
        <f t="shared" si="3"/>
        <v>1</v>
      </c>
      <c r="AB34" s="1574">
        <f t="shared" si="4"/>
        <v>1</v>
      </c>
      <c r="AC34" s="1574">
        <f t="shared" si="5"/>
        <v>1</v>
      </c>
    </row>
    <row r="35" spans="1:29" s="1337" customFormat="1" ht="15">
      <c r="A35" s="927"/>
      <c r="B35" s="923"/>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25"/>
      <c r="Q35" s="1603">
        <f t="shared" si="11"/>
        <v>0</v>
      </c>
      <c r="R35" s="1575" t="s">
        <v>8</v>
      </c>
      <c r="S35" s="1576">
        <f t="shared" si="12"/>
        <v>100</v>
      </c>
      <c r="T35" s="1575" t="s">
        <v>8</v>
      </c>
      <c r="U35" s="1576">
        <f t="shared" si="13"/>
        <v>100</v>
      </c>
      <c r="V35" s="1575" t="s">
        <v>8</v>
      </c>
      <c r="W35" s="1576">
        <f t="shared" si="14"/>
        <v>100</v>
      </c>
      <c r="X35" s="1577"/>
      <c r="Y35" s="3425"/>
      <c r="Z35" s="1578">
        <f t="shared" si="15"/>
        <v>0</v>
      </c>
      <c r="AA35" s="1574">
        <f t="shared" si="3"/>
        <v>1</v>
      </c>
      <c r="AB35" s="1574">
        <f t="shared" si="4"/>
        <v>1</v>
      </c>
      <c r="AC35" s="1574">
        <f t="shared" si="5"/>
        <v>1</v>
      </c>
    </row>
    <row r="36" spans="1:29" ht="15.75" thickBot="1">
      <c r="A36" s="932"/>
      <c r="B36" s="912"/>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25"/>
      <c r="Q36" s="1570">
        <f t="shared" si="11"/>
        <v>0</v>
      </c>
      <c r="R36" s="1571" t="s">
        <v>8</v>
      </c>
      <c r="S36" s="1572">
        <f t="shared" si="12"/>
        <v>100</v>
      </c>
      <c r="T36" s="1571" t="s">
        <v>8</v>
      </c>
      <c r="U36" s="1572">
        <f t="shared" si="13"/>
        <v>100</v>
      </c>
      <c r="V36" s="1571" t="s">
        <v>8</v>
      </c>
      <c r="W36" s="1572">
        <f t="shared" si="14"/>
        <v>100</v>
      </c>
      <c r="X36" s="1565"/>
      <c r="Y36" s="3425"/>
      <c r="Z36" s="1573">
        <f t="shared" si="15"/>
        <v>0</v>
      </c>
      <c r="AA36" s="1574">
        <f t="shared" si="3"/>
        <v>1</v>
      </c>
      <c r="AB36" s="1574">
        <f t="shared" si="4"/>
        <v>1</v>
      </c>
      <c r="AC36" s="1574">
        <f t="shared" si="5"/>
        <v>1</v>
      </c>
    </row>
    <row r="37" spans="1:29" ht="15">
      <c r="A37" s="1843" t="s">
        <v>2040</v>
      </c>
      <c r="B37" s="1844" t="s">
        <v>2041</v>
      </c>
      <c r="C37" s="2648" t="s">
        <v>1</v>
      </c>
      <c r="D37" s="2649"/>
      <c r="E37" s="2650">
        <v>4900</v>
      </c>
      <c r="F37" s="2651"/>
      <c r="G37" s="2652">
        <v>5082</v>
      </c>
      <c r="H37" s="2653"/>
      <c r="I37" s="2650">
        <v>4463</v>
      </c>
      <c r="J37" s="2653"/>
      <c r="K37" s="1609"/>
      <c r="L37" s="2141"/>
      <c r="M37" s="2142"/>
      <c r="N37" s="2131"/>
      <c r="O37" s="2142"/>
      <c r="P37" s="3420" t="str">
        <f>A37</f>
        <v>成交单价</v>
      </c>
      <c r="Q37" s="3420"/>
      <c r="R37" s="3502">
        <f>E37</f>
        <v>4900</v>
      </c>
      <c r="S37" s="3502"/>
      <c r="T37" s="3502">
        <f>G37</f>
        <v>5082</v>
      </c>
      <c r="U37" s="3502"/>
      <c r="V37" s="3502">
        <f>I37</f>
        <v>4463</v>
      </c>
      <c r="W37" s="3502"/>
      <c r="X37" s="1557"/>
      <c r="Y37" s="1579"/>
      <c r="Z37" s="1557"/>
      <c r="AA37" s="1557"/>
      <c r="AB37" s="1557"/>
      <c r="AC37" s="1557"/>
    </row>
    <row r="38" spans="1:29" ht="15.75" thickBot="1">
      <c r="A38" s="613" t="s">
        <v>2722</v>
      </c>
      <c r="B38" s="886"/>
      <c r="C38" s="2654">
        <f>R39</f>
        <v>4862</v>
      </c>
      <c r="D38" s="2655"/>
      <c r="E38" s="2656">
        <f>R38</f>
        <v>4999</v>
      </c>
      <c r="F38" s="2656"/>
      <c r="G38" s="2654">
        <f>T38</f>
        <v>5033</v>
      </c>
      <c r="H38" s="2655"/>
      <c r="I38" s="2656">
        <f>V38</f>
        <v>4554</v>
      </c>
      <c r="J38" s="2655"/>
      <c r="K38" s="1610"/>
      <c r="L38" s="2141"/>
      <c r="M38" s="2142"/>
      <c r="N38" s="2142"/>
      <c r="O38" s="2142"/>
      <c r="P38" s="3420" t="str">
        <f>A38</f>
        <v>比较价格（元/平方米）</v>
      </c>
      <c r="Q38" s="3420"/>
      <c r="R38" s="3502">
        <f>IF(F1="售价",ROUND(PRODUCT(R37,AA7:AA36),0),ROUND(PRODUCT(R37,AA7:AA36),1))</f>
        <v>4999</v>
      </c>
      <c r="S38" s="3502"/>
      <c r="T38" s="3502">
        <f>IF(F1="售价",ROUND(PRODUCT(T37,AB7:AB36),0),ROUND(PRODUCT(T37,AB7:AB36),1))</f>
        <v>5033</v>
      </c>
      <c r="U38" s="3502"/>
      <c r="V38" s="3502">
        <f>IF(F1="售价",ROUND(PRODUCT(V37,AC7:AC36),0),ROUND(PRODUCT(V37,AC7:AC36),1))</f>
        <v>4554</v>
      </c>
      <c r="W38" s="3502"/>
      <c r="X38" s="1557"/>
      <c r="Y38" s="1557"/>
      <c r="Z38" s="1557"/>
      <c r="AA38" s="1557"/>
      <c r="AB38" s="1557"/>
      <c r="AC38" s="1557"/>
    </row>
    <row r="39" spans="1:29" ht="15.75" thickBot="1">
      <c r="A39" s="619" t="s">
        <v>3075</v>
      </c>
      <c r="B39" s="620"/>
      <c r="C39" s="2657">
        <f>R39</f>
        <v>4862</v>
      </c>
      <c r="D39" s="2657"/>
      <c r="E39" s="2657"/>
      <c r="F39" s="2657"/>
      <c r="G39" s="2657"/>
      <c r="H39" s="2657"/>
      <c r="I39" s="2657"/>
      <c r="J39" s="2657"/>
      <c r="K39" s="1611"/>
      <c r="L39" s="2141"/>
      <c r="M39" s="2142"/>
      <c r="N39" s="2142"/>
      <c r="O39" s="2142"/>
      <c r="P39" s="3442" t="str">
        <f>A39</f>
        <v>估价对象地下车库用房的比较价格（楼面单价，元/平方米）</v>
      </c>
      <c r="Q39" s="3443"/>
      <c r="R39" s="3501">
        <f>IF(F1="售价",ROUND(AVERAGE(R38:V38),0),ROUND(AVERAGE(R38:V38),1))</f>
        <v>4862</v>
      </c>
      <c r="S39" s="3501"/>
      <c r="T39" s="3501"/>
      <c r="U39" s="3501"/>
      <c r="V39" s="3501"/>
      <c r="W39" s="3501"/>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f>IF(E37&lt;E38,E38/E37-1,E37/E38-1)</f>
        <v>2.020408163265297E-2</v>
      </c>
      <c r="F42" s="625" t="str">
        <f>IF(OR(E42&gt;=0.3,E42&lt;=-0.3),"超过30%","")</f>
        <v/>
      </c>
      <c r="G42" s="624">
        <f>IF(G37&lt;G38,G38/G37-1,G37/G38-1)</f>
        <v>9.7357440890124547E-3</v>
      </c>
      <c r="H42" s="625" t="str">
        <f>IF(OR(G42&gt;=0.3,G42&lt;=-0.3),"超过30%","")</f>
        <v/>
      </c>
      <c r="I42" s="624">
        <f>IF(I37&lt;I38,I38/I37-1,I37/I38-1)</f>
        <v>2.0389872283217647E-2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f>IF(E38&lt;G38,G38/E38-1,E38/G38-1)</f>
        <v>6.8013602720544686E-3</v>
      </c>
      <c r="F43" s="625" t="str">
        <f>IF(OR(E43&gt;=0.2,E43&lt;=-0.2),"超过20%","")</f>
        <v/>
      </c>
      <c r="G43" s="624">
        <f>IF(G38&lt;I38,I38/G38-1,G38/I38-1)</f>
        <v>0.10518225735617048</v>
      </c>
      <c r="H43" s="625" t="str">
        <f>IF(OR(G43&gt;=0.2,G43&lt;=-0.2),"超过20%","")</f>
        <v/>
      </c>
      <c r="I43" s="624">
        <f>IF(I38&lt;E38,E38/I38-1,I38/E38-1)</f>
        <v>9.7716293368467211E-2</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f>IF(E37&lt;G37,G37/E37-1,E37/G37-1)</f>
        <v>3.7142857142857144E-2</v>
      </c>
      <c r="F44" s="625" t="str">
        <f>IF(OR(E44&gt;=0.3,E44&lt;=-0.3),"超过30%","")</f>
        <v/>
      </c>
      <c r="G44" s="624">
        <f>IF(G37&lt;I37,I37/G37-1,G37/I37-1)</f>
        <v>0.1386959444319964</v>
      </c>
      <c r="H44" s="625" t="str">
        <f>IF(OR(G44&gt;=0.3,G44&lt;=-0.3),"超过30%","")</f>
        <v/>
      </c>
      <c r="I44" s="624">
        <f>IF(I37&lt;E37,E37/I37-1,I37/E37-1)</f>
        <v>9.7916199865561326E-2</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539</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5"/>
      <c r="B49" s="646"/>
      <c r="C49" s="2824">
        <v>100</v>
      </c>
      <c r="D49" s="648">
        <v>99</v>
      </c>
      <c r="E49" s="648">
        <v>98</v>
      </c>
      <c r="F49" s="648">
        <v>97</v>
      </c>
      <c r="G49" s="648">
        <v>96</v>
      </c>
      <c r="H49" s="648">
        <v>95</v>
      </c>
      <c r="I49" s="648">
        <v>94</v>
      </c>
      <c r="J49" s="648">
        <v>93</v>
      </c>
      <c r="K49" s="648">
        <v>92</v>
      </c>
      <c r="L49" s="648">
        <v>91</v>
      </c>
      <c r="M49" s="648">
        <v>90</v>
      </c>
      <c r="N49" s="648">
        <v>89</v>
      </c>
      <c r="O49" s="648">
        <v>88</v>
      </c>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t="str">
        <f>C9</f>
        <v>车位</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v>100</v>
      </c>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99</v>
      </c>
      <c r="G56" s="677">
        <f>F56-$K10</f>
        <v>98</v>
      </c>
      <c r="H56" s="677">
        <f>G56-$K10</f>
        <v>97</v>
      </c>
      <c r="I56" s="677">
        <f>H56-$K10</f>
        <v>96</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0</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0</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0</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2520</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99</v>
      </c>
      <c r="E66" s="677">
        <f>D66-$K16</f>
        <v>98</v>
      </c>
      <c r="F66" s="677">
        <f>E66-$K16</f>
        <v>97</v>
      </c>
      <c r="G66" s="677">
        <f>F66-$K16</f>
        <v>96</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2521</v>
      </c>
      <c r="C67" s="2619" t="s">
        <v>2522</v>
      </c>
      <c r="D67" s="2619" t="s">
        <v>2523</v>
      </c>
      <c r="E67" s="2619" t="s">
        <v>2524</v>
      </c>
      <c r="F67" s="2619" t="s">
        <v>2525</v>
      </c>
      <c r="G67" s="2619" t="s">
        <v>2526</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99</v>
      </c>
      <c r="E70" s="677">
        <f>D70-$K20</f>
        <v>98</v>
      </c>
      <c r="F70" s="677">
        <f>E70-$K20</f>
        <v>97</v>
      </c>
      <c r="G70" s="677">
        <f>F70-$K20</f>
        <v>96</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3189" t="s">
        <v>3081</v>
      </c>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99</v>
      </c>
      <c r="E72" s="677">
        <f>D72-$K22</f>
        <v>98</v>
      </c>
      <c r="F72" s="677">
        <f>E72-$K22</f>
        <v>97</v>
      </c>
      <c r="G72" s="677">
        <f>F72-$K22</f>
        <v>96</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0</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0</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0</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t="str">
        <f>C26</f>
        <v>车库</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99</v>
      </c>
      <c r="E80" s="677">
        <f t="shared" si="17"/>
        <v>98</v>
      </c>
      <c r="F80" s="677">
        <f t="shared" si="17"/>
        <v>97</v>
      </c>
      <c r="G80" s="677">
        <f t="shared" si="17"/>
        <v>96</v>
      </c>
      <c r="H80" s="677">
        <f t="shared" si="17"/>
        <v>95</v>
      </c>
      <c r="I80" s="677">
        <f t="shared" si="17"/>
        <v>94</v>
      </c>
      <c r="J80" s="677">
        <f t="shared" si="17"/>
        <v>93</v>
      </c>
      <c r="K80" s="677">
        <f t="shared" si="17"/>
        <v>92</v>
      </c>
      <c r="L80" s="677">
        <f t="shared" si="17"/>
        <v>91</v>
      </c>
      <c r="M80" s="678">
        <f t="shared" si="17"/>
        <v>90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3236" t="s">
        <v>3093</v>
      </c>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v>100</v>
      </c>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3189" t="s">
        <v>3083</v>
      </c>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3188" t="s">
        <v>3085</v>
      </c>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0(含)-10</v>
      </c>
      <c r="D90" s="706" t="str">
        <f t="shared" ref="D90:L90" si="21">D91&amp;"(含)"&amp;"-"&amp;E91</f>
        <v>10(含)-20</v>
      </c>
      <c r="E90" s="706" t="str">
        <f t="shared" si="21"/>
        <v>20(含)-30</v>
      </c>
      <c r="F90" s="706" t="str">
        <f t="shared" si="21"/>
        <v>30(含)-40</v>
      </c>
      <c r="G90" s="706" t="str">
        <f t="shared" si="21"/>
        <v>40(含)-50</v>
      </c>
      <c r="H90" s="706" t="str">
        <f t="shared" si="21"/>
        <v>50(含)-60</v>
      </c>
      <c r="I90" s="706" t="str">
        <f t="shared" si="21"/>
        <v>60(含)-70</v>
      </c>
      <c r="J90" s="706" t="str">
        <f t="shared" si="21"/>
        <v>70(含)-80</v>
      </c>
      <c r="K90" s="706" t="str">
        <f t="shared" si="21"/>
        <v>80(含)-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10</v>
      </c>
      <c r="E91" s="728">
        <v>20</v>
      </c>
      <c r="F91" s="728">
        <v>30</v>
      </c>
      <c r="G91" s="728">
        <v>40</v>
      </c>
      <c r="H91" s="728">
        <v>50</v>
      </c>
      <c r="I91" s="728">
        <v>60</v>
      </c>
      <c r="J91" s="728">
        <v>70</v>
      </c>
      <c r="K91" s="728">
        <v>80</v>
      </c>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101</v>
      </c>
      <c r="E92" s="690">
        <v>102</v>
      </c>
      <c r="F92" s="669">
        <v>103</v>
      </c>
      <c r="G92" s="690">
        <v>104</v>
      </c>
      <c r="H92" s="669">
        <v>105</v>
      </c>
      <c r="I92" s="690">
        <v>106</v>
      </c>
      <c r="J92" s="669">
        <v>107</v>
      </c>
      <c r="K92" s="690">
        <v>108</v>
      </c>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3189" t="s">
        <v>3088</v>
      </c>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3188" t="s">
        <v>3086</v>
      </c>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99</v>
      </c>
      <c r="E96" s="677">
        <f>D96-$K33</f>
        <v>98</v>
      </c>
      <c r="F96" s="677">
        <f>E96-$K33</f>
        <v>97</v>
      </c>
      <c r="G96" s="677">
        <f>F96-$K33</f>
        <v>96</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0</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0</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0</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workbookViewId="0">
      <selection activeCell="J25" sqref="J25"/>
    </sheetView>
  </sheetViews>
  <sheetFormatPr defaultRowHeight="13.5"/>
  <cols>
    <col min="3" max="3" width="30.125" customWidth="1"/>
    <col min="5" max="5" width="14.625" customWidth="1"/>
    <col min="7" max="7" width="15.625" customWidth="1"/>
    <col min="8" max="8" width="14.75" customWidth="1"/>
    <col min="9" max="9" width="15.875" customWidth="1"/>
    <col min="10" max="10" width="17.5" customWidth="1"/>
  </cols>
  <sheetData>
    <row r="3" spans="2:10">
      <c r="C3" s="2960" t="s">
        <v>2984</v>
      </c>
      <c r="D3" s="2960" t="s">
        <v>2985</v>
      </c>
      <c r="E3" s="2960" t="s">
        <v>2986</v>
      </c>
      <c r="F3" s="2960" t="s">
        <v>2987</v>
      </c>
      <c r="G3" s="2960" t="s">
        <v>2988</v>
      </c>
      <c r="H3" s="2960" t="s">
        <v>1995</v>
      </c>
      <c r="I3" s="2960" t="s">
        <v>2989</v>
      </c>
      <c r="J3" s="2960" t="s">
        <v>2990</v>
      </c>
    </row>
    <row r="4" spans="2:10">
      <c r="C4" s="2960" t="s">
        <v>2991</v>
      </c>
      <c r="D4" s="2960" t="s">
        <v>1909</v>
      </c>
      <c r="E4" s="2960" t="s">
        <v>2992</v>
      </c>
      <c r="F4" s="2960" t="s">
        <v>2993</v>
      </c>
      <c r="G4" s="2960">
        <v>32797.360000000001</v>
      </c>
      <c r="H4" s="2960">
        <v>2.8</v>
      </c>
      <c r="I4" s="2960" t="s">
        <v>2994</v>
      </c>
      <c r="J4" s="2960">
        <v>17967.400000000001</v>
      </c>
    </row>
    <row r="5" spans="2:10">
      <c r="C5" s="2960" t="s">
        <v>2995</v>
      </c>
      <c r="D5" s="2960" t="s">
        <v>1909</v>
      </c>
      <c r="E5" s="2960" t="s">
        <v>2996</v>
      </c>
      <c r="F5" s="2960" t="s">
        <v>2993</v>
      </c>
      <c r="G5" s="2960">
        <v>82458.61</v>
      </c>
      <c r="H5" s="2960">
        <v>1.2</v>
      </c>
      <c r="I5" s="2960" t="s">
        <v>2997</v>
      </c>
      <c r="J5" s="2960">
        <v>34740.050000000003</v>
      </c>
    </row>
    <row r="6" spans="2:10">
      <c r="C6" s="2960" t="s">
        <v>2998</v>
      </c>
      <c r="D6" s="2960" t="s">
        <v>1909</v>
      </c>
      <c r="E6" s="2960" t="s">
        <v>2992</v>
      </c>
      <c r="F6" s="2960" t="s">
        <v>2993</v>
      </c>
      <c r="G6" s="2960">
        <v>315990.3</v>
      </c>
      <c r="H6" s="2960">
        <v>0.86</v>
      </c>
      <c r="I6" s="2960" t="s">
        <v>2997</v>
      </c>
      <c r="J6" s="2960">
        <v>17052.330000000002</v>
      </c>
    </row>
    <row r="7" spans="2:10" s="3191" customFormat="1">
      <c r="B7" s="3192" t="s">
        <v>3031</v>
      </c>
      <c r="C7" s="3190" t="s">
        <v>2999</v>
      </c>
      <c r="D7" s="3190" t="s">
        <v>1909</v>
      </c>
      <c r="E7" s="3190" t="s">
        <v>2992</v>
      </c>
      <c r="F7" s="3190" t="s">
        <v>3000</v>
      </c>
      <c r="G7" s="3190">
        <v>202550.5</v>
      </c>
      <c r="H7" s="3190">
        <v>1.7</v>
      </c>
      <c r="I7" s="3190" t="s">
        <v>3001</v>
      </c>
      <c r="J7" s="3190">
        <v>22511.08</v>
      </c>
    </row>
    <row r="8" spans="2:10" s="3191" customFormat="1">
      <c r="B8" s="3192" t="s">
        <v>3029</v>
      </c>
      <c r="C8" s="3190" t="s">
        <v>3002</v>
      </c>
      <c r="D8" s="3190" t="s">
        <v>1909</v>
      </c>
      <c r="E8" s="3190" t="s">
        <v>2992</v>
      </c>
      <c r="F8" s="3190" t="s">
        <v>3000</v>
      </c>
      <c r="G8" s="3190">
        <v>216429.7</v>
      </c>
      <c r="H8" s="3190">
        <v>1.607</v>
      </c>
      <c r="I8" s="3190" t="s">
        <v>3003</v>
      </c>
      <c r="J8" s="3190">
        <v>24720.09</v>
      </c>
    </row>
    <row r="9" spans="2:10">
      <c r="C9" s="2960" t="s">
        <v>3004</v>
      </c>
      <c r="D9" s="2960" t="s">
        <v>1909</v>
      </c>
      <c r="E9" s="2960" t="s">
        <v>2996</v>
      </c>
      <c r="F9" s="2960" t="s">
        <v>3000</v>
      </c>
      <c r="G9" s="2960">
        <v>25399.58</v>
      </c>
      <c r="H9" s="2960">
        <v>2.8</v>
      </c>
      <c r="I9" s="2960" t="s">
        <v>3005</v>
      </c>
      <c r="J9" s="2960">
        <v>28975.54</v>
      </c>
    </row>
    <row r="10" spans="2:10">
      <c r="C10" s="2960" t="s">
        <v>3006</v>
      </c>
      <c r="D10" s="2960" t="s">
        <v>1909</v>
      </c>
      <c r="E10" s="2960" t="s">
        <v>2992</v>
      </c>
      <c r="F10" s="2960" t="s">
        <v>2993</v>
      </c>
      <c r="G10" s="2960">
        <v>32606.69</v>
      </c>
      <c r="H10" s="2960" t="s">
        <v>3007</v>
      </c>
      <c r="I10" s="2960" t="s">
        <v>3008</v>
      </c>
      <c r="J10" s="2960">
        <v>17882.25</v>
      </c>
    </row>
    <row r="11" spans="2:10">
      <c r="C11" s="2960" t="s">
        <v>3009</v>
      </c>
      <c r="D11" s="2960" t="s">
        <v>1909</v>
      </c>
      <c r="E11" s="2960" t="s">
        <v>2996</v>
      </c>
      <c r="F11" s="2960" t="s">
        <v>3000</v>
      </c>
      <c r="G11" s="2960">
        <v>27130.69</v>
      </c>
      <c r="H11" s="2960">
        <v>1.6</v>
      </c>
      <c r="I11" s="2960" t="s">
        <v>3010</v>
      </c>
      <c r="J11" s="2960">
        <v>28450.31</v>
      </c>
    </row>
    <row r="12" spans="2:10" s="3191" customFormat="1">
      <c r="B12" s="3192" t="s">
        <v>3030</v>
      </c>
      <c r="C12" s="3190" t="s">
        <v>3011</v>
      </c>
      <c r="D12" s="3190" t="s">
        <v>1909</v>
      </c>
      <c r="E12" s="3190" t="s">
        <v>2992</v>
      </c>
      <c r="F12" s="3190" t="s">
        <v>2993</v>
      </c>
      <c r="G12" s="3190">
        <v>180851</v>
      </c>
      <c r="H12" s="3190">
        <v>1.32</v>
      </c>
      <c r="I12" s="3190" t="s">
        <v>3012</v>
      </c>
      <c r="J12" s="3190">
        <v>26524.2</v>
      </c>
    </row>
    <row r="13" spans="2:10">
      <c r="C13" s="2960" t="s">
        <v>3013</v>
      </c>
      <c r="D13" s="2960" t="s">
        <v>1909</v>
      </c>
      <c r="E13" s="2960" t="s">
        <v>2992</v>
      </c>
      <c r="F13" s="2960" t="s">
        <v>2993</v>
      </c>
      <c r="G13" s="2960">
        <v>82624.91</v>
      </c>
      <c r="H13" s="2960">
        <v>3.19</v>
      </c>
      <c r="I13" s="2960" t="s">
        <v>3014</v>
      </c>
      <c r="J13" s="2960">
        <v>15000.56</v>
      </c>
    </row>
    <row r="14" spans="2:10">
      <c r="C14" s="2960" t="s">
        <v>3015</v>
      </c>
      <c r="D14" s="2960" t="s">
        <v>1909</v>
      </c>
      <c r="E14" s="2960" t="s">
        <v>2992</v>
      </c>
      <c r="F14" s="2960" t="s">
        <v>3000</v>
      </c>
      <c r="G14" s="2960">
        <v>289526.8</v>
      </c>
      <c r="H14" s="2960" t="s">
        <v>3016</v>
      </c>
      <c r="I14" s="2960" t="s">
        <v>3017</v>
      </c>
      <c r="J14" s="2960">
        <v>18906.38</v>
      </c>
    </row>
    <row r="15" spans="2:10">
      <c r="C15" s="2960" t="s">
        <v>3018</v>
      </c>
      <c r="D15" s="2960" t="s">
        <v>1909</v>
      </c>
      <c r="E15" s="2960" t="s">
        <v>2996</v>
      </c>
      <c r="F15" s="2960" t="s">
        <v>2993</v>
      </c>
      <c r="G15" s="2960">
        <v>72401.83</v>
      </c>
      <c r="H15" s="2960">
        <v>2.8</v>
      </c>
      <c r="I15" s="2960" t="s">
        <v>3019</v>
      </c>
      <c r="J15" s="2960">
        <v>28116.9</v>
      </c>
    </row>
    <row r="16" spans="2:10">
      <c r="C16" s="2960" t="s">
        <v>3020</v>
      </c>
      <c r="D16" s="2960" t="s">
        <v>1909</v>
      </c>
      <c r="E16" s="2960" t="s">
        <v>2992</v>
      </c>
      <c r="F16" s="2960" t="s">
        <v>2993</v>
      </c>
      <c r="G16" s="2960">
        <v>65820.63</v>
      </c>
      <c r="H16" s="2960">
        <v>3.82</v>
      </c>
      <c r="I16" s="2960" t="s">
        <v>3019</v>
      </c>
      <c r="J16" s="2960">
        <v>18248.02</v>
      </c>
    </row>
    <row r="17" spans="3:10">
      <c r="C17" s="2960" t="s">
        <v>3021</v>
      </c>
      <c r="D17" s="2960" t="s">
        <v>1909</v>
      </c>
      <c r="E17" s="2960" t="s">
        <v>2992</v>
      </c>
      <c r="F17" s="2960" t="s">
        <v>2993</v>
      </c>
      <c r="G17" s="2960">
        <v>41050.28</v>
      </c>
      <c r="H17" s="2960">
        <v>2.5499999999999998</v>
      </c>
      <c r="I17" s="2960" t="s">
        <v>3022</v>
      </c>
      <c r="J17" s="2960">
        <v>19373.560000000001</v>
      </c>
    </row>
    <row r="18" spans="3:10">
      <c r="C18" s="2960" t="s">
        <v>3023</v>
      </c>
      <c r="D18" s="2960" t="s">
        <v>1909</v>
      </c>
      <c r="E18" s="2960" t="s">
        <v>2992</v>
      </c>
      <c r="F18" s="2960" t="s">
        <v>3000</v>
      </c>
      <c r="G18" s="2960">
        <v>106573.7</v>
      </c>
      <c r="H18" s="2960">
        <v>3.14</v>
      </c>
      <c r="I18" s="2960" t="s">
        <v>3024</v>
      </c>
      <c r="J18" s="2960">
        <v>17618.09</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2001</v>
      </c>
      <c r="B1" s="3243"/>
      <c r="C1" s="3243"/>
      <c r="D1" s="3243"/>
      <c r="E1" s="3243"/>
      <c r="F1" s="3243"/>
      <c r="G1" s="3243"/>
      <c r="H1" s="3243"/>
      <c r="I1" s="3243"/>
      <c r="J1" s="3243"/>
      <c r="K1" s="3243"/>
      <c r="L1" s="3243"/>
      <c r="M1" s="3243"/>
      <c r="N1" s="3243"/>
      <c r="O1" s="3243"/>
      <c r="P1" s="3243"/>
      <c r="Q1" s="3243"/>
      <c r="R1" s="3243"/>
    </row>
    <row r="2" spans="1:18">
      <c r="A2" s="1804" t="s">
        <v>2003</v>
      </c>
      <c r="B2" s="1804"/>
      <c r="C2" s="1804"/>
      <c r="D2" s="1804"/>
      <c r="E2" s="1804"/>
      <c r="F2" s="1804"/>
      <c r="G2" s="1804"/>
      <c r="H2" s="1804"/>
      <c r="I2" s="1805"/>
      <c r="J2" s="1805"/>
      <c r="K2" s="1806" t="str">
        <f>"估价期日："&amp;TEXT(项目基本情况!D3,"yyyy年m月d日;;")</f>
        <v>估价期日：2018年5月14日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44" t="s">
        <v>1992</v>
      </c>
      <c r="B3" s="3244" t="s">
        <v>2693</v>
      </c>
      <c r="C3" s="3245" t="s">
        <v>1993</v>
      </c>
      <c r="D3" s="3244" t="s">
        <v>2697</v>
      </c>
      <c r="E3" s="3247" t="s">
        <v>1994</v>
      </c>
      <c r="F3" s="3247"/>
      <c r="G3" s="3247"/>
      <c r="H3" s="3247" t="s">
        <v>1995</v>
      </c>
      <c r="I3" s="3247"/>
      <c r="J3" s="3247"/>
      <c r="K3" s="3245" t="s">
        <v>1996</v>
      </c>
      <c r="L3" s="3245" t="s">
        <v>1997</v>
      </c>
      <c r="M3" s="3244" t="s">
        <v>2694</v>
      </c>
      <c r="N3" s="3246" t="str">
        <f>"（分摊）"&amp;项目基本情况!B16&amp;"国有建设用地使用权面积/㎡"</f>
        <v>（分摊）出让国有建设用地使用权面积/㎡</v>
      </c>
      <c r="O3" s="3244" t="s">
        <v>2026</v>
      </c>
      <c r="P3" s="3245" t="s">
        <v>2006</v>
      </c>
      <c r="Q3" s="3245" t="s">
        <v>2027</v>
      </c>
      <c r="R3" s="3245" t="s">
        <v>1998</v>
      </c>
    </row>
    <row r="4" spans="1:18" ht="36.75" customHeight="1">
      <c r="A4" s="3244"/>
      <c r="B4" s="3244"/>
      <c r="C4" s="3245"/>
      <c r="D4" s="3244"/>
      <c r="E4" s="2670" t="s">
        <v>2005</v>
      </c>
      <c r="F4" s="2670" t="s">
        <v>2706</v>
      </c>
      <c r="G4" s="2670" t="s">
        <v>1999</v>
      </c>
      <c r="H4" s="2670" t="s">
        <v>2000</v>
      </c>
      <c r="I4" s="2670" t="s">
        <v>2707</v>
      </c>
      <c r="J4" s="2670" t="s">
        <v>1999</v>
      </c>
      <c r="K4" s="3245"/>
      <c r="L4" s="3245"/>
      <c r="M4" s="3244"/>
      <c r="N4" s="3246"/>
      <c r="O4" s="3244"/>
      <c r="P4" s="3245"/>
      <c r="Q4" s="3245"/>
      <c r="R4" s="3245"/>
    </row>
    <row r="5" spans="1:18" ht="135" customHeight="1">
      <c r="A5" s="1940" t="s">
        <v>2617</v>
      </c>
      <c r="B5" s="2888" t="s">
        <v>2615</v>
      </c>
      <c r="C5" s="2669">
        <v>22</v>
      </c>
      <c r="D5" s="2668" t="s">
        <v>2616</v>
      </c>
      <c r="E5" s="1807" t="str">
        <f>项目基本情况!B12</f>
        <v>城镇住宅用地</v>
      </c>
      <c r="F5" s="2668">
        <v>258</v>
      </c>
      <c r="G5" s="1807" t="str">
        <f>项目基本情况!B13</f>
        <v>住宅</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55947.67</v>
      </c>
      <c r="O5" s="1807">
        <f>项目基本情况!C21</f>
        <v>164673.22000000003</v>
      </c>
      <c r="P5" s="1807">
        <f ca="1">结果表!E42</f>
        <v>31228</v>
      </c>
      <c r="Q5" s="1807">
        <f ca="1">结果表!D42</f>
        <v>10610</v>
      </c>
      <c r="R5" s="1808">
        <f ca="1">结果表!C42</f>
        <v>174713</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09">
        <f ca="1">结果表!O39</f>
        <v>166632</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09" t="str">
        <f>结果表!O40</f>
        <v>——</v>
      </c>
    </row>
    <row r="8" spans="1:18">
      <c r="A8" s="3240" t="str">
        <f>IF(项目基本情况!B9="市场价格","——",项目基本情况!E9)</f>
        <v>——</v>
      </c>
      <c r="B8" s="3241"/>
      <c r="C8" s="3241"/>
      <c r="D8" s="3241"/>
      <c r="E8" s="3241"/>
      <c r="F8" s="3241"/>
      <c r="G8" s="3241"/>
      <c r="H8" s="3241"/>
      <c r="I8" s="3241"/>
      <c r="J8" s="3241"/>
      <c r="K8" s="3241"/>
      <c r="L8" s="3241"/>
      <c r="M8" s="3241"/>
      <c r="N8" s="3241"/>
      <c r="O8" s="3241"/>
      <c r="P8" s="3241"/>
      <c r="Q8" s="3242"/>
      <c r="R8" s="1809" t="str">
        <f>结果表!O41</f>
        <v>——</v>
      </c>
    </row>
    <row r="9" spans="1:18">
      <c r="A9" s="1810" t="s">
        <v>2004</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1991</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8" t="s">
        <v>2028</v>
      </c>
      <c r="B1" s="3248"/>
      <c r="C1" s="3248"/>
      <c r="D1" s="3248"/>
    </row>
    <row r="2" spans="1:4" ht="47.25" customHeight="1">
      <c r="A2" s="3252" t="str">
        <f>"1.权利限制："&amp;项目基本情况!L24&amp;"未设定租赁等其他他项权利。"</f>
        <v>1.权利限制：根据估价对象《不动产权证书》——、《国有土地使用权》原件，截至估价期日，估价对象抵押权未见登记。未设定租赁等其他他项权利。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8"/>
      <c r="C3" s="3248"/>
      <c r="D3" s="3248"/>
    </row>
    <row r="4" spans="1:4" ht="36.75" customHeight="1">
      <c r="A4" s="3248" t="str">
        <f>"3.估价规划限制条件：详见"&amp;项目基本情况!E21&amp;"。"</f>
        <v>3.估价规划限制条件：详见《建设工程规划许可证》。</v>
      </c>
      <c r="B4" s="3248"/>
      <c r="C4" s="3248"/>
      <c r="D4" s="3248"/>
    </row>
    <row r="5" spans="1:4">
      <c r="A5" s="3251" t="s">
        <v>2029</v>
      </c>
      <c r="B5" s="3251"/>
      <c r="C5" s="3251"/>
      <c r="D5" s="3251"/>
    </row>
    <row r="6" spans="1:4">
      <c r="A6" s="3248" t="s">
        <v>2007</v>
      </c>
      <c r="B6" s="3248"/>
      <c r="C6" s="3248"/>
      <c r="D6" s="3248"/>
    </row>
    <row r="7" spans="1:4" ht="33" customHeight="1">
      <c r="A7" s="3248" t="s">
        <v>2538</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（1）根据估价对象《不动产权证书》——、《国有土地使用权》原件，截至估价期日，估价对象抵押权未见登记。</v>
      </c>
      <c r="B11" s="3250"/>
      <c r="C11" s="3250"/>
      <c r="D11" s="3250"/>
    </row>
    <row r="12" spans="1:4" ht="168" customHeight="1">
      <c r="A12" s="3251" t="s">
        <v>2031</v>
      </c>
      <c r="B12" s="3251"/>
      <c r="C12" s="3251"/>
      <c r="D12" s="3251"/>
    </row>
    <row r="13" spans="1:4">
      <c r="A13" s="3249" t="s">
        <v>2708</v>
      </c>
      <c r="B13" s="3249"/>
      <c r="C13" s="3249"/>
      <c r="D13" s="3249"/>
    </row>
    <row r="14" spans="1:4">
      <c r="A14" s="3250" t="str">
        <f>IF(项目基本情况!B8="抵押","综上，"&amp;结果表!K47,"——")</f>
        <v>综上，本次评估估价师知悉的法定优先受偿款为人民币8081万元整。</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2664</v>
      </c>
      <c r="B17" s="3248"/>
      <c r="C17" s="3248"/>
      <c r="D17" s="3248"/>
    </row>
    <row r="18" spans="1:4">
      <c r="A18" s="3248" t="s">
        <v>2656</v>
      </c>
      <c r="B18" s="3248"/>
      <c r="C18" s="3248"/>
      <c r="D18" s="3248"/>
    </row>
    <row r="19" spans="1:4">
      <c r="A19" s="2889" t="s">
        <v>2657</v>
      </c>
      <c r="B19" s="2889" t="s">
        <v>2658</v>
      </c>
      <c r="C19" s="2889" t="s">
        <v>2659</v>
      </c>
      <c r="D19" s="2889" t="s">
        <v>2660</v>
      </c>
    </row>
    <row r="20" spans="1:4">
      <c r="A20" s="2889" t="str">
        <f>项目基本情况!B4</f>
        <v>土地估价师</v>
      </c>
      <c r="B20" s="2889">
        <f>项目基本情况!C4</f>
        <v>0</v>
      </c>
      <c r="C20" s="2891"/>
      <c r="D20" s="1797" t="s">
        <v>2665</v>
      </c>
    </row>
    <row r="21" spans="1:4">
      <c r="A21" s="2889" t="str">
        <f>项目基本情况!D4</f>
        <v>土地估价师</v>
      </c>
      <c r="B21" s="2889">
        <f>项目基本情况!E4</f>
        <v>0</v>
      </c>
      <c r="C21" s="2891"/>
      <c r="D21" s="1797" t="s">
        <v>2666</v>
      </c>
    </row>
    <row r="23" spans="1:4">
      <c r="A23" s="3248" t="s">
        <v>2661</v>
      </c>
      <c r="B23" s="3248"/>
      <c r="C23" s="3248"/>
      <c r="D23" s="3248"/>
    </row>
    <row r="24" spans="1:4">
      <c r="A24" s="2889" t="s">
        <v>2657</v>
      </c>
      <c r="B24" s="2889" t="s">
        <v>2662</v>
      </c>
      <c r="C24" s="2889" t="s">
        <v>2659</v>
      </c>
      <c r="D24" s="2889" t="s">
        <v>2660</v>
      </c>
    </row>
    <row r="25" spans="1:4">
      <c r="A25" s="2892" t="s">
        <v>2663</v>
      </c>
      <c r="B25" s="2889" t="s">
        <v>917</v>
      </c>
      <c r="C25" s="2891"/>
      <c r="D25" s="1797" t="s">
        <v>2666</v>
      </c>
    </row>
    <row r="29" spans="1:4">
      <c r="D29" s="2890" t="s">
        <v>2002</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60" t="s">
        <v>52</v>
      </c>
      <c r="B15" s="3261" t="s">
        <v>811</v>
      </c>
      <c r="C15" s="3257"/>
    </row>
    <row r="16" spans="1:7" ht="14.25">
      <c r="A16" s="3260"/>
      <c r="B16" s="3258" t="s">
        <v>53</v>
      </c>
      <c r="C16" s="1170" t="s">
        <v>52</v>
      </c>
    </row>
    <row r="17" spans="1:3" ht="14.25">
      <c r="A17" s="3260"/>
      <c r="B17" s="3258"/>
      <c r="C17" s="1170" t="s">
        <v>54</v>
      </c>
    </row>
    <row r="18" spans="1:3" ht="14.25">
      <c r="A18" s="3260"/>
      <c r="B18" s="3258"/>
      <c r="C18" s="1170" t="s">
        <v>55</v>
      </c>
    </row>
    <row r="19" spans="1:3" ht="14.25">
      <c r="A19" s="3260"/>
      <c r="B19" s="3256" t="s">
        <v>56</v>
      </c>
      <c r="C19" s="3257"/>
    </row>
    <row r="20" spans="1:3" ht="14.25">
      <c r="A20" s="1171" t="s">
        <v>57</v>
      </c>
      <c r="B20" s="1172"/>
      <c r="C20" s="1173"/>
    </row>
    <row r="21" spans="1:3" ht="14.25">
      <c r="A21" s="3259" t="s">
        <v>58</v>
      </c>
      <c r="B21" s="3256" t="s">
        <v>59</v>
      </c>
      <c r="C21" s="3257"/>
    </row>
    <row r="22" spans="1:3" ht="14.25">
      <c r="A22" s="3259"/>
      <c r="B22" s="3256" t="s">
        <v>60</v>
      </c>
      <c r="C22" s="3257"/>
    </row>
    <row r="23" spans="1:3" ht="14.25">
      <c r="A23" s="3259"/>
      <c r="B23" s="3256" t="s">
        <v>61</v>
      </c>
      <c r="C23" s="3257"/>
    </row>
    <row r="24" spans="1:3" ht="14.25">
      <c r="A24" s="3259"/>
      <c r="B24" s="3262" t="s">
        <v>62</v>
      </c>
      <c r="C24" s="1174" t="s">
        <v>802</v>
      </c>
    </row>
    <row r="25" spans="1:3" ht="14.25">
      <c r="A25" s="3259"/>
      <c r="B25" s="3263"/>
      <c r="C25" s="1174" t="s">
        <v>803</v>
      </c>
    </row>
    <row r="26" spans="1:3" ht="14.25">
      <c r="A26" s="3259"/>
      <c r="B26" s="3263"/>
      <c r="C26" s="1174" t="s">
        <v>804</v>
      </c>
    </row>
    <row r="27" spans="1:3" ht="14.25">
      <c r="A27" s="3259"/>
      <c r="B27" s="3263"/>
      <c r="C27" s="1174" t="s">
        <v>805</v>
      </c>
    </row>
    <row r="28" spans="1:3" ht="14.25">
      <c r="A28" s="3259"/>
      <c r="B28" s="3263"/>
      <c r="C28" s="1174" t="s">
        <v>806</v>
      </c>
    </row>
    <row r="29" spans="1:3" ht="14.25">
      <c r="A29" s="3259"/>
      <c r="B29" s="3263"/>
      <c r="C29" s="1174" t="s">
        <v>807</v>
      </c>
    </row>
    <row r="30" spans="1:3" ht="14.25">
      <c r="A30" s="3259"/>
      <c r="B30" s="3263"/>
      <c r="C30" s="1174" t="s">
        <v>808</v>
      </c>
    </row>
    <row r="31" spans="1:3" ht="14.25">
      <c r="A31" s="3259"/>
      <c r="B31" s="3263"/>
      <c r="C31" s="1174" t="s">
        <v>809</v>
      </c>
    </row>
    <row r="32" spans="1:3" ht="14.25">
      <c r="A32" s="3259"/>
      <c r="B32" s="3263"/>
      <c r="C32" s="1174" t="s">
        <v>1611</v>
      </c>
    </row>
    <row r="33" spans="1:3" ht="14.25">
      <c r="A33" s="3259"/>
      <c r="B33" s="3253" t="s">
        <v>1617</v>
      </c>
      <c r="C33" s="1174" t="s">
        <v>1612</v>
      </c>
    </row>
    <row r="34" spans="1:3" ht="14.25">
      <c r="A34" s="3259"/>
      <c r="B34" s="3254"/>
      <c r="C34" s="1179" t="s">
        <v>1613</v>
      </c>
    </row>
    <row r="35" spans="1:3" ht="14.25">
      <c r="A35" s="3259"/>
      <c r="B35" s="3254"/>
      <c r="C35" s="1180" t="s">
        <v>1614</v>
      </c>
    </row>
    <row r="36" spans="1:3" ht="14.25">
      <c r="A36" s="3259"/>
      <c r="B36" s="3254"/>
      <c r="C36" s="1180" t="s">
        <v>1615</v>
      </c>
    </row>
    <row r="37" spans="1:3" ht="14.25">
      <c r="A37" s="3259"/>
      <c r="B37" s="3255"/>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1869</v>
      </c>
      <c r="B2" s="1655">
        <f ca="1">TODAY()</f>
        <v>43245</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27">
        <v>43849</v>
      </c>
      <c r="D4" s="2340" t="s">
        <v>1876</v>
      </c>
      <c r="E4" s="2340">
        <f ca="1">IF(F4&lt;B2,"已过期",96010014)</f>
        <v>96010014</v>
      </c>
      <c r="F4" s="3028">
        <v>47118</v>
      </c>
    </row>
    <row r="5" spans="1:6" ht="20.25" customHeight="1">
      <c r="A5" s="2340" t="s">
        <v>1877</v>
      </c>
      <c r="B5" s="2340">
        <f ca="1">IF(C5&lt;B2,"已过期",1119970074)</f>
        <v>1119970074</v>
      </c>
      <c r="C5" s="3027">
        <v>43849</v>
      </c>
      <c r="D5" s="2340" t="s">
        <v>1877</v>
      </c>
      <c r="E5" s="2340">
        <f ca="1">IF(F5&lt;B2,"已过期",2002110027)</f>
        <v>2002110027</v>
      </c>
      <c r="F5" s="3028">
        <v>46752</v>
      </c>
    </row>
    <row r="6" spans="1:6" ht="20.25" customHeight="1">
      <c r="A6" s="2340" t="s">
        <v>1878</v>
      </c>
      <c r="B6" s="2340">
        <f ca="1">IF(C6&lt;B2,"已过期",1119970111)</f>
        <v>1119970111</v>
      </c>
      <c r="C6" s="3027">
        <v>43849</v>
      </c>
      <c r="D6" s="2340" t="s">
        <v>1878</v>
      </c>
      <c r="E6" s="2340">
        <f ca="1">IF(F6&lt;B2,"已过期",94010078)</f>
        <v>94010078</v>
      </c>
      <c r="F6" s="3028">
        <v>46387</v>
      </c>
    </row>
    <row r="7" spans="1:6" ht="20.25" customHeight="1">
      <c r="A7" s="2340" t="s">
        <v>1879</v>
      </c>
      <c r="B7" s="2340">
        <f ca="1">IF(C7&lt;B2,"已过期",1120050019)</f>
        <v>1120050019</v>
      </c>
      <c r="C7" s="3027">
        <v>43359</v>
      </c>
      <c r="D7" s="2340" t="s">
        <v>1879</v>
      </c>
      <c r="E7" s="2340">
        <f ca="1">IF(F7&lt;B2,"已过期",2002110030)</f>
        <v>2002110030</v>
      </c>
      <c r="F7" s="3028">
        <v>46387</v>
      </c>
    </row>
    <row r="8" spans="1:6" ht="20.25" customHeight="1">
      <c r="A8" s="2340" t="s">
        <v>1880</v>
      </c>
      <c r="B8" s="2340">
        <f ca="1">IF(C8&lt;B2,"已过期",1120000080)</f>
        <v>1120000080</v>
      </c>
      <c r="C8" s="3027">
        <v>43849</v>
      </c>
      <c r="D8" s="2340" t="s">
        <v>1880</v>
      </c>
      <c r="E8" s="2340">
        <f ca="1">IF(F8&lt;B2,"已过期",2000110082)</f>
        <v>2000110082</v>
      </c>
      <c r="F8" s="3028">
        <v>46387</v>
      </c>
    </row>
    <row r="9" spans="1:6" ht="20.25" customHeight="1">
      <c r="A9" s="2340" t="s">
        <v>1881</v>
      </c>
      <c r="B9" s="2340">
        <f ca="1">IF(C9&lt;B2,"已过期",1419970001)</f>
        <v>1419970001</v>
      </c>
      <c r="C9" s="3027">
        <v>43867</v>
      </c>
      <c r="D9" s="2340" t="s">
        <v>1881</v>
      </c>
      <c r="E9" s="2340">
        <f ca="1">IF(F9&lt;B2,"已过期",2002110125)</f>
        <v>2002110125</v>
      </c>
      <c r="F9" s="3028">
        <v>47118</v>
      </c>
    </row>
    <row r="10" spans="1:6" ht="20.25" customHeight="1">
      <c r="A10" s="2340" t="s">
        <v>1882</v>
      </c>
      <c r="B10" s="2340">
        <f ca="1">IF(C10&lt;B2,"已过期",1120060040)</f>
        <v>1120060040</v>
      </c>
      <c r="C10" s="3027">
        <v>43483</v>
      </c>
      <c r="D10" s="2340" t="s">
        <v>1882</v>
      </c>
      <c r="E10" s="2340">
        <f ca="1">IF(F10&lt;B2,"已过期",2004110096)</f>
        <v>2004110096</v>
      </c>
      <c r="F10" s="3028">
        <v>47118</v>
      </c>
    </row>
    <row r="11" spans="1:6" ht="20.25" customHeight="1">
      <c r="A11" s="2340" t="s">
        <v>1883</v>
      </c>
      <c r="B11" s="2340">
        <f ca="1">IF(C11&lt;B2,"已过期",1120100036)</f>
        <v>1120100036</v>
      </c>
      <c r="C11" s="3027">
        <v>43622</v>
      </c>
      <c r="D11" s="2340" t="s">
        <v>1883</v>
      </c>
      <c r="E11" s="2340">
        <f ca="1">IF(F11&lt;B2,"已过期",2010110070)</f>
        <v>2010110070</v>
      </c>
      <c r="F11" s="3028">
        <v>47907</v>
      </c>
    </row>
    <row r="12" spans="1:6" ht="20.25" customHeight="1">
      <c r="A12" s="2340" t="s">
        <v>2931</v>
      </c>
      <c r="B12" s="2340">
        <v>1120110054</v>
      </c>
      <c r="C12" s="3027">
        <v>43937</v>
      </c>
      <c r="D12" s="2340" t="s">
        <v>2931</v>
      </c>
      <c r="E12" s="2340">
        <v>2008110060</v>
      </c>
      <c r="F12" s="3028">
        <v>47177</v>
      </c>
    </row>
    <row r="13" spans="1:6" ht="20.25" customHeight="1">
      <c r="A13" s="2340" t="s">
        <v>1884</v>
      </c>
      <c r="B13" s="2340">
        <f ca="1">IF(C13&lt;B2,"已过期",1120070131)</f>
        <v>1120070131</v>
      </c>
      <c r="C13" s="3027">
        <v>43814</v>
      </c>
      <c r="D13" s="2340" t="s">
        <v>1884</v>
      </c>
      <c r="E13" s="2340">
        <v>2014110011</v>
      </c>
      <c r="F13" s="3028">
        <v>49302</v>
      </c>
    </row>
    <row r="14" spans="1:6" ht="20.25" customHeight="1">
      <c r="A14" s="2340" t="s">
        <v>1885</v>
      </c>
      <c r="B14" s="2340">
        <f ca="1">IF(C14&lt;B2,"已过期",1120130020)</f>
        <v>1120130020</v>
      </c>
      <c r="C14" s="3027">
        <v>43622</v>
      </c>
      <c r="D14" s="2340"/>
      <c r="E14" s="2340"/>
      <c r="F14" s="2340"/>
    </row>
    <row r="15" spans="1:6" ht="20.25" customHeight="1">
      <c r="A15" s="2340" t="s">
        <v>2537</v>
      </c>
      <c r="B15" s="2340">
        <v>1120070085</v>
      </c>
      <c r="C15" s="3027">
        <v>43814</v>
      </c>
      <c r="D15" s="2340" t="s">
        <v>2537</v>
      </c>
      <c r="E15" s="2340">
        <v>2004110128</v>
      </c>
      <c r="F15" s="3028">
        <v>47118</v>
      </c>
    </row>
    <row r="16" spans="1:6" ht="20.25" customHeight="1">
      <c r="A16" s="2340" t="s">
        <v>1886</v>
      </c>
      <c r="B16" s="2340">
        <f ca="1">IF(C16&lt;B2,"已过期",1120140022)</f>
        <v>1120140022</v>
      </c>
      <c r="C16" s="3027">
        <v>44029</v>
      </c>
      <c r="D16" s="2340" t="s">
        <v>1886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1887</v>
      </c>
      <c r="E21" s="2340">
        <f ca="1">IF(F21&lt;B2,"已过期",2011110090)</f>
        <v>2011110090</v>
      </c>
      <c r="F21" s="3028">
        <v>48302</v>
      </c>
    </row>
    <row r="22" spans="1:7" ht="20.25" customHeight="1">
      <c r="A22" s="2340" t="s">
        <v>1888</v>
      </c>
      <c r="B22" s="2340">
        <f ca="1">IF(C22&lt;B2,"已过期",1120020033)</f>
        <v>1120020033</v>
      </c>
      <c r="C22" s="3027">
        <v>43304</v>
      </c>
      <c r="D22" s="2340" t="s">
        <v>1888</v>
      </c>
      <c r="E22" s="2340">
        <f ca="1">IF(F22&lt;B2,"已过期",2000110137)</f>
        <v>2000110137</v>
      </c>
      <c r="F22" s="3028">
        <v>46387</v>
      </c>
    </row>
    <row r="23" spans="1:7" ht="20.25" customHeight="1">
      <c r="A23" s="2340" t="s">
        <v>1889</v>
      </c>
      <c r="B23" s="2340">
        <f ca="1">IF(C23&lt;B2,"已过期",1120130048)</f>
        <v>1120130048</v>
      </c>
      <c r="C23" s="3027">
        <v>43686</v>
      </c>
      <c r="D23" s="2340"/>
      <c r="E23" s="2340"/>
      <c r="F23" s="2340"/>
    </row>
    <row r="24" spans="1:7" s="2344" customFormat="1" ht="20.25" customHeight="1">
      <c r="A24" s="2342" t="s">
        <v>2016</v>
      </c>
      <c r="B24" s="2342" t="s">
        <v>2016</v>
      </c>
      <c r="C24" s="3027"/>
      <c r="D24" s="3029" t="s">
        <v>2016</v>
      </c>
      <c r="E24" s="2342" t="s">
        <v>2016</v>
      </c>
      <c r="F24" s="2343"/>
    </row>
    <row r="25" spans="1:7" ht="20.25" customHeight="1">
      <c r="A25" s="3264" t="s">
        <v>1890</v>
      </c>
      <c r="B25" s="3264"/>
      <c r="C25" s="3264"/>
      <c r="D25" s="3264"/>
      <c r="E25" s="3264"/>
      <c r="F25" s="3264"/>
      <c r="G25" s="3264"/>
    </row>
    <row r="26" spans="1:7" ht="20.25" customHeight="1">
      <c r="A26" s="3265" t="s">
        <v>1891</v>
      </c>
      <c r="B26" s="3265"/>
      <c r="C26" s="3265"/>
      <c r="D26" s="3265" t="s">
        <v>1892</v>
      </c>
      <c r="E26" s="3265"/>
      <c r="F26" s="3265"/>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2897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8" sqref="AA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4" t="s">
        <v>2508</v>
      </c>
      <c r="R1" s="2603" t="s">
        <v>2502</v>
      </c>
      <c r="S1" s="6" t="s">
        <v>119</v>
      </c>
      <c r="T1" s="7" t="s">
        <v>120</v>
      </c>
      <c r="U1" s="6" t="s">
        <v>121</v>
      </c>
      <c r="V1" s="6" t="s">
        <v>122</v>
      </c>
      <c r="W1" s="1002" t="s">
        <v>839</v>
      </c>
    </row>
    <row r="2" spans="1:23">
      <c r="A2" s="1147" t="s">
        <v>2933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2503</v>
      </c>
      <c r="S2" s="9" t="s">
        <v>73</v>
      </c>
      <c r="T2" s="9" t="s">
        <v>74</v>
      </c>
      <c r="U2" s="9" t="s">
        <v>73</v>
      </c>
      <c r="V2" s="9" t="s">
        <v>75</v>
      </c>
      <c r="W2" s="9" t="s">
        <v>840</v>
      </c>
    </row>
    <row r="3" spans="1:23">
      <c r="A3" s="1931"/>
      <c r="B3" s="10" t="s">
        <v>2937</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2504</v>
      </c>
      <c r="S3" s="9" t="s">
        <v>81</v>
      </c>
      <c r="T3" s="9" t="s">
        <v>82</v>
      </c>
      <c r="U3" s="9" t="s">
        <v>81</v>
      </c>
      <c r="V3" s="9" t="s">
        <v>83</v>
      </c>
      <c r="W3" s="9" t="s">
        <v>841</v>
      </c>
    </row>
    <row r="4" spans="1:23">
      <c r="A4" s="1147" t="s">
        <v>2934</v>
      </c>
      <c r="B4" s="8"/>
      <c r="C4" s="1549" t="s">
        <v>1673</v>
      </c>
      <c r="D4" s="9" t="s">
        <v>1958</v>
      </c>
      <c r="E4" s="9" t="s">
        <v>84</v>
      </c>
      <c r="F4" s="9" t="s">
        <v>85</v>
      </c>
      <c r="G4" s="9">
        <v>70</v>
      </c>
      <c r="H4" s="9" t="s">
        <v>86</v>
      </c>
      <c r="I4" s="9" t="s">
        <v>87</v>
      </c>
      <c r="K4" s="9" t="s">
        <v>88</v>
      </c>
      <c r="L4" s="9" t="s">
        <v>88</v>
      </c>
      <c r="M4" s="9" t="s">
        <v>88</v>
      </c>
      <c r="N4" s="9" t="s">
        <v>88</v>
      </c>
      <c r="O4" s="9" t="s">
        <v>88</v>
      </c>
      <c r="P4" s="1004" t="s">
        <v>725</v>
      </c>
      <c r="Q4" s="9" t="s">
        <v>88</v>
      </c>
      <c r="R4" s="1004" t="s">
        <v>2505</v>
      </c>
      <c r="S4" s="9" t="s">
        <v>88</v>
      </c>
      <c r="T4" s="9" t="s">
        <v>89</v>
      </c>
      <c r="U4" s="9" t="s">
        <v>88</v>
      </c>
      <c r="W4" s="9" t="s">
        <v>842</v>
      </c>
    </row>
    <row r="5" spans="1:23">
      <c r="A5" s="1147" t="s">
        <v>2936</v>
      </c>
      <c r="B5" s="8"/>
      <c r="C5" s="1549" t="s">
        <v>1674</v>
      </c>
      <c r="F5" s="9" t="s">
        <v>90</v>
      </c>
      <c r="H5" s="9" t="s">
        <v>69</v>
      </c>
      <c r="I5" s="9" t="s">
        <v>91</v>
      </c>
      <c r="K5" s="9" t="s">
        <v>92</v>
      </c>
      <c r="L5" s="9" t="s">
        <v>92</v>
      </c>
      <c r="M5" s="9" t="s">
        <v>92</v>
      </c>
      <c r="N5" s="9" t="s">
        <v>92</v>
      </c>
      <c r="O5" s="9" t="s">
        <v>92</v>
      </c>
      <c r="P5" s="1004" t="s">
        <v>511</v>
      </c>
      <c r="Q5" s="9" t="s">
        <v>92</v>
      </c>
      <c r="R5" s="1004" t="s">
        <v>2506</v>
      </c>
      <c r="S5" s="9" t="s">
        <v>92</v>
      </c>
      <c r="T5" s="9" t="s">
        <v>93</v>
      </c>
      <c r="U5" s="9" t="s">
        <v>92</v>
      </c>
      <c r="W5" s="9" t="s">
        <v>843</v>
      </c>
    </row>
    <row r="6" spans="1:23">
      <c r="A6" s="8"/>
      <c r="B6" s="1147" t="s">
        <v>2940</v>
      </c>
      <c r="C6" s="1551" t="s">
        <v>1675</v>
      </c>
      <c r="F6" s="9" t="s">
        <v>70</v>
      </c>
      <c r="H6" s="9" t="s">
        <v>71</v>
      </c>
      <c r="I6" s="9" t="s">
        <v>94</v>
      </c>
      <c r="K6" s="9" t="s">
        <v>95</v>
      </c>
      <c r="L6" s="9" t="s">
        <v>95</v>
      </c>
      <c r="M6" s="9" t="s">
        <v>95</v>
      </c>
      <c r="N6" s="9" t="s">
        <v>95</v>
      </c>
      <c r="O6" s="9" t="s">
        <v>95</v>
      </c>
      <c r="P6" s="1004" t="s">
        <v>846</v>
      </c>
      <c r="Q6" s="9" t="s">
        <v>95</v>
      </c>
      <c r="R6" s="1004" t="s">
        <v>2507</v>
      </c>
      <c r="S6" s="9" t="s">
        <v>95</v>
      </c>
      <c r="T6" s="9"/>
      <c r="U6" s="9" t="s">
        <v>95</v>
      </c>
      <c r="W6" s="9" t="s">
        <v>844</v>
      </c>
    </row>
    <row r="7" spans="1:23">
      <c r="A7" s="8"/>
      <c r="B7" s="8"/>
      <c r="C7" s="1549" t="s">
        <v>1676</v>
      </c>
      <c r="F7" s="9" t="s">
        <v>124</v>
      </c>
      <c r="H7" s="9" t="s">
        <v>96</v>
      </c>
      <c r="I7" s="9" t="s">
        <v>97</v>
      </c>
    </row>
    <row r="8" spans="1:23">
      <c r="A8" s="8"/>
      <c r="B8" s="8" t="s">
        <v>3073</v>
      </c>
      <c r="C8" s="1549" t="s">
        <v>1677</v>
      </c>
      <c r="F8" s="9" t="s">
        <v>125</v>
      </c>
      <c r="H8" s="9"/>
      <c r="I8" s="9" t="s">
        <v>98</v>
      </c>
    </row>
    <row r="9" spans="1:23">
      <c r="A9" s="8"/>
      <c r="B9" s="8" t="s">
        <v>126</v>
      </c>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青龙湖盛通房地产开发有限公司拟使用北京市丰台区王佐镇怪村0024出让国有建设用地使用权作为抵押担保物，向工行商务区支行办理贷款手续。工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1950</v>
      </c>
      <c r="B52" s="1765" t="s">
        <v>1951</v>
      </c>
      <c r="C52" s="1763" t="s">
        <v>1952</v>
      </c>
      <c r="D52" s="1763" t="s">
        <v>1953</v>
      </c>
      <c r="E52" s="1764"/>
    </row>
    <row r="53" spans="1:5">
      <c r="A53" s="3266" t="s">
        <v>1954</v>
      </c>
      <c r="B53" s="1763" t="s">
        <v>1960</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c r="D53" s="1764"/>
      <c r="E53" s="1764"/>
    </row>
    <row r="54" spans="1:5">
      <c r="A54" s="3266"/>
      <c r="B54" s="1763" t="s">
        <v>1961</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66"/>
      <c r="B55" s="1763" t="s">
        <v>1955</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66"/>
      <c r="B56" s="1763" t="s">
        <v>1956</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66"/>
      <c r="B57" s="1763" t="s">
        <v>1957</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2012</v>
      </c>
      <c r="B58" s="1763" t="s">
        <v>2013</v>
      </c>
      <c r="C58" s="11" t="s">
        <v>2014</v>
      </c>
      <c r="D58" s="1317"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不动产收益法-车库</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不动产比较法-车位</vt:lpstr>
      <vt:lpstr>土地及现房案例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2018-05-25T02:04:40Z</dcterms:modified>
</cp:coreProperties>
</file>