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state="hidden"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收益法 (地下)" sheetId="78"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租金情况" sheetId="79" r:id="rId47"/>
    <sheet name="租约整理" sheetId="82" r:id="rId48"/>
    <sheet name="年期修正系数" sheetId="83" r:id="rId49"/>
    <sheet name="土地检索（全北京市）" sheetId="80" r:id="rId50"/>
    <sheet name="土地检索（昌平区）" sheetId="81" r:id="rId51"/>
    <sheet name="三个项目汇总" sheetId="84" r:id="rId52"/>
  </sheets>
  <externalReferences>
    <externalReference r:id="rId53"/>
    <externalReference r:id="rId54"/>
    <externalReference r:id="rId55"/>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9">'收益法 (地下)'!$A$1:$AK$69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8">[1]定义!$F$2:$F$4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38" i="43" l="1"/>
  <c r="C12" i="84" l="1"/>
  <c r="C13" i="84"/>
  <c r="C11" i="84"/>
  <c r="C10" i="84"/>
  <c r="D13" i="84" l="1"/>
  <c r="E13" i="84"/>
  <c r="C5" i="84" l="1"/>
  <c r="C4" i="84"/>
  <c r="C3" i="84"/>
  <c r="C2" i="84"/>
  <c r="E2" i="84" l="1"/>
  <c r="D2" i="84"/>
  <c r="E3" i="84" l="1"/>
  <c r="D3" i="84" l="1"/>
  <c r="D5" i="84" l="1"/>
  <c r="E5" i="84"/>
  <c r="F10" i="83" l="1"/>
  <c r="C13" i="83" s="1"/>
  <c r="F9" i="83"/>
  <c r="C16" i="83" s="1"/>
  <c r="C5" i="83"/>
  <c r="D5" i="83" s="1"/>
  <c r="C4" i="83"/>
  <c r="D4" i="83" s="1"/>
  <c r="C3" i="83"/>
  <c r="D3" i="83" s="1"/>
  <c r="B13" i="83" l="1"/>
  <c r="B16" i="83"/>
  <c r="I13" i="3" l="1"/>
  <c r="K13" i="3" s="1"/>
  <c r="F40" i="77" l="1"/>
  <c r="L14" i="77" l="1"/>
  <c r="L13" i="77"/>
  <c r="L12" i="77"/>
  <c r="L15" i="77" l="1"/>
  <c r="Q72" i="78"/>
  <c r="Q59" i="78"/>
  <c r="K59" i="78"/>
  <c r="P74" i="78" s="1"/>
  <c r="F59" i="78"/>
  <c r="Q58" i="78"/>
  <c r="Q51" i="78"/>
  <c r="J50" i="78"/>
  <c r="M47" i="78"/>
  <c r="D46" i="78"/>
  <c r="F33" i="78"/>
  <c r="F61" i="78" s="1"/>
  <c r="F31" i="78"/>
  <c r="F23" i="78"/>
  <c r="D23" i="78" s="1"/>
  <c r="F21" i="78"/>
  <c r="F20" i="78"/>
  <c r="M19" i="78"/>
  <c r="F18" i="78"/>
  <c r="M17" i="78"/>
  <c r="F17" i="78"/>
  <c r="F15" i="78"/>
  <c r="I17" i="3"/>
  <c r="K17" i="3" s="1"/>
  <c r="I16" i="3"/>
  <c r="K16" i="3" s="1"/>
  <c r="I15" i="3"/>
  <c r="K15" i="3" s="1"/>
  <c r="I14" i="3"/>
  <c r="K14" i="3"/>
  <c r="G19" i="6" l="1"/>
  <c r="L20" i="77"/>
  <c r="L21" i="77" s="1"/>
  <c r="D24" i="78"/>
  <c r="P61" i="78"/>
  <c r="D22" i="78"/>
  <c r="F19" i="6"/>
  <c r="D29" i="43" s="1"/>
  <c r="F41" i="77"/>
  <c r="F42" i="77"/>
  <c r="F43" i="77"/>
  <c r="F44" i="77"/>
  <c r="Y6" i="1" l="1"/>
  <c r="D45" i="77"/>
  <c r="A3" i="3" l="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E11" i="76"/>
  <c r="E9" i="76"/>
  <c r="B8" i="76"/>
  <c r="E7" i="76"/>
  <c r="E12" i="76"/>
  <c r="B13" i="76"/>
  <c r="E10" i="76"/>
  <c r="B12" i="76"/>
  <c r="E13" i="76"/>
  <c r="B7" i="76"/>
  <c r="B10" i="76"/>
  <c r="B11" i="76"/>
  <c r="B9"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D6" i="73"/>
  <c r="F6" i="73"/>
  <c r="F3" i="73"/>
  <c r="F4" i="73"/>
  <c r="I1" i="73" l="1"/>
  <c r="B39" i="1" s="1"/>
  <c r="D7" i="73"/>
  <c r="D3" i="73"/>
  <c r="D5" i="73"/>
  <c r="D4"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X5" i="71" s="1"/>
  <c r="V21" i="71" l="1"/>
  <c r="M19" i="43"/>
  <c r="Y5" i="71"/>
  <c r="Z5" i="71" s="1"/>
  <c r="Y11" i="71"/>
  <c r="Z11" i="71" s="1"/>
  <c r="AB11" i="71"/>
  <c r="Y12" i="71"/>
  <c r="Z12" i="71" s="1"/>
  <c r="AB12" i="71"/>
  <c r="Y13" i="71"/>
  <c r="Z13" i="71" s="1"/>
  <c r="AB13" i="71"/>
  <c r="Y15" i="71"/>
  <c r="Z15" i="71" s="1"/>
  <c r="AB15" i="71"/>
  <c r="Y16" i="71"/>
  <c r="Z16" i="71" s="1"/>
  <c r="AB16" i="71"/>
  <c r="Y17" i="71"/>
  <c r="Z17" i="71" s="1"/>
  <c r="AB17" i="71"/>
  <c r="B36" i="71"/>
  <c r="B37" i="71" s="1"/>
  <c r="S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D19"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C20" i="71" l="1"/>
  <c r="D15" i="7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9" i="1"/>
  <c r="AO11"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D1" i="43"/>
  <c r="F113" i="43"/>
  <c r="N99" i="43"/>
  <c r="N108" i="43" s="1"/>
  <c r="D99" i="43"/>
  <c r="D108" i="43" s="1"/>
  <c r="E99" i="43"/>
  <c r="F99" i="43"/>
  <c r="F108" i="43" s="1"/>
  <c r="G99" i="43"/>
  <c r="G108" i="43" s="1"/>
  <c r="H99" i="43"/>
  <c r="H108" i="43" s="1"/>
  <c r="I99" i="43"/>
  <c r="J99" i="43"/>
  <c r="J108" i="43" s="1"/>
  <c r="K99" i="43"/>
  <c r="K108" i="43" s="1"/>
  <c r="L99" i="43"/>
  <c r="M99" i="43"/>
  <c r="C99" i="43"/>
  <c r="C108" i="43" s="1"/>
  <c r="N100" i="43"/>
  <c r="D100" i="43"/>
  <c r="K100" i="43"/>
  <c r="B48" i="43"/>
  <c r="B84" i="43"/>
  <c r="B83" i="43"/>
  <c r="B72" i="43"/>
  <c r="B61" i="43"/>
  <c r="B50" i="43"/>
  <c r="D82" i="43"/>
  <c r="D84" i="43"/>
  <c r="D67" i="43"/>
  <c r="D60" i="43"/>
  <c r="D61" i="43"/>
  <c r="D62" i="43"/>
  <c r="D63" i="43"/>
  <c r="D64" i="43"/>
  <c r="D65" i="43"/>
  <c r="D66" i="43"/>
  <c r="D59" i="43"/>
  <c r="E59" i="43" s="1"/>
  <c r="B57"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J30" i="36"/>
  <c r="AC30" i="36" s="1"/>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H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E97" i="39" s="1"/>
  <c r="F97" i="39" s="1"/>
  <c r="G97" i="39" s="1"/>
  <c r="J23" i="39"/>
  <c r="AC23" i="39" s="1"/>
  <c r="D95" i="39"/>
  <c r="E95" i="39" s="1"/>
  <c r="F95" i="39" s="1"/>
  <c r="D93" i="39"/>
  <c r="E93" i="39" s="1"/>
  <c r="F93" i="39" s="1"/>
  <c r="G93" i="39" s="1"/>
  <c r="D91" i="39"/>
  <c r="E91" i="39" s="1"/>
  <c r="F91" i="39" s="1"/>
  <c r="G91" i="39" s="1"/>
  <c r="D89" i="39"/>
  <c r="E89" i="39" s="1"/>
  <c r="F89" i="39" s="1"/>
  <c r="G89" i="39" s="1"/>
  <c r="B86" i="39"/>
  <c r="J14" i="39" s="1"/>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B108" i="37"/>
  <c r="J38" i="37" s="1"/>
  <c r="AC38" i="37" s="1"/>
  <c r="C23" i="37"/>
  <c r="C19" i="37"/>
  <c r="C17" i="37"/>
  <c r="C15" i="37"/>
  <c r="B112" i="37"/>
  <c r="J40" i="37" s="1"/>
  <c r="D107" i="37"/>
  <c r="E107" i="37" s="1"/>
  <c r="F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W13" i="36" s="1"/>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H34" i="35" s="1"/>
  <c r="B77" i="35"/>
  <c r="B75" i="35"/>
  <c r="J24" i="35" s="1"/>
  <c r="AC24" i="35" s="1"/>
  <c r="B73" i="35"/>
  <c r="H23" i="35" s="1"/>
  <c r="B57" i="35"/>
  <c r="H11" i="35" s="1"/>
  <c r="B61" i="35"/>
  <c r="J13" i="35" s="1"/>
  <c r="AC13" i="35" s="1"/>
  <c r="B59" i="35"/>
  <c r="J12" i="35" s="1"/>
  <c r="W12" i="35" s="1"/>
  <c r="B131" i="34"/>
  <c r="B129" i="34"/>
  <c r="F46" i="34" s="1"/>
  <c r="B127" i="34"/>
  <c r="J45" i="34" s="1"/>
  <c r="W45" i="34" s="1"/>
  <c r="B99" i="34"/>
  <c r="H32" i="34" s="1"/>
  <c r="B97" i="34"/>
  <c r="B95" i="34"/>
  <c r="F30" i="34" s="1"/>
  <c r="S30" i="34" s="1"/>
  <c r="B93" i="34"/>
  <c r="F29" i="34" s="1"/>
  <c r="S29" i="34" s="1"/>
  <c r="B75" i="34"/>
  <c r="J14" i="34" s="1"/>
  <c r="W14" i="34" s="1"/>
  <c r="B73" i="34"/>
  <c r="B71" i="34"/>
  <c r="J12" i="34" s="1"/>
  <c r="B130" i="33"/>
  <c r="F46" i="33" s="1"/>
  <c r="AA46" i="33" s="1"/>
  <c r="B128" i="33"/>
  <c r="J45" i="33" s="1"/>
  <c r="B126" i="33"/>
  <c r="B98" i="33"/>
  <c r="J31" i="33" s="1"/>
  <c r="B96" i="33"/>
  <c r="F30" i="33" s="1"/>
  <c r="B94" i="33"/>
  <c r="H29" i="33" s="1"/>
  <c r="U29" i="33" s="1"/>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F31" i="21" s="1"/>
  <c r="S31" i="21" s="1"/>
  <c r="B96" i="21"/>
  <c r="B94" i="21"/>
  <c r="J29" i="21" s="1"/>
  <c r="AC29" i="21" s="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5" i="39"/>
  <c r="F36" i="39"/>
  <c r="S36" i="39" s="1"/>
  <c r="F35" i="39"/>
  <c r="AA35" i="39" s="1"/>
  <c r="J36" i="39"/>
  <c r="U9" i="39"/>
  <c r="W40" i="39"/>
  <c r="U30" i="37"/>
  <c r="U14" i="37"/>
  <c r="F29" i="36"/>
  <c r="AA29" i="36" s="1"/>
  <c r="W8" i="36"/>
  <c r="F16" i="36"/>
  <c r="AA16" i="36" s="1"/>
  <c r="U9" i="36"/>
  <c r="U31" i="36"/>
  <c r="H22" i="35"/>
  <c r="AB22" i="35" s="1"/>
  <c r="AC27" i="35"/>
  <c r="S34" i="35"/>
  <c r="F36" i="34"/>
  <c r="J35" i="34"/>
  <c r="U34" i="34"/>
  <c r="H39" i="33"/>
  <c r="AB39" i="33" s="1"/>
  <c r="F26" i="33"/>
  <c r="AA26" i="33" s="1"/>
  <c r="S40" i="33"/>
  <c r="W33" i="33"/>
  <c r="F11" i="40"/>
  <c r="AA11" i="40" s="1"/>
  <c r="H11" i="40"/>
  <c r="AB11" i="40" s="1"/>
  <c r="W8" i="40"/>
  <c r="AA9" i="40"/>
  <c r="U9" i="40"/>
  <c r="F42" i="39"/>
  <c r="AA42" i="39" s="1"/>
  <c r="F41" i="39"/>
  <c r="S41" i="39" s="1"/>
  <c r="H40" i="39"/>
  <c r="AB40" i="39" s="1"/>
  <c r="H39" i="39"/>
  <c r="U39" i="39" s="1"/>
  <c r="S38"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S40" i="21"/>
  <c r="C25" i="39"/>
  <c r="H11" i="39"/>
  <c r="C15" i="39"/>
  <c r="H32" i="33"/>
  <c r="AB32" i="33" s="1"/>
  <c r="H11" i="21"/>
  <c r="U11" i="21" s="1"/>
  <c r="J11" i="21"/>
  <c r="W11" i="21" s="1"/>
  <c r="H37" i="40"/>
  <c r="U37" i="40" s="1"/>
  <c r="H36" i="40"/>
  <c r="AB36" i="40" s="1"/>
  <c r="F35" i="40"/>
  <c r="AA35" i="40" s="1"/>
  <c r="H23" i="40"/>
  <c r="H17" i="40"/>
  <c r="U17" i="40" s="1"/>
  <c r="J15" i="40"/>
  <c r="W15" i="40" s="1"/>
  <c r="J11" i="40"/>
  <c r="W11" i="40" s="1"/>
  <c r="W32" i="40"/>
  <c r="F37" i="39"/>
  <c r="AA37" i="39" s="1"/>
  <c r="J34" i="36"/>
  <c r="W34" i="36" s="1"/>
  <c r="U30" i="36"/>
  <c r="J30" i="35"/>
  <c r="W30" i="35" s="1"/>
  <c r="H30" i="35"/>
  <c r="AB30" i="35" s="1"/>
  <c r="F22" i="35"/>
  <c r="AA22" i="35" s="1"/>
  <c r="H10" i="35"/>
  <c r="U10" i="35" s="1"/>
  <c r="F33" i="36"/>
  <c r="AA33" i="36" s="1"/>
  <c r="W30" i="36"/>
  <c r="H16" i="36"/>
  <c r="AB16" i="36" s="1"/>
  <c r="J29" i="36"/>
  <c r="AC29" i="36" s="1"/>
  <c r="F12" i="36"/>
  <c r="S12" i="36" s="1"/>
  <c r="F34" i="36"/>
  <c r="S34" i="36" s="1"/>
  <c r="S10" i="36"/>
  <c r="S8" i="36"/>
  <c r="F14" i="35"/>
  <c r="AA14" i="35" s="1"/>
  <c r="F23" i="35"/>
  <c r="AA23" i="35" s="1"/>
  <c r="J32" i="35"/>
  <c r="AC32" i="35" s="1"/>
  <c r="J16" i="35"/>
  <c r="AC16" i="35" s="1"/>
  <c r="H16" i="35"/>
  <c r="U16" i="35" s="1"/>
  <c r="F16" i="35"/>
  <c r="S16" i="35" s="1"/>
  <c r="H14" i="35"/>
  <c r="AB14" i="35" s="1"/>
  <c r="J29" i="35"/>
  <c r="W29" i="35" s="1"/>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J28" i="34"/>
  <c r="W28" i="34" s="1"/>
  <c r="F41" i="33"/>
  <c r="AA41" i="33" s="1"/>
  <c r="E113" i="33"/>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A12" i="36"/>
  <c r="AB30" i="36"/>
  <c r="AC34" i="36"/>
  <c r="F29" i="35"/>
  <c r="H29" i="35"/>
  <c r="AB29" i="35" s="1"/>
  <c r="H33" i="37"/>
  <c r="AB33" i="37" s="1"/>
  <c r="F33" i="37"/>
  <c r="AA33" i="37" s="1"/>
  <c r="U34" i="37"/>
  <c r="W33" i="37"/>
  <c r="S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W44" i="34" s="1"/>
  <c r="F44" i="34"/>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F28" i="33"/>
  <c r="AA28" i="33" s="1"/>
  <c r="F33" i="35"/>
  <c r="S33" i="35" s="1"/>
  <c r="J33" i="35"/>
  <c r="AC33" i="35" s="1"/>
  <c r="F30" i="35"/>
  <c r="S30" i="35" s="1"/>
  <c r="H10" i="36"/>
  <c r="AB10" i="36" s="1"/>
  <c r="J14" i="36"/>
  <c r="AC14" i="36" s="1"/>
  <c r="H14" i="36"/>
  <c r="U14" i="36" s="1"/>
  <c r="F28" i="36"/>
  <c r="AA28" i="36" s="1"/>
  <c r="H27" i="21"/>
  <c r="AB27" i="21" s="1"/>
  <c r="F27" i="33"/>
  <c r="AA27" i="33" s="1"/>
  <c r="H13" i="33"/>
  <c r="J29" i="33"/>
  <c r="AC29" i="33" s="1"/>
  <c r="F29" i="33"/>
  <c r="S29" i="33" s="1"/>
  <c r="H31" i="33"/>
  <c r="U31" i="33" s="1"/>
  <c r="H45" i="33"/>
  <c r="F45" i="33"/>
  <c r="AA45" i="33" s="1"/>
  <c r="F14" i="34"/>
  <c r="H30" i="34"/>
  <c r="J30" i="34"/>
  <c r="W30" i="34" s="1"/>
  <c r="F32" i="34"/>
  <c r="H46" i="34"/>
  <c r="J46" i="34"/>
  <c r="J11" i="35"/>
  <c r="AC11" i="35" s="1"/>
  <c r="J26" i="36"/>
  <c r="W26" i="36" s="1"/>
  <c r="H28" i="36"/>
  <c r="U28" i="36" s="1"/>
  <c r="J11" i="36"/>
  <c r="AC11" i="36" s="1"/>
  <c r="H11" i="36"/>
  <c r="F11" i="36"/>
  <c r="AA11" i="36" s="1"/>
  <c r="F89" i="37"/>
  <c r="G89" i="37" s="1"/>
  <c r="H89" i="37" s="1"/>
  <c r="I89" i="37" s="1"/>
  <c r="J89" i="37" s="1"/>
  <c r="K89" i="37" s="1"/>
  <c r="L89" i="37" s="1"/>
  <c r="M89" i="37" s="1"/>
  <c r="J29" i="37"/>
  <c r="W29" i="37" s="1"/>
  <c r="F29" i="37"/>
  <c r="S29" i="37" s="1"/>
  <c r="H36" i="37"/>
  <c r="AB36" i="37" s="1"/>
  <c r="J37" i="37"/>
  <c r="AC37" i="37" s="1"/>
  <c r="H37" i="37"/>
  <c r="U37" i="37" s="1"/>
  <c r="H40" i="37"/>
  <c r="U40" i="37" s="1"/>
  <c r="F40" i="37"/>
  <c r="AA40" i="37" s="1"/>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F28" i="37"/>
  <c r="AA28" i="37" s="1"/>
  <c r="J28" i="37"/>
  <c r="AC28" i="37" s="1"/>
  <c r="H28" i="37"/>
  <c r="U28" i="37" s="1"/>
  <c r="H38" i="37"/>
  <c r="AB38" i="37" s="1"/>
  <c r="F38" i="37"/>
  <c r="S38" i="37" s="1"/>
  <c r="H43" i="39"/>
  <c r="F14" i="39"/>
  <c r="F12" i="40"/>
  <c r="S12" i="40" s="1"/>
  <c r="H30" i="40"/>
  <c r="AB30" i="40" s="1"/>
  <c r="J35" i="40"/>
  <c r="AC35" i="40" s="1"/>
  <c r="J37" i="40"/>
  <c r="AC37" i="40" s="1"/>
  <c r="J13" i="40"/>
  <c r="W13" i="40" s="1"/>
  <c r="F14" i="37"/>
  <c r="S14" i="37" s="1"/>
  <c r="F13" i="39"/>
  <c r="H13" i="39"/>
  <c r="H14" i="40"/>
  <c r="AB14" i="40" s="1"/>
  <c r="F14" i="40"/>
  <c r="AA14" i="40" s="1"/>
  <c r="J14" i="37"/>
  <c r="AC14" i="37" s="1"/>
  <c r="U31" i="34"/>
  <c r="J36" i="37"/>
  <c r="AC36" i="37" s="1"/>
  <c r="J10" i="36"/>
  <c r="AC10" i="36" s="1"/>
  <c r="AB30" i="21"/>
  <c r="W11" i="35"/>
  <c r="W29" i="33"/>
  <c r="BA586" i="3"/>
  <c r="F17" i="21"/>
  <c r="AA17" i="21" s="1"/>
  <c r="H17" i="21"/>
  <c r="AB17" i="21" s="1"/>
  <c r="F15" i="21"/>
  <c r="S15" i="21" s="1"/>
  <c r="J41" i="39"/>
  <c r="W41" i="39" s="1"/>
  <c r="G527" i="3"/>
  <c r="G496" i="3"/>
  <c r="G572" i="3"/>
  <c r="BL584" i="3"/>
  <c r="BL560" i="3"/>
  <c r="BL538" i="3"/>
  <c r="BL502" i="3"/>
  <c r="BL570" i="3"/>
  <c r="BL552" i="3"/>
  <c r="G529" i="3"/>
  <c r="BL500" i="3"/>
  <c r="BA554" i="3"/>
  <c r="BA544" i="3"/>
  <c r="BA528" i="3"/>
  <c r="BA516" i="3"/>
  <c r="BA504" i="3"/>
  <c r="BA587" i="3"/>
  <c r="BA579" i="3"/>
  <c r="BA571" i="3"/>
  <c r="BA553" i="3"/>
  <c r="BA543" i="3"/>
  <c r="BA527" i="3"/>
  <c r="BA507" i="3"/>
  <c r="G581" i="3"/>
  <c r="G573" i="3"/>
  <c r="G561" i="3"/>
  <c r="AC557" i="3"/>
  <c r="BQ557" i="3"/>
  <c r="BQ583" i="3"/>
  <c r="BQ581" i="3"/>
  <c r="BQ579" i="3"/>
  <c r="BQ577" i="3"/>
  <c r="BL577" i="3" s="1"/>
  <c r="BQ575" i="3"/>
  <c r="BL575" i="3" s="1"/>
  <c r="BQ573" i="3"/>
  <c r="BQ571" i="3"/>
  <c r="BQ569" i="3"/>
  <c r="BQ567" i="3"/>
  <c r="BQ565" i="3"/>
  <c r="BQ563" i="3"/>
  <c r="BQ561" i="3"/>
  <c r="BQ559" i="3"/>
  <c r="G555" i="3"/>
  <c r="G549" i="3"/>
  <c r="G545" i="3"/>
  <c r="G541" i="3"/>
  <c r="BQ555" i="3"/>
  <c r="BQ553" i="3"/>
  <c r="BL553" i="3" s="1"/>
  <c r="BQ551" i="3"/>
  <c r="BQ549" i="3"/>
  <c r="BL549" i="3" s="1"/>
  <c r="BQ547" i="3"/>
  <c r="BQ545" i="3"/>
  <c r="BL545" i="3" s="1"/>
  <c r="BQ543" i="3"/>
  <c r="BQ541" i="3"/>
  <c r="BQ539" i="3"/>
  <c r="BQ537" i="3"/>
  <c r="BQ535" i="3"/>
  <c r="BQ533" i="3"/>
  <c r="BQ531" i="3"/>
  <c r="BQ529" i="3"/>
  <c r="BQ527" i="3"/>
  <c r="BQ525" i="3"/>
  <c r="BQ523" i="3"/>
  <c r="AC521" i="3"/>
  <c r="G521" i="3" s="1"/>
  <c r="BQ521" i="3"/>
  <c r="BL520" i="3"/>
  <c r="G513" i="3"/>
  <c r="BQ519" i="3"/>
  <c r="BQ517" i="3"/>
  <c r="BL517" i="3" s="1"/>
  <c r="BQ515" i="3"/>
  <c r="BL515" i="3" s="1"/>
  <c r="BQ513" i="3"/>
  <c r="BQ511" i="3"/>
  <c r="AC509" i="3"/>
  <c r="G509" i="3" s="1"/>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F32" i="40"/>
  <c r="S32" i="40" s="1"/>
  <c r="H32" i="40"/>
  <c r="AB32" i="40" s="1"/>
  <c r="J36" i="40"/>
  <c r="W36" i="40" s="1"/>
  <c r="H19" i="37"/>
  <c r="AB19" i="37" s="1"/>
  <c r="H42" i="33"/>
  <c r="AB42" i="33" s="1"/>
  <c r="J43" i="33"/>
  <c r="AC43" i="33" s="1"/>
  <c r="S28" i="31"/>
  <c r="S27" i="31"/>
  <c r="S26" i="31"/>
  <c r="U14" i="40"/>
  <c r="U35" i="35"/>
  <c r="W23" i="35"/>
  <c r="AC8" i="37"/>
  <c r="U26" i="37"/>
  <c r="W37" i="34"/>
  <c r="AC36" i="34"/>
  <c r="W44" i="33"/>
  <c r="U11" i="33"/>
  <c r="U19" i="21"/>
  <c r="U26" i="21"/>
  <c r="U12" i="21"/>
  <c r="F43" i="33"/>
  <c r="AA43" i="33" s="1"/>
  <c r="AC15" i="34"/>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F31" i="37"/>
  <c r="S31" i="37" s="1"/>
  <c r="J42" i="39"/>
  <c r="AC42" i="39" s="1"/>
  <c r="H21" i="40"/>
  <c r="AB21" i="40" s="1"/>
  <c r="AC12" i="37"/>
  <c r="H31" i="37"/>
  <c r="U31" i="37" s="1"/>
  <c r="J15" i="37"/>
  <c r="W15" i="37" s="1"/>
  <c r="AT6" i="3"/>
  <c r="C12" i="43"/>
  <c r="H19" i="40"/>
  <c r="U19" i="40" s="1"/>
  <c r="F19" i="40"/>
  <c r="S19" i="40" s="1"/>
  <c r="AC13" i="40"/>
  <c r="W23" i="39"/>
  <c r="H25" i="39"/>
  <c r="AB25" i="39" s="1"/>
  <c r="J25" i="39"/>
  <c r="F25" i="39"/>
  <c r="AA25" i="39" s="1"/>
  <c r="F15" i="39"/>
  <c r="AA15" i="39" s="1"/>
  <c r="H15" i="39"/>
  <c r="U15" i="39" s="1"/>
  <c r="J15" i="39"/>
  <c r="W15" i="39" s="1"/>
  <c r="H41" i="39"/>
  <c r="W27" i="39"/>
  <c r="AB34" i="39"/>
  <c r="S42" i="39"/>
  <c r="W9" i="39"/>
  <c r="J19" i="40"/>
  <c r="AC19" i="40" s="1"/>
  <c r="J50" i="40"/>
  <c r="B54" i="72"/>
  <c r="H103" i="9"/>
  <c r="D8" i="53" s="1"/>
  <c r="B16" i="53"/>
  <c r="B33" i="72" s="1"/>
  <c r="C7" i="37"/>
  <c r="C7" i="36"/>
  <c r="A4" i="52"/>
  <c r="B41" i="72" s="1"/>
  <c r="J11" i="39"/>
  <c r="W11" i="39" s="1"/>
  <c r="F11" i="39"/>
  <c r="AA11" i="39" s="1"/>
  <c r="A12" i="52"/>
  <c r="B56" i="72" s="1"/>
  <c r="S11" i="39"/>
  <c r="G4" i="4"/>
  <c r="I4" i="4"/>
  <c r="K5" i="4"/>
  <c r="B47" i="48" s="1"/>
  <c r="A2" i="9"/>
  <c r="N2" i="43"/>
  <c r="F59"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AZ147" i="3" s="1"/>
  <c r="BL148" i="3"/>
  <c r="G149" i="3"/>
  <c r="BA151" i="3"/>
  <c r="BL152" i="3"/>
  <c r="G153" i="3"/>
  <c r="BA155" i="3"/>
  <c r="AZ155" i="3" s="1"/>
  <c r="BL156" i="3"/>
  <c r="G157" i="3"/>
  <c r="BA159" i="3"/>
  <c r="AZ159" i="3" s="1"/>
  <c r="BL160" i="3"/>
  <c r="G161" i="3"/>
  <c r="BA163" i="3"/>
  <c r="AZ163" i="3" s="1"/>
  <c r="BL164" i="3"/>
  <c r="AZ164" i="3" s="1"/>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AZ43" i="3"/>
  <c r="G534" i="3"/>
  <c r="G522" i="3"/>
  <c r="G512" i="3"/>
  <c r="G498" i="3"/>
  <c r="G15" i="3"/>
  <c r="BA304" i="3"/>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62" i="3"/>
  <c r="BA16" i="3"/>
  <c r="AZ16" i="3" s="1"/>
  <c r="BL303" i="3"/>
  <c r="G304" i="3"/>
  <c r="BA306" i="3"/>
  <c r="BL307" i="3"/>
  <c r="G308" i="3"/>
  <c r="BA310" i="3"/>
  <c r="BL311" i="3"/>
  <c r="G312" i="3"/>
  <c r="BA314" i="3"/>
  <c r="AZ314" i="3" s="1"/>
  <c r="BL315" i="3"/>
  <c r="G316" i="3"/>
  <c r="BA318" i="3"/>
  <c r="AZ318" i="3" s="1"/>
  <c r="BL319" i="3"/>
  <c r="G320" i="3"/>
  <c r="BA322" i="3"/>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AZ387" i="3" s="1"/>
  <c r="BL388" i="3"/>
  <c r="G389" i="3"/>
  <c r="BA391" i="3"/>
  <c r="BL392" i="3"/>
  <c r="G393" i="3"/>
  <c r="BO5" i="3"/>
  <c r="BJ5" i="3"/>
  <c r="BF5" i="3"/>
  <c r="AZ325" i="3"/>
  <c r="G548" i="3"/>
  <c r="G520" i="3"/>
  <c r="BS5" i="3"/>
  <c r="BN5" i="3"/>
  <c r="BI5" i="3"/>
  <c r="BE5" i="3"/>
  <c r="G17" i="3"/>
  <c r="BA15" i="3"/>
  <c r="BR5" i="3"/>
  <c r="N4" i="43"/>
  <c r="F36" i="43"/>
  <c r="H113" i="43"/>
  <c r="F48" i="43"/>
  <c r="H52" i="43" s="1"/>
  <c r="N7" i="43"/>
  <c r="F81" i="43" s="1"/>
  <c r="F70" i="43"/>
  <c r="H73" i="43" s="1"/>
  <c r="M6" i="43"/>
  <c r="M11" i="43"/>
  <c r="E17" i="43"/>
  <c r="I17" i="43"/>
  <c r="J17" i="43"/>
  <c r="F6" i="1"/>
  <c r="I20" i="43" s="1"/>
  <c r="S14" i="35"/>
  <c r="U43" i="21"/>
  <c r="U35" i="21"/>
  <c r="U10" i="21"/>
  <c r="G8" i="1"/>
  <c r="G9" i="1"/>
  <c r="G10" i="1"/>
  <c r="F48" i="9"/>
  <c r="O52" i="9" s="1"/>
  <c r="AC11" i="39"/>
  <c r="W37" i="37"/>
  <c r="AC44" i="34"/>
  <c r="J37" i="33"/>
  <c r="W37" i="33" s="1"/>
  <c r="AC17" i="34"/>
  <c r="J34" i="33"/>
  <c r="W34" i="33" s="1"/>
  <c r="F33" i="34"/>
  <c r="S33" i="34" s="1"/>
  <c r="H20" i="36"/>
  <c r="U20" i="36" s="1"/>
  <c r="J20" i="36"/>
  <c r="W20" i="36" s="1"/>
  <c r="J27" i="36"/>
  <c r="W27" i="36" s="1"/>
  <c r="F111" i="40"/>
  <c r="G111" i="40"/>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C40" i="11"/>
  <c r="AZ45" i="3"/>
  <c r="H75" i="43"/>
  <c r="H50" i="43"/>
  <c r="H48"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W12" i="36" l="1"/>
  <c r="AC12" i="36"/>
  <c r="AZ369" i="3"/>
  <c r="AZ361" i="3"/>
  <c r="AZ390" i="3"/>
  <c r="AZ351" i="3"/>
  <c r="AZ309" i="3"/>
  <c r="W16" i="35"/>
  <c r="AC46" i="21"/>
  <c r="W44" i="21"/>
  <c r="S35" i="39"/>
  <c r="AB11" i="21"/>
  <c r="S45" i="33"/>
  <c r="S11" i="36"/>
  <c r="AB26" i="33"/>
  <c r="S41" i="33"/>
  <c r="F24" i="36"/>
  <c r="AA24" i="36" s="1"/>
  <c r="AB8" i="39"/>
  <c r="S34" i="21"/>
  <c r="W31" i="40"/>
  <c r="W39" i="33"/>
  <c r="W9" i="34"/>
  <c r="J33" i="36"/>
  <c r="W33" i="36" s="1"/>
  <c r="S30" i="36"/>
  <c r="H9" i="33"/>
  <c r="AB9" i="33" s="1"/>
  <c r="F9" i="36"/>
  <c r="AA9" i="36" s="1"/>
  <c r="F26" i="37"/>
  <c r="AA26" i="37" s="1"/>
  <c r="BL398" i="3"/>
  <c r="BA402" i="3"/>
  <c r="BL404" i="3"/>
  <c r="G407" i="3"/>
  <c r="BA408" i="3"/>
  <c r="G413" i="3"/>
  <c r="BL414" i="3"/>
  <c r="BA418" i="3"/>
  <c r="BL420" i="3"/>
  <c r="G423" i="3"/>
  <c r="BL424" i="3"/>
  <c r="BL426" i="3"/>
  <c r="G427" i="3"/>
  <c r="BA428" i="3"/>
  <c r="BL428" i="3"/>
  <c r="G429" i="3"/>
  <c r="BL430" i="3"/>
  <c r="BA434" i="3"/>
  <c r="G474" i="3"/>
  <c r="BL475" i="3"/>
  <c r="G478" i="3"/>
  <c r="BL479" i="3"/>
  <c r="G482" i="3"/>
  <c r="BL483" i="3"/>
  <c r="BA487" i="3"/>
  <c r="BA491" i="3"/>
  <c r="G492" i="3"/>
  <c r="BA323" i="3"/>
  <c r="AZ323" i="3" s="1"/>
  <c r="BL333" i="3"/>
  <c r="BA353" i="3"/>
  <c r="G358" i="3"/>
  <c r="BL359" i="3"/>
  <c r="AZ359" i="3" s="1"/>
  <c r="BL363" i="3"/>
  <c r="AZ363" i="3" s="1"/>
  <c r="BL365" i="3"/>
  <c r="AZ365" i="3" s="1"/>
  <c r="BA367" i="3"/>
  <c r="BL367" i="3"/>
  <c r="G374" i="3"/>
  <c r="BL375" i="3"/>
  <c r="AZ375" i="3" s="1"/>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A214" i="3"/>
  <c r="G215" i="3"/>
  <c r="BL216" i="3"/>
  <c r="G219" i="3"/>
  <c r="BA220" i="3"/>
  <c r="G221" i="3"/>
  <c r="BL222" i="3"/>
  <c r="G223" i="3"/>
  <c r="BA224" i="3"/>
  <c r="BL224" i="3"/>
  <c r="BA225" i="3"/>
  <c r="AZ225" i="3" s="1"/>
  <c r="BA227" i="3"/>
  <c r="BL227" i="3"/>
  <c r="BA228" i="3"/>
  <c r="AZ228" i="3" s="1"/>
  <c r="BA229" i="3"/>
  <c r="AZ229" i="3" s="1"/>
  <c r="BL231" i="3"/>
  <c r="G232" i="3"/>
  <c r="BL233" i="3"/>
  <c r="G234" i="3"/>
  <c r="BA235" i="3"/>
  <c r="G236" i="3"/>
  <c r="BL237" i="3"/>
  <c r="G238" i="3"/>
  <c r="BL239" i="3"/>
  <c r="BL241" i="3"/>
  <c r="G244" i="3"/>
  <c r="BL245" i="3"/>
  <c r="BA251" i="3"/>
  <c r="BL255" i="3"/>
  <c r="BA259" i="3"/>
  <c r="BA263" i="3"/>
  <c r="BL267" i="3"/>
  <c r="BL269" i="3"/>
  <c r="G272" i="3"/>
  <c r="BL273" i="3"/>
  <c r="G276" i="3"/>
  <c r="BA277" i="3"/>
  <c r="G282" i="3"/>
  <c r="BL283" i="3"/>
  <c r="BA287" i="3"/>
  <c r="BL289" i="3"/>
  <c r="G292" i="3"/>
  <c r="BA293" i="3"/>
  <c r="BA297" i="3"/>
  <c r="BL297" i="3"/>
  <c r="BL298" i="3"/>
  <c r="BA300" i="3"/>
  <c r="G301" i="3"/>
  <c r="BL302" i="3"/>
  <c r="BL114" i="3"/>
  <c r="G115" i="3"/>
  <c r="BA116" i="3"/>
  <c r="AZ116" i="3" s="1"/>
  <c r="BL118" i="3"/>
  <c r="BA120" i="3"/>
  <c r="AZ120" i="3" s="1"/>
  <c r="BA122" i="3"/>
  <c r="G123" i="3"/>
  <c r="BL134" i="3"/>
  <c r="BA136" i="3"/>
  <c r="AZ136" i="3" s="1"/>
  <c r="BL138" i="3"/>
  <c r="BA140" i="3"/>
  <c r="AZ140" i="3" s="1"/>
  <c r="BL142" i="3"/>
  <c r="BA144" i="3"/>
  <c r="AZ144" i="3" s="1"/>
  <c r="BL146" i="3"/>
  <c r="G174" i="3"/>
  <c r="BA177" i="3"/>
  <c r="BL179" i="3"/>
  <c r="AZ179" i="3" s="1"/>
  <c r="G182" i="3"/>
  <c r="BA185" i="3"/>
  <c r="G186" i="3"/>
  <c r="BL187" i="3"/>
  <c r="AZ187" i="3" s="1"/>
  <c r="BA189" i="3"/>
  <c r="BL189" i="3"/>
  <c r="BL191" i="3"/>
  <c r="AZ191" i="3" s="1"/>
  <c r="G192" i="3"/>
  <c r="BA194" i="3"/>
  <c r="AZ194" i="3" s="1"/>
  <c r="BL194" i="3"/>
  <c r="BA196" i="3"/>
  <c r="AZ196" i="3" s="1"/>
  <c r="BA198" i="3"/>
  <c r="G199" i="3"/>
  <c r="BA202" i="3"/>
  <c r="G203" i="3"/>
  <c r="G205" i="3"/>
  <c r="BL206" i="3"/>
  <c r="G207" i="3"/>
  <c r="BL18" i="3"/>
  <c r="G21" i="3"/>
  <c r="BA24" i="3"/>
  <c r="G27" i="3"/>
  <c r="BL28" i="3"/>
  <c r="BA30" i="3"/>
  <c r="G31" i="3"/>
  <c r="BA32" i="3"/>
  <c r="G33" i="3"/>
  <c r="G39" i="3"/>
  <c r="BL48" i="3"/>
  <c r="G51" i="3"/>
  <c r="G55" i="3"/>
  <c r="G77" i="3"/>
  <c r="BL78" i="3"/>
  <c r="BA80" i="3"/>
  <c r="BL82" i="3"/>
  <c r="BA84" i="3"/>
  <c r="BA86" i="3"/>
  <c r="BA88" i="3"/>
  <c r="BL90" i="3"/>
  <c r="G101" i="3"/>
  <c r="G103" i="3"/>
  <c r="BA104" i="3"/>
  <c r="AZ358" i="3"/>
  <c r="BA583" i="3"/>
  <c r="BA582" i="3"/>
  <c r="BL578" i="3"/>
  <c r="G557" i="3"/>
  <c r="BL555" i="3"/>
  <c r="BA548" i="3"/>
  <c r="BA547" i="3"/>
  <c r="BL546" i="3"/>
  <c r="BL540" i="3"/>
  <c r="BA536" i="3"/>
  <c r="BA535" i="3"/>
  <c r="BA524" i="3"/>
  <c r="BL522" i="3"/>
  <c r="BL518" i="3"/>
  <c r="BA517" i="3"/>
  <c r="BA510" i="3"/>
  <c r="BA509" i="3"/>
  <c r="BL501" i="3"/>
  <c r="BL499" i="3"/>
  <c r="BA499" i="3"/>
  <c r="BA498" i="3"/>
  <c r="BL497" i="3"/>
  <c r="BL495" i="3"/>
  <c r="BP5" i="3"/>
  <c r="BK5" i="3"/>
  <c r="BG5" i="3"/>
  <c r="BC5" i="3"/>
  <c r="BT5" i="3"/>
  <c r="BM5" i="3"/>
  <c r="BH5" i="3"/>
  <c r="BD5" i="3"/>
  <c r="BB5" i="3"/>
  <c r="E8" i="6" s="1"/>
  <c r="F27" i="6" s="1"/>
  <c r="BL328" i="3"/>
  <c r="BL330" i="3"/>
  <c r="G331" i="3"/>
  <c r="BA333" i="3"/>
  <c r="AZ333" i="3" s="1"/>
  <c r="G339" i="3"/>
  <c r="BL340" i="3"/>
  <c r="AZ340" i="3" s="1"/>
  <c r="G343" i="3"/>
  <c r="G345" i="3"/>
  <c r="BL348" i="3"/>
  <c r="BL350" i="3"/>
  <c r="G351" i="3"/>
  <c r="BA354" i="3"/>
  <c r="AZ354" i="3" s="1"/>
  <c r="BA370" i="3"/>
  <c r="BA374" i="3"/>
  <c r="AZ374" i="3" s="1"/>
  <c r="G214" i="3"/>
  <c r="G216" i="3"/>
  <c r="BA217" i="3"/>
  <c r="G218" i="3"/>
  <c r="BL219" i="3"/>
  <c r="G235" i="3"/>
  <c r="G239" i="3"/>
  <c r="BL240" i="3"/>
  <c r="BA242" i="3"/>
  <c r="G243" i="3"/>
  <c r="BL244" i="3"/>
  <c r="BA246" i="3"/>
  <c r="G247" i="3"/>
  <c r="BL248" i="3"/>
  <c r="G249" i="3"/>
  <c r="BA250" i="3"/>
  <c r="BL250" i="3"/>
  <c r="BL252" i="3"/>
  <c r="G253" i="3"/>
  <c r="BA254" i="3"/>
  <c r="BL254" i="3"/>
  <c r="BA255" i="3"/>
  <c r="AZ255" i="3" s="1"/>
  <c r="BA256"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BL282" i="3"/>
  <c r="BA284" i="3"/>
  <c r="G285" i="3"/>
  <c r="BA286" i="3"/>
  <c r="BL286" i="3"/>
  <c r="BA288" i="3"/>
  <c r="BL288" i="3"/>
  <c r="BA289" i="3"/>
  <c r="AZ289" i="3" s="1"/>
  <c r="BA291" i="3"/>
  <c r="AZ291" i="3" s="1"/>
  <c r="BL291" i="3"/>
  <c r="BA292" i="3"/>
  <c r="AZ292" i="3" s="1"/>
  <c r="BL294" i="3"/>
  <c r="G295" i="3"/>
  <c r="BL296" i="3"/>
  <c r="BL299" i="3"/>
  <c r="G118" i="3"/>
  <c r="G120" i="3"/>
  <c r="BL121" i="3"/>
  <c r="AZ391" i="3"/>
  <c r="AZ380" i="3"/>
  <c r="AZ370" i="3"/>
  <c r="AZ352" i="3"/>
  <c r="AZ330" i="3"/>
  <c r="AZ322" i="3"/>
  <c r="AZ311" i="3"/>
  <c r="AZ389" i="3"/>
  <c r="AZ372" i="3"/>
  <c r="AZ364" i="3"/>
  <c r="AZ342" i="3"/>
  <c r="AZ328" i="3"/>
  <c r="AZ320" i="3"/>
  <c r="AZ313" i="3"/>
  <c r="AZ305" i="3"/>
  <c r="AZ394" i="3"/>
  <c r="AZ376" i="3"/>
  <c r="AZ360" i="3"/>
  <c r="AZ343" i="3"/>
  <c r="U12" i="37"/>
  <c r="F9" i="34"/>
  <c r="AA9" i="34" s="1"/>
  <c r="J26" i="37"/>
  <c r="AC26" i="37" s="1"/>
  <c r="G578" i="3"/>
  <c r="G577" i="3"/>
  <c r="BL576" i="3"/>
  <c r="BA575" i="3"/>
  <c r="G570" i="3"/>
  <c r="G569" i="3"/>
  <c r="G568" i="3"/>
  <c r="BL567" i="3"/>
  <c r="G567" i="3"/>
  <c r="G566" i="3"/>
  <c r="G565" i="3"/>
  <c r="G564" i="3"/>
  <c r="BA563" i="3"/>
  <c r="G563" i="3"/>
  <c r="BL562" i="3"/>
  <c r="BA399" i="3"/>
  <c r="G400" i="3"/>
  <c r="BA401" i="3"/>
  <c r="BL401" i="3"/>
  <c r="BA403" i="3"/>
  <c r="BL403" i="3"/>
  <c r="BA404" i="3"/>
  <c r="AZ404" i="3" s="1"/>
  <c r="BA406" i="3"/>
  <c r="BL406" i="3"/>
  <c r="BA407" i="3"/>
  <c r="AZ407" i="3" s="1"/>
  <c r="BL409" i="3"/>
  <c r="G410" i="3"/>
  <c r="BL411" i="3"/>
  <c r="G412" i="3"/>
  <c r="BA413" i="3"/>
  <c r="BL413" i="3"/>
  <c r="AZ413" i="3" s="1"/>
  <c r="BA415" i="3"/>
  <c r="G416" i="3"/>
  <c r="BA417" i="3"/>
  <c r="BL417" i="3"/>
  <c r="BA419" i="3"/>
  <c r="BL419" i="3"/>
  <c r="BA420" i="3"/>
  <c r="AZ420" i="3" s="1"/>
  <c r="BA422" i="3"/>
  <c r="BL422" i="3"/>
  <c r="BA423" i="3"/>
  <c r="AZ423" i="3" s="1"/>
  <c r="BA424" i="3"/>
  <c r="AZ424" i="3" s="1"/>
  <c r="BA425" i="3"/>
  <c r="BL427" i="3"/>
  <c r="BL429" i="3"/>
  <c r="BA431" i="3"/>
  <c r="G432" i="3"/>
  <c r="BA433" i="3"/>
  <c r="BL433" i="3"/>
  <c r="BA435" i="3"/>
  <c r="BL435" i="3"/>
  <c r="BA436" i="3"/>
  <c r="BL436" i="3"/>
  <c r="AZ436" i="3" s="1"/>
  <c r="G439" i="3"/>
  <c r="BL440" i="3"/>
  <c r="G443"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AZ308" i="3" s="1"/>
  <c r="G311" i="3"/>
  <c r="BL317" i="3"/>
  <c r="BA319" i="3"/>
  <c r="AZ319" i="3" s="1"/>
  <c r="BA125"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A150" i="3"/>
  <c r="G151" i="3"/>
  <c r="G155" i="3"/>
  <c r="G166" i="3"/>
  <c r="BA169" i="3"/>
  <c r="G170" i="3"/>
  <c r="BL171" i="3"/>
  <c r="AZ171" i="3" s="1"/>
  <c r="BA173" i="3"/>
  <c r="BL173" i="3"/>
  <c r="BL175" i="3"/>
  <c r="AZ175" i="3" s="1"/>
  <c r="G176" i="3"/>
  <c r="BA178" i="3"/>
  <c r="BL178" i="3"/>
  <c r="BA180" i="3"/>
  <c r="AZ180" i="3" s="1"/>
  <c r="BA182" i="3"/>
  <c r="G183" i="3"/>
  <c r="G187" i="3"/>
  <c r="G198" i="3"/>
  <c r="G202" i="3"/>
  <c r="G18" i="3"/>
  <c r="BA19" i="3"/>
  <c r="G20" i="3"/>
  <c r="BA21" i="3"/>
  <c r="G22" i="3"/>
  <c r="BA23" i="3"/>
  <c r="BL23" i="3"/>
  <c r="BL25" i="3"/>
  <c r="G26" i="3"/>
  <c r="BL27" i="3"/>
  <c r="BL29" i="3"/>
  <c r="G32" i="3"/>
  <c r="G34" i="3"/>
  <c r="BA35" i="3"/>
  <c r="BL35" i="3"/>
  <c r="BL36" i="3"/>
  <c r="G37" i="3"/>
  <c r="BA38" i="3"/>
  <c r="BL38" i="3"/>
  <c r="BL40" i="3"/>
  <c r="G41" i="3"/>
  <c r="BA42" i="3"/>
  <c r="BL47" i="3"/>
  <c r="AZ47" i="3" s="1"/>
  <c r="BA48" i="3"/>
  <c r="AZ48" i="3" s="1"/>
  <c r="BA50" i="3"/>
  <c r="BL50" i="3"/>
  <c r="BL52" i="3"/>
  <c r="G53" i="3"/>
  <c r="BA54" i="3"/>
  <c r="BL54" i="3"/>
  <c r="BL56" i="3"/>
  <c r="G57" i="3"/>
  <c r="BA58" i="3"/>
  <c r="G59" i="3"/>
  <c r="BL60" i="3"/>
  <c r="BA62" i="3"/>
  <c r="G63" i="3"/>
  <c r="BL64" i="3"/>
  <c r="G65" i="3"/>
  <c r="BA66" i="3"/>
  <c r="G67" i="3"/>
  <c r="BL68" i="3"/>
  <c r="BA70" i="3"/>
  <c r="G71" i="3"/>
  <c r="BA72" i="3"/>
  <c r="G73" i="3"/>
  <c r="BL74" i="3"/>
  <c r="G75" i="3"/>
  <c r="BA76" i="3"/>
  <c r="BL76" i="3"/>
  <c r="BA78" i="3"/>
  <c r="AZ78" i="3" s="1"/>
  <c r="BA79" i="3"/>
  <c r="AZ79" i="3" s="1"/>
  <c r="BA81" i="3"/>
  <c r="AZ81" i="3" s="1"/>
  <c r="BA82" i="3"/>
  <c r="AZ82" i="3" s="1"/>
  <c r="BA83" i="3"/>
  <c r="AZ83" i="3" s="1"/>
  <c r="BA85" i="3"/>
  <c r="BL85" i="3"/>
  <c r="BA87" i="3"/>
  <c r="AZ87" i="3" s="1"/>
  <c r="BA89" i="3"/>
  <c r="BL89" i="3"/>
  <c r="BA90" i="3"/>
  <c r="AZ90" i="3" s="1"/>
  <c r="BL92" i="3"/>
  <c r="G93" i="3"/>
  <c r="BL94" i="3"/>
  <c r="G95" i="3"/>
  <c r="BL96" i="3"/>
  <c r="BA98" i="3"/>
  <c r="G99" i="3"/>
  <c r="BA100" i="3"/>
  <c r="BL100" i="3"/>
  <c r="BA102" i="3"/>
  <c r="BL102" i="3"/>
  <c r="BA103" i="3"/>
  <c r="AZ103" i="3" s="1"/>
  <c r="BA105" i="3"/>
  <c r="BL105" i="3"/>
  <c r="BL106" i="3"/>
  <c r="G107" i="3"/>
  <c r="I15" i="66"/>
  <c r="W31" i="33"/>
  <c r="AC31" i="33"/>
  <c r="W45" i="33"/>
  <c r="AC45" i="33"/>
  <c r="W12" i="34"/>
  <c r="AC12" i="34"/>
  <c r="U11" i="35"/>
  <c r="AB11" i="35"/>
  <c r="AC40" i="37"/>
  <c r="W40" i="37"/>
  <c r="AC43" i="39"/>
  <c r="W43" i="39"/>
  <c r="U45" i="39"/>
  <c r="AB45" i="39"/>
  <c r="AC12" i="40"/>
  <c r="W12" i="40"/>
  <c r="U23" i="35"/>
  <c r="AB23" i="35"/>
  <c r="AC14" i="39"/>
  <c r="W14" i="39"/>
  <c r="AB44" i="39"/>
  <c r="U44" i="39"/>
  <c r="W37" i="39"/>
  <c r="AC37" i="39"/>
  <c r="U33" i="40"/>
  <c r="AB33" i="40"/>
  <c r="AC35" i="39"/>
  <c r="W35" i="39"/>
  <c r="AZ499" i="3"/>
  <c r="AZ517" i="3"/>
  <c r="AZ575" i="3"/>
  <c r="BL587" i="3"/>
  <c r="BL568" i="3"/>
  <c r="BA558" i="3"/>
  <c r="BA540" i="3"/>
  <c r="AZ540" i="3" s="1"/>
  <c r="BA532" i="3"/>
  <c r="BL530" i="3"/>
  <c r="BA526" i="3"/>
  <c r="BL521" i="3"/>
  <c r="BA521" i="3"/>
  <c r="BA520" i="3"/>
  <c r="BL512" i="3"/>
  <c r="BA512" i="3"/>
  <c r="BL510" i="3"/>
  <c r="BA508" i="3"/>
  <c r="AZ508" i="3" s="1"/>
  <c r="BA496" i="3"/>
  <c r="M20" i="15"/>
  <c r="M20" i="78"/>
  <c r="F34" i="78"/>
  <c r="F62" i="78" s="1"/>
  <c r="BA398" i="3"/>
  <c r="AZ398" i="3" s="1"/>
  <c r="BL400" i="3"/>
  <c r="G401" i="3"/>
  <c r="G403" i="3"/>
  <c r="G406" i="3"/>
  <c r="G409" i="3"/>
  <c r="BL410" i="3"/>
  <c r="G411" i="3"/>
  <c r="BA412" i="3"/>
  <c r="BL412" i="3"/>
  <c r="BA414" i="3"/>
  <c r="AZ414" i="3" s="1"/>
  <c r="BL416" i="3"/>
  <c r="G417" i="3"/>
  <c r="G419" i="3"/>
  <c r="G422" i="3"/>
  <c r="G426" i="3"/>
  <c r="G428" i="3"/>
  <c r="BA438" i="3"/>
  <c r="BL438" i="3"/>
  <c r="BA439" i="3"/>
  <c r="AZ439" i="3" s="1"/>
  <c r="BA440" i="3"/>
  <c r="BA442" i="3"/>
  <c r="BL442" i="3"/>
  <c r="BL444" i="3"/>
  <c r="G445" i="3"/>
  <c r="G447" i="3"/>
  <c r="BL448" i="3"/>
  <c r="G449" i="3"/>
  <c r="G451" i="3"/>
  <c r="G454" i="3"/>
  <c r="G458" i="3"/>
  <c r="G460" i="3"/>
  <c r="BA461" i="3"/>
  <c r="BL461" i="3"/>
  <c r="G462" i="3"/>
  <c r="G466" i="3"/>
  <c r="BL467" i="3"/>
  <c r="G468" i="3"/>
  <c r="G470" i="3"/>
  <c r="BA567" i="3"/>
  <c r="BA559" i="3"/>
  <c r="BL557" i="3"/>
  <c r="BA557" i="3"/>
  <c r="BA539" i="3"/>
  <c r="BA531" i="3"/>
  <c r="BA523" i="3"/>
  <c r="BL519" i="3"/>
  <c r="BA513" i="3"/>
  <c r="BL511" i="3"/>
  <c r="BL509" i="3"/>
  <c r="AZ509" i="3" s="1"/>
  <c r="BL505" i="3"/>
  <c r="BA503" i="3"/>
  <c r="BA502" i="3"/>
  <c r="AZ502" i="3" s="1"/>
  <c r="BA495" i="3"/>
  <c r="BL494" i="3"/>
  <c r="H49" i="43"/>
  <c r="H74" i="43"/>
  <c r="S11" i="40"/>
  <c r="W24" i="36"/>
  <c r="AA12" i="40"/>
  <c r="S15" i="37"/>
  <c r="AC35" i="21"/>
  <c r="U17" i="39"/>
  <c r="BL493" i="3"/>
  <c r="AC5" i="3"/>
  <c r="AZ377" i="3"/>
  <c r="AZ357" i="3"/>
  <c r="AZ306" i="3"/>
  <c r="AZ382" i="3"/>
  <c r="AZ355" i="3"/>
  <c r="AZ347" i="3"/>
  <c r="AZ344" i="3"/>
  <c r="AZ337" i="3"/>
  <c r="W35" i="40"/>
  <c r="W8" i="39"/>
  <c r="AA41" i="39"/>
  <c r="H37" i="39"/>
  <c r="AB37" i="39" s="1"/>
  <c r="S14" i="40"/>
  <c r="F12" i="39"/>
  <c r="S12" i="39" s="1"/>
  <c r="AB28" i="37"/>
  <c r="AC33" i="36"/>
  <c r="H24" i="35"/>
  <c r="AB24" i="35" s="1"/>
  <c r="AA12" i="21"/>
  <c r="BL503" i="3"/>
  <c r="BL523" i="3"/>
  <c r="BL527" i="3"/>
  <c r="AZ527" i="3" s="1"/>
  <c r="BL531" i="3"/>
  <c r="BL535" i="3"/>
  <c r="AZ535" i="3" s="1"/>
  <c r="BL539" i="3"/>
  <c r="BL543" i="3"/>
  <c r="AZ543" i="3" s="1"/>
  <c r="BL547" i="3"/>
  <c r="AZ547" i="3" s="1"/>
  <c r="BL551" i="3"/>
  <c r="BL559" i="3"/>
  <c r="BL569" i="3"/>
  <c r="AC28" i="21"/>
  <c r="AB31" i="33"/>
  <c r="AC30" i="34"/>
  <c r="W11" i="36"/>
  <c r="H12" i="40"/>
  <c r="H14" i="39"/>
  <c r="AB14" i="39" s="1"/>
  <c r="F43" i="39"/>
  <c r="AA43" i="39" s="1"/>
  <c r="J13" i="37"/>
  <c r="W13" i="37" s="1"/>
  <c r="H13" i="36"/>
  <c r="AB13" i="36" s="1"/>
  <c r="F11" i="35"/>
  <c r="S11" i="35" s="1"/>
  <c r="J32" i="34"/>
  <c r="W32" i="34" s="1"/>
  <c r="H14" i="34"/>
  <c r="F31" i="33"/>
  <c r="F13" i="33"/>
  <c r="J28" i="33"/>
  <c r="W28" i="33" s="1"/>
  <c r="AB23" i="34"/>
  <c r="U30" i="35"/>
  <c r="S26" i="33"/>
  <c r="S9" i="34"/>
  <c r="AB8" i="36"/>
  <c r="S44" i="39"/>
  <c r="AB12" i="35"/>
  <c r="S40" i="39"/>
  <c r="C21" i="39"/>
  <c r="S34" i="40"/>
  <c r="S27" i="35"/>
  <c r="S34" i="34"/>
  <c r="W34" i="35"/>
  <c r="W28" i="35"/>
  <c r="W31" i="37"/>
  <c r="J44" i="39"/>
  <c r="F45" i="39"/>
  <c r="S45" i="39" s="1"/>
  <c r="F9" i="33"/>
  <c r="F12" i="34"/>
  <c r="F12" i="35"/>
  <c r="J36" i="35"/>
  <c r="G584" i="3"/>
  <c r="G583" i="3"/>
  <c r="G582" i="3"/>
  <c r="G579" i="3"/>
  <c r="G576" i="3"/>
  <c r="G575" i="3"/>
  <c r="G571" i="3"/>
  <c r="G556" i="3"/>
  <c r="G552" i="3"/>
  <c r="G551" i="3"/>
  <c r="G550" i="3"/>
  <c r="G544" i="3"/>
  <c r="BA429" i="3"/>
  <c r="AZ429" i="3" s="1"/>
  <c r="BA430" i="3"/>
  <c r="AZ430" i="3" s="1"/>
  <c r="BL432" i="3"/>
  <c r="G433" i="3"/>
  <c r="G435" i="3"/>
  <c r="G297" i="3"/>
  <c r="BL470" i="3"/>
  <c r="G471" i="3"/>
  <c r="BL472" i="3"/>
  <c r="G473" i="3"/>
  <c r="G477" i="3"/>
  <c r="G481" i="3"/>
  <c r="G484" i="3"/>
  <c r="BL485" i="3"/>
  <c r="G486" i="3"/>
  <c r="G488" i="3"/>
  <c r="BL489" i="3"/>
  <c r="G490" i="3"/>
  <c r="BA303" i="3"/>
  <c r="AZ303" i="3" s="1"/>
  <c r="BA307" i="3"/>
  <c r="AZ307" i="3" s="1"/>
  <c r="G315" i="3"/>
  <c r="BA317" i="3"/>
  <c r="AZ317" i="3" s="1"/>
  <c r="G323" i="3"/>
  <c r="BL324" i="3"/>
  <c r="AZ324" i="3" s="1"/>
  <c r="G327" i="3"/>
  <c r="BA335" i="3"/>
  <c r="AZ335" i="3" s="1"/>
  <c r="BA339" i="3"/>
  <c r="AZ339" i="3" s="1"/>
  <c r="G347" i="3"/>
  <c r="BA348" i="3"/>
  <c r="AZ348" i="3" s="1"/>
  <c r="BA349" i="3"/>
  <c r="AZ349" i="3" s="1"/>
  <c r="G364" i="3"/>
  <c r="BA366" i="3"/>
  <c r="AZ366" i="3" s="1"/>
  <c r="BL368" i="3"/>
  <c r="G369" i="3"/>
  <c r="G384" i="3"/>
  <c r="BL385" i="3"/>
  <c r="G396" i="3"/>
  <c r="G209" i="3"/>
  <c r="G212" i="3"/>
  <c r="BA213" i="3"/>
  <c r="BL213" i="3"/>
  <c r="BA215" i="3"/>
  <c r="BL215" i="3"/>
  <c r="BA216" i="3"/>
  <c r="AZ216" i="3" s="1"/>
  <c r="BA218" i="3"/>
  <c r="AZ218" i="3" s="1"/>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8" i="3"/>
  <c r="AZ298" i="3" s="1"/>
  <c r="BA299" i="3"/>
  <c r="AZ299" i="3" s="1"/>
  <c r="BL301" i="3"/>
  <c r="G302" i="3"/>
  <c r="BL113" i="3"/>
  <c r="G114" i="3"/>
  <c r="G116" i="3"/>
  <c r="BA117" i="3"/>
  <c r="AZ117" i="3" s="1"/>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AZ170" i="3" s="1"/>
  <c r="BL170" i="3"/>
  <c r="BA172" i="3"/>
  <c r="AZ172" i="3" s="1"/>
  <c r="G175" i="3"/>
  <c r="G178" i="3"/>
  <c r="BA181" i="3"/>
  <c r="BL181" i="3"/>
  <c r="BL183" i="3"/>
  <c r="AZ183" i="3" s="1"/>
  <c r="G184" i="3"/>
  <c r="BA186" i="3"/>
  <c r="BL186" i="3"/>
  <c r="BA188" i="3"/>
  <c r="AZ188" i="3" s="1"/>
  <c r="G191" i="3"/>
  <c r="G194" i="3"/>
  <c r="BA197" i="3"/>
  <c r="BL197" i="3"/>
  <c r="BL199" i="3"/>
  <c r="AZ199" i="3" s="1"/>
  <c r="G200" i="3"/>
  <c r="BA201" i="3"/>
  <c r="AZ201" i="3" s="1"/>
  <c r="BL201" i="3"/>
  <c r="BL203" i="3"/>
  <c r="AZ203" i="3" s="1"/>
  <c r="G204" i="3"/>
  <c r="BL205" i="3"/>
  <c r="G206" i="3"/>
  <c r="BA207" i="3"/>
  <c r="AZ207" i="3" s="1"/>
  <c r="BL207" i="3"/>
  <c r="BA18" i="3"/>
  <c r="AZ18" i="3" s="1"/>
  <c r="BA20" i="3"/>
  <c r="BL20" i="3"/>
  <c r="BL22" i="3"/>
  <c r="G23" i="3"/>
  <c r="G25" i="3"/>
  <c r="BA26" i="3"/>
  <c r="BL26" i="3"/>
  <c r="BA27" i="3"/>
  <c r="AZ27" i="3" s="1"/>
  <c r="BA28" i="3"/>
  <c r="AZ28" i="3" s="1"/>
  <c r="BA29" i="3"/>
  <c r="AZ29" i="3" s="1"/>
  <c r="BA31" i="3"/>
  <c r="BL31" i="3"/>
  <c r="BA33" i="3"/>
  <c r="BL33" i="3"/>
  <c r="BL34" i="3"/>
  <c r="G35" i="3"/>
  <c r="BL37" i="3"/>
  <c r="G38" i="3"/>
  <c r="G40" i="3"/>
  <c r="BA41" i="3"/>
  <c r="BL41" i="3"/>
  <c r="L108" i="43"/>
  <c r="L100" i="43"/>
  <c r="C7" i="34"/>
  <c r="J51" i="78"/>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AA14" i="37"/>
  <c r="B7" i="1"/>
  <c r="E7" i="1" s="1"/>
  <c r="G1" i="78"/>
  <c r="H5" i="3"/>
  <c r="H83" i="43"/>
  <c r="G83" i="43" s="1"/>
  <c r="H82" i="43"/>
  <c r="G82" i="43" s="1"/>
  <c r="H86" i="43"/>
  <c r="G86" i="43" s="1"/>
  <c r="H87" i="43"/>
  <c r="G87" i="43" s="1"/>
  <c r="BA17" i="3"/>
  <c r="G28" i="6"/>
  <c r="G16" i="3"/>
  <c r="F35" i="43"/>
  <c r="F39" i="43"/>
  <c r="A118" i="9"/>
  <c r="AZ557" i="3"/>
  <c r="AZ521" i="3"/>
  <c r="AZ512" i="3"/>
  <c r="AZ362" i="3"/>
  <c r="AZ495" i="3"/>
  <c r="AZ503" i="3"/>
  <c r="AZ520" i="3"/>
  <c r="AZ523" i="3"/>
  <c r="AZ531" i="3"/>
  <c r="AZ539" i="3"/>
  <c r="AZ559" i="3"/>
  <c r="AZ567" i="3"/>
  <c r="AZ587" i="3"/>
  <c r="AZ510" i="3"/>
  <c r="U11" i="36"/>
  <c r="AB11" i="36"/>
  <c r="S29" i="35"/>
  <c r="AA29" i="35"/>
  <c r="AB33" i="35"/>
  <c r="U33" i="35"/>
  <c r="AB23" i="40"/>
  <c r="U23" i="40"/>
  <c r="W45" i="39"/>
  <c r="AC45" i="39"/>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W16" i="36"/>
  <c r="AC16" i="36"/>
  <c r="J25" i="36"/>
  <c r="W25" i="36" s="1"/>
  <c r="H25" i="36"/>
  <c r="AB25" i="36" s="1"/>
  <c r="F32" i="36"/>
  <c r="J32" i="36"/>
  <c r="S31" i="36"/>
  <c r="AA31" i="36"/>
  <c r="H27" i="37"/>
  <c r="F27" i="37"/>
  <c r="AA27" i="37" s="1"/>
  <c r="J27" i="37"/>
  <c r="AC27" i="37" s="1"/>
  <c r="J39" i="37"/>
  <c r="AC39" i="37" s="1"/>
  <c r="F39" i="37"/>
  <c r="H39" i="37"/>
  <c r="AB40" i="40"/>
  <c r="U40" i="40"/>
  <c r="J33" i="40"/>
  <c r="F33" i="40"/>
  <c r="AA33" i="40" s="1"/>
  <c r="F38" i="40"/>
  <c r="H38" i="40"/>
  <c r="J40" i="40"/>
  <c r="F40" i="40"/>
  <c r="BA569" i="3"/>
  <c r="AZ569" i="3" s="1"/>
  <c r="BA568" i="3"/>
  <c r="AZ568" i="3" s="1"/>
  <c r="BL566" i="3"/>
  <c r="BA566" i="3"/>
  <c r="BA565" i="3"/>
  <c r="BL564" i="3"/>
  <c r="BA564" i="3"/>
  <c r="BL563" i="3"/>
  <c r="AZ563" i="3" s="1"/>
  <c r="BA562" i="3"/>
  <c r="AZ562" i="3" s="1"/>
  <c r="BL561" i="3"/>
  <c r="BA561" i="3"/>
  <c r="BA560" i="3"/>
  <c r="AZ560" i="3" s="1"/>
  <c r="BL558" i="3"/>
  <c r="AZ558" i="3" s="1"/>
  <c r="BL556" i="3"/>
  <c r="BA556" i="3"/>
  <c r="BA541" i="3"/>
  <c r="BA538" i="3"/>
  <c r="AZ538" i="3" s="1"/>
  <c r="BA537" i="3"/>
  <c r="BL536" i="3"/>
  <c r="AZ536" i="3" s="1"/>
  <c r="BL534" i="3"/>
  <c r="BA534" i="3"/>
  <c r="AZ534" i="3" s="1"/>
  <c r="BA533" i="3"/>
  <c r="BL532" i="3"/>
  <c r="AZ532" i="3" s="1"/>
  <c r="BA530" i="3"/>
  <c r="AZ530" i="3" s="1"/>
  <c r="BA529" i="3"/>
  <c r="BL528" i="3"/>
  <c r="AZ528" i="3" s="1"/>
  <c r="BL526" i="3"/>
  <c r="AZ526" i="3" s="1"/>
  <c r="BA525" i="3"/>
  <c r="BL524" i="3"/>
  <c r="AZ524" i="3" s="1"/>
  <c r="BA522" i="3"/>
  <c r="AZ522" i="3" s="1"/>
  <c r="BA519" i="3"/>
  <c r="AZ519" i="3" s="1"/>
  <c r="BA518" i="3"/>
  <c r="AZ518" i="3" s="1"/>
  <c r="BL516" i="3"/>
  <c r="AZ516" i="3" s="1"/>
  <c r="BA515" i="3"/>
  <c r="AZ515" i="3" s="1"/>
  <c r="BL514" i="3"/>
  <c r="BA514" i="3"/>
  <c r="BA511" i="3"/>
  <c r="AZ511" i="3" s="1"/>
  <c r="BL506" i="3"/>
  <c r="BA506" i="3"/>
  <c r="BA505" i="3"/>
  <c r="AZ505" i="3" s="1"/>
  <c r="BL504" i="3"/>
  <c r="AZ504" i="3" s="1"/>
  <c r="BA501" i="3"/>
  <c r="AZ501" i="3" s="1"/>
  <c r="BA500" i="3"/>
  <c r="AZ500" i="3" s="1"/>
  <c r="BL498" i="3"/>
  <c r="AZ498" i="3" s="1"/>
  <c r="BA497" i="3"/>
  <c r="AZ497" i="3" s="1"/>
  <c r="BL496" i="3"/>
  <c r="AZ496" i="3" s="1"/>
  <c r="BA494" i="3"/>
  <c r="AZ494" i="3" s="1"/>
  <c r="BA493" i="3"/>
  <c r="AZ493" i="3" s="1"/>
  <c r="U36" i="40"/>
  <c r="BQ5" i="3"/>
  <c r="F29" i="6"/>
  <c r="AZ327" i="3"/>
  <c r="AZ310" i="3"/>
  <c r="AZ371" i="3"/>
  <c r="AZ336" i="3"/>
  <c r="AZ329" i="3"/>
  <c r="AZ321" i="3"/>
  <c r="AZ304" i="3"/>
  <c r="U40" i="39"/>
  <c r="AA25" i="21"/>
  <c r="AB38" i="21"/>
  <c r="AB37" i="34"/>
  <c r="W26" i="37"/>
  <c r="U33" i="37"/>
  <c r="W14" i="37"/>
  <c r="U43" i="33"/>
  <c r="AA41" i="34"/>
  <c r="H31" i="40"/>
  <c r="U31" i="40" s="1"/>
  <c r="U32" i="33"/>
  <c r="S21" i="40"/>
  <c r="BL507" i="3"/>
  <c r="AZ507" i="3" s="1"/>
  <c r="BL513" i="3"/>
  <c r="AZ513" i="3" s="1"/>
  <c r="BL525" i="3"/>
  <c r="AZ525" i="3" s="1"/>
  <c r="BL529" i="3"/>
  <c r="BL533" i="3"/>
  <c r="AZ533" i="3" s="1"/>
  <c r="BL537" i="3"/>
  <c r="AZ537" i="3" s="1"/>
  <c r="BL541" i="3"/>
  <c r="AZ541" i="3" s="1"/>
  <c r="AZ553" i="3"/>
  <c r="AC13" i="36"/>
  <c r="AA14" i="33"/>
  <c r="H13" i="37"/>
  <c r="S13" i="35"/>
  <c r="AA13" i="35"/>
  <c r="AB46" i="33"/>
  <c r="U46" i="33"/>
  <c r="F13" i="36"/>
  <c r="S13" i="36" s="1"/>
  <c r="H32" i="36"/>
  <c r="AB32" i="36" s="1"/>
  <c r="U46" i="34"/>
  <c r="AB46" i="34"/>
  <c r="S14" i="34"/>
  <c r="AA14" i="34"/>
  <c r="U45" i="33"/>
  <c r="AB45" i="33"/>
  <c r="AB13" i="33"/>
  <c r="U13" i="33"/>
  <c r="H29" i="21"/>
  <c r="U29" i="21" s="1"/>
  <c r="AA44" i="34"/>
  <c r="S44" i="34"/>
  <c r="AA42" i="34"/>
  <c r="S8" i="33"/>
  <c r="W40" i="33"/>
  <c r="S38" i="33"/>
  <c r="U42" i="34"/>
  <c r="U34" i="21"/>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H25" i="37"/>
  <c r="J25" i="37"/>
  <c r="F31" i="39"/>
  <c r="J31" i="39"/>
  <c r="AA34" i="39"/>
  <c r="S34" i="39"/>
  <c r="W9" i="40"/>
  <c r="AC9" i="40"/>
  <c r="AB34" i="40"/>
  <c r="U34" i="40"/>
  <c r="H13" i="40"/>
  <c r="U13" i="40" s="1"/>
  <c r="F13" i="40"/>
  <c r="AA13" i="40" s="1"/>
  <c r="AB36" i="39"/>
  <c r="U36" i="39"/>
  <c r="BA584" i="3"/>
  <c r="AZ584" i="3" s="1"/>
  <c r="BL582" i="3"/>
  <c r="AZ582" i="3" s="1"/>
  <c r="BL581" i="3"/>
  <c r="BA581" i="3"/>
  <c r="BL580" i="3"/>
  <c r="BA580" i="3"/>
  <c r="BL579" i="3"/>
  <c r="AZ579" i="3" s="1"/>
  <c r="BA578" i="3"/>
  <c r="AZ578" i="3" s="1"/>
  <c r="BA577" i="3"/>
  <c r="AZ577" i="3" s="1"/>
  <c r="BA576" i="3"/>
  <c r="AZ576" i="3" s="1"/>
  <c r="BL574" i="3"/>
  <c r="BA574" i="3"/>
  <c r="BA573" i="3"/>
  <c r="BL572" i="3"/>
  <c r="BA572" i="3"/>
  <c r="AZ572" i="3" s="1"/>
  <c r="BL571" i="3"/>
  <c r="AZ571" i="3" s="1"/>
  <c r="BA570" i="3"/>
  <c r="AZ570" i="3" s="1"/>
  <c r="BA555" i="3"/>
  <c r="AZ555" i="3" s="1"/>
  <c r="BL554" i="3"/>
  <c r="AZ554" i="3" s="1"/>
  <c r="BA552" i="3"/>
  <c r="AZ552" i="3" s="1"/>
  <c r="BA551" i="3"/>
  <c r="BL550" i="3"/>
  <c r="BA550" i="3"/>
  <c r="BA549" i="3"/>
  <c r="AZ549" i="3" s="1"/>
  <c r="BL548" i="3"/>
  <c r="AZ548" i="3" s="1"/>
  <c r="BA546" i="3"/>
  <c r="AZ546" i="3" s="1"/>
  <c r="BA545" i="3"/>
  <c r="AZ545" i="3" s="1"/>
  <c r="BL544" i="3"/>
  <c r="AZ544" i="3" s="1"/>
  <c r="BL542" i="3"/>
  <c r="BA542" i="3"/>
  <c r="BL15" i="3"/>
  <c r="AZ15" i="3" s="1"/>
  <c r="AZ403" i="3"/>
  <c r="AZ406" i="3"/>
  <c r="AZ419" i="3"/>
  <c r="AZ422" i="3"/>
  <c r="AZ435" i="3"/>
  <c r="AZ438" i="3"/>
  <c r="AZ442" i="3"/>
  <c r="AZ451" i="3"/>
  <c r="AZ454" i="3"/>
  <c r="AZ458" i="3"/>
  <c r="AZ477" i="3"/>
  <c r="AZ481" i="3"/>
  <c r="BL565" i="3"/>
  <c r="AZ565" i="3" s="1"/>
  <c r="BL573" i="3"/>
  <c r="BL583" i="3"/>
  <c r="AZ583" i="3" s="1"/>
  <c r="BL586" i="3"/>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AZ462" i="3"/>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AZ274" i="3"/>
  <c r="AZ284" i="3"/>
  <c r="AZ293" i="3"/>
  <c r="AZ122" i="3"/>
  <c r="AZ169" i="3"/>
  <c r="G100" i="4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57" i="40"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F31" i="6" s="1"/>
  <c r="N103" i="43"/>
  <c r="N106" i="43"/>
  <c r="J103" i="43"/>
  <c r="F106" i="43"/>
  <c r="K102" i="43"/>
  <c r="G107" i="43"/>
  <c r="G104" i="43"/>
  <c r="D118" i="43"/>
  <c r="E118" i="43" s="1"/>
  <c r="F118" i="43" s="1"/>
  <c r="D115" i="43"/>
  <c r="E115" i="43" s="1"/>
  <c r="F115" i="43" s="1"/>
  <c r="G115" i="43" s="1"/>
  <c r="H115" i="43" s="1"/>
  <c r="G106" i="43"/>
  <c r="K105" i="43"/>
  <c r="N104" i="43"/>
  <c r="E56" i="40"/>
  <c r="AQ12" i="1"/>
  <c r="E19" i="69"/>
  <c r="E19" i="68"/>
  <c r="E19" i="11"/>
  <c r="E1" i="73"/>
  <c r="K1" i="73" s="1"/>
  <c r="G41" i="69"/>
  <c r="G22" i="69"/>
  <c r="G41" i="68"/>
  <c r="G22" i="68"/>
  <c r="G27" i="12"/>
  <c r="G26" i="12"/>
  <c r="G41" i="11"/>
  <c r="G22" i="11"/>
  <c r="G25" i="12"/>
  <c r="C100" i="43"/>
  <c r="E11" i="43"/>
  <c r="E10" i="43"/>
  <c r="E9" i="43"/>
  <c r="E8"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G85" i="43" s="1"/>
  <c r="H81" i="43"/>
  <c r="G81" i="43" s="1"/>
  <c r="H84" i="43"/>
  <c r="G84" i="43" s="1"/>
  <c r="H88" i="43"/>
  <c r="G88" i="43" s="1"/>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8" i="67"/>
  <c r="M29" i="67"/>
  <c r="M26" i="67"/>
  <c r="C14" i="78"/>
  <c r="F6" i="15"/>
  <c r="M26" i="78"/>
  <c r="F40" i="15"/>
  <c r="M6" i="15"/>
  <c r="M23" i="78"/>
  <c r="L47" i="67"/>
  <c r="F16" i="78"/>
  <c r="M23" i="67"/>
  <c r="F38" i="78"/>
  <c r="F7" i="78"/>
  <c r="F40" i="78"/>
  <c r="M8" i="67"/>
  <c r="F43" i="78"/>
  <c r="M22" i="78"/>
  <c r="F36" i="78"/>
  <c r="F13" i="67"/>
  <c r="M9" i="78"/>
  <c r="F6" i="78"/>
  <c r="F9" i="78"/>
  <c r="F8" i="78"/>
  <c r="C76" i="15"/>
  <c r="F36" i="15"/>
  <c r="L47" i="78"/>
  <c r="L48" i="78"/>
  <c r="M28" i="78"/>
  <c r="M9" i="67"/>
  <c r="F38" i="67"/>
  <c r="F13" i="78"/>
  <c r="F43" i="15"/>
  <c r="F9" i="67"/>
  <c r="L48" i="15"/>
  <c r="F42" i="78"/>
  <c r="F16" i="15"/>
  <c r="M28" i="67"/>
  <c r="F42" i="67"/>
  <c r="F38" i="15"/>
  <c r="M24" i="78"/>
  <c r="J15" i="67"/>
  <c r="F26" i="78"/>
  <c r="J15" i="15"/>
  <c r="M8" i="15"/>
  <c r="M28" i="15"/>
  <c r="M29" i="78"/>
  <c r="M22" i="67"/>
  <c r="F37" i="78"/>
  <c r="M8" i="78"/>
  <c r="C76" i="78"/>
  <c r="F7" i="15"/>
  <c r="M27" i="78"/>
  <c r="M6" i="78"/>
  <c r="J15" i="78"/>
  <c r="G1" i="73"/>
  <c r="AZ440" i="3" l="1"/>
  <c r="AZ105" i="3"/>
  <c r="AZ85" i="3"/>
  <c r="AZ38" i="3"/>
  <c r="AZ23" i="3"/>
  <c r="AZ227" i="3"/>
  <c r="AZ209" i="3"/>
  <c r="AZ102" i="3"/>
  <c r="AZ100" i="3"/>
  <c r="AZ89" i="3"/>
  <c r="AZ76" i="3"/>
  <c r="AZ54" i="3"/>
  <c r="AZ50" i="3"/>
  <c r="AZ178" i="3"/>
  <c r="AZ133" i="3"/>
  <c r="AZ486" i="3"/>
  <c r="AZ288" i="3"/>
  <c r="AZ275" i="3"/>
  <c r="AZ271" i="3"/>
  <c r="AZ256" i="3"/>
  <c r="W17" i="21"/>
  <c r="M88" i="43"/>
  <c r="N88" i="43" s="1"/>
  <c r="K88" i="43"/>
  <c r="M81" i="43"/>
  <c r="N81" i="43" s="1"/>
  <c r="K81" i="43"/>
  <c r="AZ529" i="3"/>
  <c r="AZ514" i="3"/>
  <c r="AZ561" i="3"/>
  <c r="AZ566" i="3"/>
  <c r="M86" i="43"/>
  <c r="N86" i="43" s="1"/>
  <c r="K86" i="43"/>
  <c r="J86" i="43" s="1"/>
  <c r="D86" i="43" s="1"/>
  <c r="M83" i="43"/>
  <c r="N83" i="43" s="1"/>
  <c r="K83" i="43"/>
  <c r="AZ63" i="3"/>
  <c r="AZ59" i="3"/>
  <c r="AZ57" i="3"/>
  <c r="AZ33" i="3"/>
  <c r="AZ31" i="3"/>
  <c r="AZ20" i="3"/>
  <c r="AZ186" i="3"/>
  <c r="AZ154" i="3"/>
  <c r="AZ215" i="3"/>
  <c r="AC36" i="35"/>
  <c r="W36" i="35"/>
  <c r="S13" i="33"/>
  <c r="AA13" i="33"/>
  <c r="AZ461" i="3"/>
  <c r="M84" i="43"/>
  <c r="N84" i="43" s="1"/>
  <c r="K84" i="43"/>
  <c r="J84" i="43" s="1"/>
  <c r="M85" i="43"/>
  <c r="N85" i="43" s="1"/>
  <c r="K85" i="43"/>
  <c r="C7" i="43"/>
  <c r="F53" i="9"/>
  <c r="F32" i="78"/>
  <c r="F60" i="78" s="1"/>
  <c r="F28" i="78"/>
  <c r="C28" i="78" s="1"/>
  <c r="M18" i="78"/>
  <c r="M87" i="43"/>
  <c r="N87" i="43" s="1"/>
  <c r="K87" i="43"/>
  <c r="M82" i="43"/>
  <c r="N82" i="43" s="1"/>
  <c r="K82" i="43"/>
  <c r="J82" i="43" s="1"/>
  <c r="S12" i="35"/>
  <c r="AA12" i="35"/>
  <c r="AA9" i="33"/>
  <c r="S9" i="33"/>
  <c r="AC44" i="39"/>
  <c r="W44" i="39"/>
  <c r="AB12" i="40"/>
  <c r="U12" i="40"/>
  <c r="Q71" i="78"/>
  <c r="F50" i="78"/>
  <c r="M7" i="78"/>
  <c r="J6" i="78" s="1"/>
  <c r="F65" i="78"/>
  <c r="C27" i="78"/>
  <c r="L56" i="78"/>
  <c r="J60" i="78"/>
  <c r="Q48" i="78" s="1"/>
  <c r="L60" i="78"/>
  <c r="J57" i="78"/>
  <c r="J55" i="78" s="1"/>
  <c r="J58" i="78" s="1"/>
  <c r="Q50" i="78" s="1"/>
  <c r="L57" i="78"/>
  <c r="J53" i="78"/>
  <c r="I54" i="78"/>
  <c r="J59" i="78"/>
  <c r="L46" i="78"/>
  <c r="F68" i="78"/>
  <c r="F51" i="78"/>
  <c r="C49" i="78" s="1"/>
  <c r="C48" i="78" s="1"/>
  <c r="F66" i="78"/>
  <c r="N59" i="78"/>
  <c r="L58" i="78"/>
  <c r="M59" i="78"/>
  <c r="L59" i="78"/>
  <c r="C18" i="78"/>
  <c r="C15" i="78"/>
  <c r="C19" i="78"/>
  <c r="C20" i="78" s="1"/>
  <c r="C26" i="78" s="1"/>
  <c r="C6" i="78"/>
  <c r="C5" i="78" s="1"/>
  <c r="F71" i="78"/>
  <c r="F64" i="78"/>
  <c r="C109" i="43"/>
  <c r="AR10" i="1"/>
  <c r="F105" i="43"/>
  <c r="I117" i="43"/>
  <c r="J117" i="43" s="1"/>
  <c r="K117" i="43" s="1"/>
  <c r="L117" i="43" s="1"/>
  <c r="M117" i="43" s="1"/>
  <c r="I115" i="43"/>
  <c r="J115" i="43" s="1"/>
  <c r="K115" i="43" s="1"/>
  <c r="L115" i="43" s="1"/>
  <c r="M115" i="43" s="1"/>
  <c r="C102" i="43"/>
  <c r="S2" i="43" s="1"/>
  <c r="B117" i="43"/>
  <c r="C117" i="43" s="1"/>
  <c r="B116" i="43"/>
  <c r="C116" i="43" s="1"/>
  <c r="I118" i="43"/>
  <c r="J118" i="43" s="1"/>
  <c r="K118" i="43" s="1"/>
  <c r="L118" i="43" s="1"/>
  <c r="M118" i="43" s="1"/>
  <c r="C105" i="43"/>
  <c r="F107" i="43"/>
  <c r="D22" i="43"/>
  <c r="C106" i="43"/>
  <c r="E28" i="6"/>
  <c r="E30" i="6" s="1"/>
  <c r="E31" i="6" s="1"/>
  <c r="N109" i="43"/>
  <c r="K109" i="43"/>
  <c r="J109" i="43"/>
  <c r="T12" i="1"/>
  <c r="N107" i="43"/>
  <c r="J106" i="43"/>
  <c r="K106" i="43"/>
  <c r="G103" i="43"/>
  <c r="K104" i="43"/>
  <c r="K107" i="43"/>
  <c r="J102" i="43"/>
  <c r="J107" i="43"/>
  <c r="N105" i="43"/>
  <c r="G102" i="43"/>
  <c r="J105" i="43"/>
  <c r="S5" i="43"/>
  <c r="F109" i="43"/>
  <c r="F103" i="43"/>
  <c r="I116" i="43"/>
  <c r="J116" i="43" s="1"/>
  <c r="K116" i="43" s="1"/>
  <c r="L116" i="43" s="1"/>
  <c r="M116" i="43" s="1"/>
  <c r="B118" i="43"/>
  <c r="C118" i="43" s="1"/>
  <c r="G118" i="43"/>
  <c r="H118" i="43" s="1"/>
  <c r="D116" i="43"/>
  <c r="E116" i="43" s="1"/>
  <c r="F116" i="43" s="1"/>
  <c r="G116" i="43" s="1"/>
  <c r="H116" i="43" s="1"/>
  <c r="C103" i="43"/>
  <c r="C107" i="43"/>
  <c r="F102" i="43"/>
  <c r="E65" i="39"/>
  <c r="T10" i="1"/>
  <c r="AZ573" i="3"/>
  <c r="AZ542" i="3"/>
  <c r="AZ574" i="3"/>
  <c r="AZ580" i="3"/>
  <c r="AZ581" i="3"/>
  <c r="AC25" i="37"/>
  <c r="W25" i="37"/>
  <c r="AC47" i="34"/>
  <c r="W47" i="34"/>
  <c r="S44" i="33"/>
  <c r="AA44" i="33"/>
  <c r="U12" i="33"/>
  <c r="AB12" i="33"/>
  <c r="AZ506" i="3"/>
  <c r="AZ556" i="3"/>
  <c r="AZ564" i="3"/>
  <c r="W40" i="40"/>
  <c r="AC40" i="40"/>
  <c r="AA38" i="40"/>
  <c r="S38" i="40"/>
  <c r="W33" i="40"/>
  <c r="AC33" i="40"/>
  <c r="S39" i="37"/>
  <c r="AA39" i="37"/>
  <c r="U27" i="37"/>
  <c r="AB27" i="37"/>
  <c r="AA31" i="39"/>
  <c r="S31" i="39"/>
  <c r="U25" i="37"/>
  <c r="AB25" i="37"/>
  <c r="AC31" i="34"/>
  <c r="W31" i="34"/>
  <c r="U13" i="34"/>
  <c r="AB13" i="34"/>
  <c r="AB13" i="37"/>
  <c r="U13" i="37"/>
  <c r="AA40" i="40"/>
  <c r="S40" i="40"/>
  <c r="AB38" i="40"/>
  <c r="U38" i="40"/>
  <c r="AB39" i="37"/>
  <c r="U39" i="37"/>
  <c r="W32" i="36"/>
  <c r="AC32" i="36"/>
  <c r="N59" i="67"/>
  <c r="L59" i="67" s="1"/>
  <c r="M59" i="67"/>
  <c r="J53"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E102" i="43"/>
  <c r="E104" i="43"/>
  <c r="E106" i="43"/>
  <c r="E107" i="43"/>
  <c r="E103" i="43"/>
  <c r="E105" i="43"/>
  <c r="M102" i="43"/>
  <c r="M104" i="43"/>
  <c r="M106" i="43"/>
  <c r="M107" i="43"/>
  <c r="M103" i="43"/>
  <c r="M105" i="43"/>
  <c r="H102" i="43"/>
  <c r="H107" i="43"/>
  <c r="H103" i="43"/>
  <c r="H106" i="43"/>
  <c r="H104" i="43"/>
  <c r="H105" i="43"/>
  <c r="K19" i="6"/>
  <c r="S6" i="1" s="1"/>
  <c r="AQ6" i="1"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8"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M19" i="6"/>
  <c r="L27" i="6"/>
  <c r="G16" i="1"/>
  <c r="H10" i="40" s="1"/>
  <c r="U10" i="40" s="1"/>
  <c r="F70" i="67"/>
  <c r="F51" i="67"/>
  <c r="F66" i="67"/>
  <c r="F71" i="15"/>
  <c r="Q71" i="15"/>
  <c r="F64" i="15"/>
  <c r="J57" i="15"/>
  <c r="J55" i="15" s="1"/>
  <c r="J58" i="15" s="1"/>
  <c r="Q50" i="15" s="1"/>
  <c r="F68" i="15"/>
  <c r="M7" i="15"/>
  <c r="F50"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31" i="15"/>
  <c r="F59" i="67"/>
  <c r="F31" i="67"/>
  <c r="F59" i="15"/>
  <c r="F26" i="15"/>
  <c r="M26" i="15"/>
  <c r="F7" i="67"/>
  <c r="F37" i="15"/>
  <c r="C17" i="15"/>
  <c r="F36" i="67"/>
  <c r="M6" i="67"/>
  <c r="L48" i="67"/>
  <c r="C16" i="78"/>
  <c r="M23" i="15"/>
  <c r="F37" i="67"/>
  <c r="F6" i="67"/>
  <c r="F43" i="67"/>
  <c r="C16" i="15"/>
  <c r="F42" i="15"/>
  <c r="F40" i="67"/>
  <c r="M24" i="15"/>
  <c r="M29" i="15"/>
  <c r="F16" i="67"/>
  <c r="F8" i="15"/>
  <c r="M22" i="15"/>
  <c r="M24" i="67"/>
  <c r="M9" i="15"/>
  <c r="C17" i="78"/>
  <c r="C76" i="67"/>
  <c r="L47" i="15"/>
  <c r="F13" i="15"/>
  <c r="F26" i="67"/>
  <c r="F9" i="15"/>
  <c r="M59" i="15" l="1"/>
  <c r="L58" i="15"/>
  <c r="Q73" i="15" s="1"/>
  <c r="N59" i="15"/>
  <c r="C27" i="15"/>
  <c r="F68" i="67"/>
  <c r="Q71" i="67"/>
  <c r="C6" i="67"/>
  <c r="C5" i="67" s="1"/>
  <c r="C32" i="67" s="1"/>
  <c r="C27" i="67"/>
  <c r="L58" i="67"/>
  <c r="Q60" i="67" s="1"/>
  <c r="I54" i="67"/>
  <c r="L56" i="67"/>
  <c r="J57" i="67"/>
  <c r="J55" i="67" s="1"/>
  <c r="J58" i="67" s="1"/>
  <c r="Q50" i="67" s="1"/>
  <c r="F64" i="67"/>
  <c r="M7" i="67"/>
  <c r="J6" i="67" s="1"/>
  <c r="F50" i="67"/>
  <c r="C49" i="67" s="1"/>
  <c r="F71" i="67"/>
  <c r="F65" i="15"/>
  <c r="C6" i="15"/>
  <c r="C10" i="15"/>
  <c r="F51" i="15"/>
  <c r="C49" i="15" s="1"/>
  <c r="F65" i="67"/>
  <c r="J83" i="43"/>
  <c r="D83" i="43"/>
  <c r="D85" i="43"/>
  <c r="J85" i="43"/>
  <c r="J81" i="43"/>
  <c r="D81" i="43"/>
  <c r="J88" i="43"/>
  <c r="D88" i="43"/>
  <c r="K25" i="6"/>
  <c r="M25" i="6" s="1"/>
  <c r="I25" i="6" s="1"/>
  <c r="S25" i="6" s="1"/>
  <c r="K22" i="6"/>
  <c r="M22" i="6" s="1"/>
  <c r="I22" i="6" s="1"/>
  <c r="S22" i="6" s="1"/>
  <c r="K21" i="6"/>
  <c r="M21" i="6" s="1"/>
  <c r="I21" i="6" s="1"/>
  <c r="S21" i="6" s="1"/>
  <c r="K14" i="1"/>
  <c r="M14" i="1" s="1"/>
  <c r="O14" i="1" s="1"/>
  <c r="P14" i="1" s="1"/>
  <c r="K20" i="6"/>
  <c r="S7" i="1" s="1"/>
  <c r="T7" i="1" s="1"/>
  <c r="D87" i="43"/>
  <c r="J87" i="43"/>
  <c r="J10" i="78"/>
  <c r="J5" i="78" s="1"/>
  <c r="J18" i="78" s="1"/>
  <c r="C66" i="78"/>
  <c r="C60" i="78"/>
  <c r="Q57" i="78"/>
  <c r="Q66" i="78"/>
  <c r="C38" i="78"/>
  <c r="C32" i="78"/>
  <c r="Q74" i="78"/>
  <c r="Q61" i="78"/>
  <c r="Q60" i="78"/>
  <c r="Q73" i="78"/>
  <c r="Q52" i="78"/>
  <c r="F1" i="78"/>
  <c r="C24" i="78"/>
  <c r="C23" i="78"/>
  <c r="E66" i="39"/>
  <c r="D113" i="43"/>
  <c r="J22" i="43" s="1"/>
  <c r="K16" i="1"/>
  <c r="AR6" i="1"/>
  <c r="L59" i="15"/>
  <c r="Q74" i="15" s="1"/>
  <c r="C30" i="11"/>
  <c r="E6" i="70"/>
  <c r="K27" i="6"/>
  <c r="A18" i="62"/>
  <c r="B64" i="72"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s="1"/>
  <c r="H7" i="37"/>
  <c r="U7" i="37" s="1"/>
  <c r="J10" i="15"/>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I19" i="6"/>
  <c r="H10" i="39"/>
  <c r="J10" i="39"/>
  <c r="M16" i="1"/>
  <c r="N16" i="1" s="1"/>
  <c r="F27" i="11"/>
  <c r="Q61" i="67"/>
  <c r="Q74" i="67"/>
  <c r="F1" i="67"/>
  <c r="Q52" i="67"/>
  <c r="C16" i="67"/>
  <c r="Q73" i="67" l="1"/>
  <c r="M20" i="6"/>
  <c r="AR7" i="1"/>
  <c r="C5" i="15"/>
  <c r="C32" i="15" s="1"/>
  <c r="Q60" i="15"/>
  <c r="E81" i="43"/>
  <c r="B79" i="43" s="1"/>
  <c r="C24" i="43" s="1"/>
  <c r="E7" i="70"/>
  <c r="AQ7" i="1"/>
  <c r="J26" i="78"/>
  <c r="J24" i="78"/>
  <c r="C29" i="78"/>
  <c r="C57" i="78" s="1"/>
  <c r="Q61" i="15"/>
  <c r="AA7" i="36"/>
  <c r="R36" i="36" s="1"/>
  <c r="E36" i="36" s="1"/>
  <c r="E40" i="36" s="1"/>
  <c r="F40" i="36" s="1"/>
  <c r="AC11" i="37"/>
  <c r="W11" i="37"/>
  <c r="AB7" i="37"/>
  <c r="T42" i="37" s="1"/>
  <c r="G42" i="37" s="1"/>
  <c r="G46" i="37" s="1"/>
  <c r="H46" i="37" s="1"/>
  <c r="W11" i="34"/>
  <c r="AC11" i="34"/>
  <c r="J5" i="67"/>
  <c r="J5" i="15"/>
  <c r="AB7" i="36"/>
  <c r="T36" i="36" s="1"/>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W10" i="39"/>
  <c r="AC10" i="39"/>
  <c r="U10" i="39"/>
  <c r="AB10" i="39"/>
  <c r="F50" i="11"/>
  <c r="F50" i="69"/>
  <c r="F50" i="68"/>
  <c r="C47" i="11"/>
  <c r="D45" i="11" s="1"/>
  <c r="C29" i="11"/>
  <c r="D27" i="11" s="1"/>
  <c r="C28" i="11"/>
  <c r="C27" i="11" s="1"/>
  <c r="L16" i="1"/>
  <c r="F35" i="78"/>
  <c r="M21" i="78"/>
  <c r="I20" i="6" l="1"/>
  <c r="M27" i="6"/>
  <c r="C38" i="15"/>
  <c r="C36" i="43"/>
  <c r="C35" i="43"/>
  <c r="C38" i="43"/>
  <c r="T11" i="43"/>
  <c r="V11" i="43" s="1"/>
  <c r="T14" i="43"/>
  <c r="V14" i="43" s="1"/>
  <c r="T9" i="43"/>
  <c r="V9" i="43" s="1"/>
  <c r="T7" i="43"/>
  <c r="V7" i="43" s="1"/>
  <c r="T8" i="43"/>
  <c r="V8" i="43" s="1"/>
  <c r="T13" i="43"/>
  <c r="V13" i="43" s="1"/>
  <c r="T5" i="43"/>
  <c r="V5" i="43" s="1"/>
  <c r="T4" i="43"/>
  <c r="V4" i="43" s="1"/>
  <c r="C37" i="43"/>
  <c r="C33" i="43"/>
  <c r="C34" i="43"/>
  <c r="C29" i="43"/>
  <c r="T16" i="43"/>
  <c r="V16" i="43" s="1"/>
  <c r="T12" i="43"/>
  <c r="V12" i="43" s="1"/>
  <c r="T3" i="43"/>
  <c r="V3" i="43" s="1"/>
  <c r="T2" i="43"/>
  <c r="V2" i="43" s="1"/>
  <c r="T15" i="43"/>
  <c r="V15" i="43" s="1"/>
  <c r="T10" i="43"/>
  <c r="V10" i="43" s="1"/>
  <c r="T6" i="43"/>
  <c r="V6" i="43" s="1"/>
  <c r="C39" i="43"/>
  <c r="E39" i="43" s="1"/>
  <c r="C34" i="78"/>
  <c r="F63" i="78"/>
  <c r="C62" i="78" s="1"/>
  <c r="J20" i="78"/>
  <c r="C33" i="78"/>
  <c r="Q49" i="78"/>
  <c r="J14" i="78"/>
  <c r="J22" i="78" s="1"/>
  <c r="C13" i="78"/>
  <c r="Q70" i="78" s="1"/>
  <c r="C36" i="78"/>
  <c r="J19" i="78"/>
  <c r="J17" i="78" s="1"/>
  <c r="J13" i="78"/>
  <c r="J23" i="78" s="1"/>
  <c r="C75" i="78"/>
  <c r="C64" i="78"/>
  <c r="C61" i="78"/>
  <c r="C34" i="11"/>
  <c r="C38" i="11" s="1"/>
  <c r="I41" i="36"/>
  <c r="J41" i="36"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R19" i="6"/>
  <c r="C35" i="11"/>
  <c r="C14" i="12"/>
  <c r="C23" i="12"/>
  <c r="S20" i="6" l="1"/>
  <c r="S27" i="6" s="1"/>
  <c r="H20" i="6"/>
  <c r="I27" i="6"/>
  <c r="E29" i="43"/>
  <c r="C30" i="43"/>
  <c r="E30" i="43" s="1"/>
  <c r="G33" i="43"/>
  <c r="I33" i="43" s="1"/>
  <c r="E33" i="43"/>
  <c r="G38" i="43"/>
  <c r="I38" i="43" s="1"/>
  <c r="E38" i="43"/>
  <c r="E36" i="43"/>
  <c r="G36" i="43"/>
  <c r="I36" i="43" s="1"/>
  <c r="G34" i="43"/>
  <c r="I34" i="43" s="1"/>
  <c r="E34" i="43"/>
  <c r="G37" i="43"/>
  <c r="I37" i="43" s="1"/>
  <c r="E37" i="43"/>
  <c r="E35" i="43"/>
  <c r="G35" i="43"/>
  <c r="I35" i="43" s="1"/>
  <c r="C59" i="78"/>
  <c r="C37" i="78"/>
  <c r="C56" i="78"/>
  <c r="C65" i="78" s="1"/>
  <c r="C31" i="78"/>
  <c r="J16" i="78"/>
  <c r="J25" i="78" s="1"/>
  <c r="C18" i="12"/>
  <c r="D31" i="6"/>
  <c r="I6" i="6" s="1"/>
  <c r="R49" i="21"/>
  <c r="C48" i="21" s="1"/>
  <c r="G54" i="34"/>
  <c r="H54" i="34" s="1"/>
  <c r="I53" i="21"/>
  <c r="J53" i="21" s="1"/>
  <c r="C37" i="36"/>
  <c r="C36" i="36"/>
  <c r="G40" i="36"/>
  <c r="H40" i="36" s="1"/>
  <c r="E41" i="36"/>
  <c r="F41" i="36" s="1"/>
  <c r="G41" i="36"/>
  <c r="H41" i="36" s="1"/>
  <c r="C19" i="68"/>
  <c r="D37" i="68"/>
  <c r="C37" i="68" s="1"/>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C30" i="78" l="1"/>
  <c r="C39" i="78" s="1"/>
  <c r="Q69" i="78" s="1"/>
  <c r="Q68" i="78" s="1"/>
  <c r="C21" i="12"/>
  <c r="C22" i="12" s="1"/>
  <c r="C30" i="12" s="1"/>
  <c r="C28" i="12" s="1"/>
  <c r="R20" i="6"/>
  <c r="H27" i="6"/>
  <c r="C26" i="43"/>
  <c r="C27" i="43"/>
  <c r="C58" i="78"/>
  <c r="C67" i="78" s="1"/>
  <c r="I5" i="6"/>
  <c r="C49" i="21"/>
  <c r="C24" i="68"/>
  <c r="J20" i="15"/>
  <c r="F63" i="15"/>
  <c r="C62" i="15" s="1"/>
  <c r="C34" i="15"/>
  <c r="C33" i="68"/>
  <c r="I63" i="40"/>
  <c r="H65" i="40"/>
  <c r="C39" i="11"/>
  <c r="C43" i="11" s="1"/>
  <c r="C41" i="11" s="1"/>
  <c r="I70" i="39"/>
  <c r="L51" i="78"/>
  <c r="E6" i="76"/>
  <c r="C80" i="78" l="1"/>
  <c r="C79" i="78" s="1"/>
  <c r="Q67" i="78"/>
  <c r="R7" i="1"/>
  <c r="R27" i="6"/>
  <c r="E2" i="76"/>
  <c r="B2" i="43"/>
  <c r="C27" i="12"/>
  <c r="C25" i="12" s="1"/>
  <c r="C32" i="12" s="1"/>
  <c r="B2" i="12" s="1"/>
  <c r="B3" i="12" s="1"/>
  <c r="C39" i="68"/>
  <c r="C43" i="68" s="1"/>
  <c r="C42" i="68"/>
  <c r="J63" i="40"/>
  <c r="I65" i="40"/>
  <c r="C46" i="11"/>
  <c r="C45" i="11" s="1"/>
  <c r="C49" i="11" s="1"/>
  <c r="C51" i="11" s="1"/>
  <c r="C52" i="11" s="1"/>
  <c r="B2" i="11" s="1"/>
  <c r="B3" i="11" s="1"/>
  <c r="J70" i="39"/>
  <c r="F35" i="67"/>
  <c r="B6" i="76"/>
  <c r="M21" i="67"/>
  <c r="C34" i="67" l="1"/>
  <c r="F63" i="67"/>
  <c r="C62" i="67" s="1"/>
  <c r="J20" i="67"/>
  <c r="R16" i="1"/>
  <c r="B2" i="76"/>
  <c r="B3" i="76" s="1"/>
  <c r="C6" i="68"/>
  <c r="C7" i="68" s="1"/>
  <c r="C5" i="68" s="1"/>
  <c r="B3" i="43"/>
  <c r="C41" i="68"/>
  <c r="C46" i="68"/>
  <c r="C45" i="68" s="1"/>
  <c r="K63" i="40"/>
  <c r="J65" i="40"/>
  <c r="K70" i="39"/>
  <c r="C56" i="11"/>
  <c r="C57" i="11" s="1"/>
  <c r="C23" i="68" l="1"/>
  <c r="C20" i="68"/>
  <c r="C49" i="68"/>
  <c r="C51" i="68" s="1"/>
  <c r="L63" i="40"/>
  <c r="K65" i="40"/>
  <c r="L70" i="39"/>
  <c r="E2" i="70"/>
  <c r="C34" i="69"/>
  <c r="C17" i="67"/>
  <c r="C28" i="68" l="1"/>
  <c r="C27" i="68" s="1"/>
  <c r="C25" i="68"/>
  <c r="C22" i="68" s="1"/>
  <c r="M63" i="40"/>
  <c r="L65" i="40"/>
  <c r="M70" i="39"/>
  <c r="C35" i="69"/>
  <c r="C38" i="69"/>
  <c r="D10" i="69"/>
  <c r="C31" i="68" l="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78"/>
  <c r="J29" i="78" l="1"/>
  <c r="F69" i="78"/>
  <c r="C68" i="78" s="1"/>
  <c r="C71" i="78" s="1"/>
  <c r="C40" i="78"/>
  <c r="B2" i="78" s="1"/>
  <c r="B3" i="78" s="1"/>
  <c r="Q66" i="67"/>
  <c r="Q57" i="67"/>
  <c r="C58" i="67"/>
  <c r="C67" i="67" s="1"/>
  <c r="C19" i="15"/>
  <c r="C46" i="78" l="1"/>
  <c r="Q65" i="78"/>
  <c r="Q75" i="78" s="1"/>
  <c r="C43" i="78"/>
  <c r="Q47" i="78"/>
  <c r="Q53" i="78" s="1"/>
  <c r="C83" i="78"/>
  <c r="C82" i="78" s="1"/>
  <c r="Q56" i="78"/>
  <c r="Q62" i="78"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M27" i="67"/>
  <c r="F41"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8" i="1"/>
  <c r="AO7" i="1"/>
  <c r="B8" i="70" l="1"/>
  <c r="B7" i="70"/>
  <c r="B6" i="70"/>
  <c r="C46" i="15"/>
  <c r="B2" i="69"/>
  <c r="B3" i="69" s="1"/>
  <c r="B2" i="68"/>
  <c r="B3" i="67"/>
  <c r="D2" i="21"/>
  <c r="C19" i="9"/>
  <c r="D2" i="34"/>
  <c r="E2" i="68"/>
  <c r="F20" i="31"/>
  <c r="D2" i="37"/>
  <c r="D2" i="36"/>
  <c r="D2" i="35"/>
  <c r="D2" i="33"/>
  <c r="B20" i="31" l="1"/>
  <c r="B2" i="36"/>
  <c r="B3" i="36" s="1"/>
  <c r="B2" i="35"/>
  <c r="B3" i="35" s="1"/>
  <c r="B2" i="37"/>
  <c r="B3" i="37" s="1"/>
  <c r="B2" i="34"/>
  <c r="B3" i="34" s="1"/>
  <c r="B2" i="21"/>
  <c r="B3" i="21" s="1"/>
  <c r="B2" i="70"/>
  <c r="B3" i="70" s="1"/>
  <c r="C102" i="9"/>
  <c r="C21" i="9"/>
  <c r="B3" i="68"/>
  <c r="D20" i="9"/>
  <c r="C20" i="9"/>
  <c r="D19" i="9"/>
  <c r="G19" i="9" l="1"/>
  <c r="D102" i="9"/>
  <c r="D22" i="9"/>
  <c r="D21" i="9"/>
  <c r="C103" i="9"/>
  <c r="D103" i="9"/>
  <c r="G20" i="9"/>
  <c r="E4" i="84" l="1"/>
  <c r="E12" i="84"/>
  <c r="D4" i="84"/>
  <c r="D6" i="84" s="1"/>
  <c r="D12" i="84"/>
  <c r="C32" i="9"/>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 r="E10" i="84" l="1"/>
  <c r="D10" i="84"/>
  <c r="E11" i="84" l="1"/>
  <c r="D11" i="84" l="1"/>
  <c r="D14" i="84" s="1"/>
  <c r="H15" i="8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<sst xmlns="http://schemas.openxmlformats.org/spreadsheetml/2006/main" count="8147" uniqueCount="3330">
  <si>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</si>
  <si>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</si>
  <si>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</si>
  <si>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</si>
  <si>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</si>
  <si>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</si>
  <si>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</si>
  <si>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</si>
  <si>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</si>
  <si>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</si>
  <si>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</si>
  <si>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</si>
  <si>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</si>
  <si>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</si>
  <si>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</si>
  <si>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</si>
  <si>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</si>
  <si>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</si>
  <si>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</si>
  <si>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</si>
  <si>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</si>
  <si>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</si>
  <si>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</si>
  <si>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</si>
  <si>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</si>
  <si>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</si>
  <si>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</si>
  <si>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</si>
  <si>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</si>
  <si>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</si>
  <si>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</si>
  <si>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</si>
  <si>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</si>
  <si>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</si>
  <si>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</si>
  <si>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</si>
  <si>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</si>
  <si>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</si>
  <si>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</si>
  <si>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</si>
  <si>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</si>
  <si>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</si>
  <si>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</si>
  <si>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</si>
  <si>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</si>
  <si>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</si>
  <si>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</si>
  <si>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</si>
  <si>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</si>
  <si>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</si>
  <si>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</si>
  <si>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</si>
  <si>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</si>
  <si>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</si>
  <si>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</si>
  <si>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</si>
  <si>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</si>
  <si>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</si>
  <si>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</si>
  <si>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</si>
  <si>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</si>
  <si>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</si>
  <si>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</si>
  <si>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</si>
  <si>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</si>
  <si>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</si>
  <si>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</si>
  <si>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</si>
  <si>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</si>
  <si>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</si>
  <si>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</si>
  <si>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</si>
  <si>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</si>
  <si>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</si>
  <si>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</si>
  <si>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</si>
  <si>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</si>
  <si>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</si>
  <si>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</si>
  <si>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</si>
  <si>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</si>
  <si>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</si>
  <si>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</si>
  <si>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</si>
  <si>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</si>
  <si>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</si>
  <si>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</si>
  <si>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</si>
  <si>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</si>
  <si>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</si>
  <si>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</si>
  <si>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</si>
  <si>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</si>
  <si>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</si>
  <si>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</si>
  <si>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</si>
  <si>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</si>
  <si>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</si>
  <si>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</si>
  <si>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</si>
  <si>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</si>
  <si>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</si>
  <si>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</si>
  <si>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</si>
  <si>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</si>
  <si>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</si>
  <si>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</si>
  <si>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</si>
  <si>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</si>
  <si>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</si>
  <si>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</si>
  <si>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</si>
  <si>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</si>
  <si>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</si>
  <si>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</si>
  <si>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</si>
  <si>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</si>
  <si>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</si>
  <si>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</si>
  <si>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</si>
  <si>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</si>
  <si>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</si>
  <si>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</si>
  <si>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</si>
  <si>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</si>
  <si>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</si>
  <si>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</si>
  <si>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</si>
  <si>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</si>
  <si>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</si>
  <si>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</si>
  <si>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</si>
  <si>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</si>
  <si>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</si>
  <si>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</si>
  <si>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</si>
  <si>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</si>
  <si>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</si>
  <si>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</si>
  <si>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</si>
  <si>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</si>
  <si>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</si>
  <si>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</si>
  <si>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</si>
  <si>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</si>
  <si>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</si>
  <si>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</si>
  <si>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</si>
  <si>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</si>
  <si>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</si>
  <si>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</si>
  <si>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</si>
  <si>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</si>
  <si>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</si>
  <si>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</si>
  <si>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</si>
  <si>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</si>
  <si>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</si>
  <si>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</si>
  <si>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</si>
  <si>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</si>
  <si>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</si>
  <si>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</si>
  <si>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</si>
  <si>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</si>
  <si>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</si>
  <si>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</si>
  <si>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</si>
  <si>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</si>
  <si>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</si>
  <si>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</si>
  <si>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</si>
  <si>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</si>
  <si>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</si>
  <si>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</si>
  <si>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</si>
  <si>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</si>
  <si>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</si>
  <si>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</si>
  <si>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</si>
  <si>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</si>
  <si>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</si>
  <si>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</si>
  <si>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</si>
  <si>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</si>
  <si>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</si>
  <si>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</si>
  <si>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</si>
  <si>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</si>
  <si>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</si>
  <si>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</si>
  <si>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</si>
  <si>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</si>
  <si>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</si>
  <si>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</si>
  <si>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</si>
  <si>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</si>
  <si>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</si>
  <si>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</si>
  <si>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</si>
  <si>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</si>
  <si>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</si>
  <si>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</si>
  <si>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</si>
  <si>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</si>
  <si>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</si>
  <si>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</si>
  <si>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</si>
  <si>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</si>
  <si>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</si>
  <si>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</si>
  <si>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</si>
  <si>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</si>
  <si>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</si>
  <si>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</si>
  <si>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</si>
  <si>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</si>
  <si>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</si>
  <si>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</si>
  <si>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</si>
  <si>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</si>
  <si>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</si>
  <si>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</si>
  <si>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</si>
  <si>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</si>
  <si>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</si>
  <si>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</si>
  <si>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</si>
  <si>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</si>
  <si>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</si>
  <si>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</si>
  <si>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</si>
  <si>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</si>
  <si>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</si>
  <si>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</si>
  <si>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</si>
  <si>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</si>
  <si>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</si>
  <si>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</si>
  <si>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</si>
  <si>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</si>
  <si>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</si>
  <si>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</si>
  <si>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</si>
  <si>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</si>
  <si>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</si>
  <si>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</si>
  <si>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</si>
  <si>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</si>
  <si>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</si>
  <si>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</si>
  <si>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</si>
  <si>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</si>
  <si>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</si>
  <si>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</si>
  <si>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</si>
  <si>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</si>
  <si>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</si>
  <si>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</si>
  <si>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</si>
  <si>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</si>
  <si>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</si>
  <si>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</si>
  <si>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</si>
  <si>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</si>
  <si>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</si>
  <si>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</si>
  <si>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</si>
  <si>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</si>
  <si>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</si>
  <si>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</si>
  <si>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</si>
  <si>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</si>
  <si>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</si>
  <si>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</si>
  <si>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</si>
  <si>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</si>
  <si>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</si>
  <si>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</si>
  <si>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</si>
  <si>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</si>
  <si>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</si>
  <si>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</si>
  <si>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</si>
  <si>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</si>
  <si>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</si>
  <si>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</si>
  <si>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</si>
  <si>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</si>
  <si>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</si>
  <si>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</si>
  <si>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</si>
  <si>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</si>
  <si>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</si>
  <si>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</si>
  <si>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</si>
  <si>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</si>
  <si>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</si>
  <si>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</si>
  <si>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</si>
  <si>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</si>
  <si>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</si>
  <si>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</si>
  <si>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</si>
  <si>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</si>
  <si>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</si>
  <si>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</si>
  <si>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</si>
  <si>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</si>
  <si>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</si>
  <si>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</si>
  <si>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</si>
  <si>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</si>
  <si>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</si>
  <si>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</si>
  <si>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</si>
  <si>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</si>
  <si>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</si>
  <si>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</si>
  <si>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</si>
  <si>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</si>
  <si>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</si>
  <si>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</si>
  <si>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</si>
  <si>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</si>
  <si>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</si>
  <si>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</si>
  <si>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</si>
  <si>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</si>
  <si>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</si>
  <si>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</si>
  <si>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</si>
  <si>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</si>
  <si>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</si>
  <si>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</si>
  <si>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</si>
  <si>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</si>
  <si>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</si>
  <si>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</si>
  <si>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</si>
  <si>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</si>
  <si>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</si>
  <si>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</si>
  <si>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</si>
  <si>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</si>
  <si>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</si>
  <si>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</si>
  <si>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</si>
  <si>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</si>
  <si>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</si>
  <si>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</si>
  <si>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</si>
  <si>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</si>
  <si>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</si>
  <si>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</si>
  <si>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</si>
  <si>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</si>
  <si>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</si>
  <si>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</si>
  <si>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</si>
  <si>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</si>
  <si>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</si>
  <si>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</si>
  <si>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</si>
  <si>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</si>
  <si>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</si>
  <si>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</si>
  <si>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</si>
  <si>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</si>
  <si>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</si>
  <si>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</si>
  <si>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</si>
  <si>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</si>
  <si>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</si>
  <si>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</si>
  <si>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</si>
  <si>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</si>
  <si>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</si>
  <si>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</si>
  <si>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</si>
  <si>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</si>
  <si>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</si>
  <si>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</si>
  <si>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</si>
  <si>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</si>
  <si>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</si>
  <si>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</si>
  <si>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</si>
  <si>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</si>
  <si>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</si>
  <si>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</si>
  <si>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</si>
  <si>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</si>
  <si>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</si>
  <si>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</si>
  <si>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</si>
  <si>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</si>
  <si>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</si>
  <si>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</si>
  <si>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</si>
  <si>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</si>
  <si>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</si>
  <si>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</si>
  <si>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</si>
  <si>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</si>
  <si>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</si>
  <si>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</si>
  <si>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</si>
  <si>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</si>
  <si>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</si>
  <si>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</si>
  <si>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</si>
  <si>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</si>
  <si>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</si>
  <si>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</si>
  <si>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</si>
  <si>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</si>
  <si>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</si>
  <si>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</si>
  <si>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</si>
  <si>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</si>
  <si>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</si>
  <si>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</si>
  <si>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</si>
  <si>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</si>
  <si>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</si>
  <si>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</si>
  <si>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</si>
  <si>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</si>
  <si>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</si>
  <si>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</si>
  <si>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</si>
  <si>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</si>
  <si>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</si>
  <si>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</si>
  <si>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</si>
  <si>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</si>
  <si>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</si>
  <si>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</si>
  <si>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</si>
  <si>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</si>
  <si>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</si>
  <si>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</si>
  <si>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</si>
  <si>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</si>
  <si>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</si>
  <si>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</si>
  <si>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</si>
  <si>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</si>
  <si>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</si>
  <si>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</si>
  <si>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</si>
  <si>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</si>
  <si>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</si>
  <si>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</si>
  <si>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</si>
  <si>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</si>
  <si>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</si>
  <si>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</si>
  <si>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</si>
  <si>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</si>
  <si>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</si>
  <si>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</si>
  <si>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</si>
  <si>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</si>
  <si>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</si>
  <si>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</si>
  <si>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</si>
  <si>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</si>
  <si>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</si>
  <si>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</si>
  <si>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</si>
  <si>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</si>
  <si>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</si>
  <si>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</si>
  <si>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</si>
  <si>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</si>
  <si>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</si>
  <si>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</si>
  <si>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</si>
  <si>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</si>
  <si>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</si>
  <si>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</si>
  <si>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</si>
  <si>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</si>
  <si>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</si>
  <si>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</si>
  <si>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</si>
  <si>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</si>
  <si>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</si>
  <si>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</si>
  <si>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</si>
  <si>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</si>
  <si>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</si>
  <si>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</si>
  <si>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</si>
  <si>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</si>
  <si>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</si>
  <si>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</si>
  <si>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</si>
  <si>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</si>
  <si>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</si>
  <si>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</si>
  <si>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</si>
  <si>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</si>
  <si>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</si>
  <si>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</si>
  <si>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</si>
  <si>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</si>
  <si>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</si>
  <si>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</si>
  <si>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</si>
  <si>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</si>
  <si>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</si>
  <si>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</si>
  <si>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</si>
  <si>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</si>
  <si>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</si>
  <si>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</si>
  <si>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</si>
  <si>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</si>
  <si>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</si>
  <si>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</si>
  <si>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</si>
  <si>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</si>
  <si>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</si>
  <si>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</si>
  <si>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</si>
  <si>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</si>
  <si>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</si>
  <si>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</si>
  <si>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</si>
  <si>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</si>
  <si>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</si>
  <si>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</si>
  <si>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</si>
  <si>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</si>
  <si>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</si>
  <si>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</si>
  <si>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</si>
  <si>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</si>
  <si>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</si>
  <si>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</si>
  <si>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</si>
  <si>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</si>
  <si>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</si>
  <si>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</si>
  <si>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</si>
  <si>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</si>
  <si>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</si>
  <si>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</si>
  <si>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</si>
  <si>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</si>
  <si>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</si>
  <si>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</si>
  <si>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</si>
  <si>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</si>
  <si>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</si>
  <si>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</si>
  <si>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</si>
  <si>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</si>
  <si>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</si>
  <si>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</si>
  <si>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</si>
  <si>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</si>
  <si>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</si>
  <si>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</si>
  <si>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</si>
  <si>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</si>
  <si>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</si>
  <si>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</si>
  <si>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</si>
  <si>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</si>
  <si>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</si>
  <si>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</si>
  <si>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</si>
  <si>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</si>
  <si>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</si>
  <si>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</si>
  <si>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</si>
  <si>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</si>
  <si>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</si>
  <si>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</si>
  <si>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</si>
  <si>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</si>
  <si>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</si>
  <si>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</si>
  <si>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</si>
  <si>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</si>
  <si>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</si>
  <si>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</si>
  <si>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</si>
  <si>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</si>
  <si>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</si>
  <si>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</si>
  <si>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</si>
  <si>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</si>
  <si>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</si>
  <si>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</si>
  <si>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</si>
  <si>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</si>
  <si>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</si>
  <si>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</si>
  <si>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</si>
  <si>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</si>
  <si>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</si>
  <si>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</si>
  <si>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</si>
  <si>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</si>
  <si>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</si>
  <si>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</si>
  <si>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</si>
  <si>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</si>
  <si>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</si>
  <si>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</si>
  <si>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</si>
  <si>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</si>
  <si>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</si>
  <si>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</si>
  <si>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</si>
  <si>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</si>
  <si>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</si>
  <si>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</si>
  <si>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</si>
  <si>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</si>
  <si>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</si>
  <si>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</si>
  <si>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</si>
  <si>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</si>
  <si>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</si>
  <si>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</si>
  <si>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</si>
  <si>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</si>
  <si>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</si>
  <si>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</si>
  <si>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</si>
  <si>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</si>
  <si>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</si>
  <si>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</si>
  <si>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</si>
  <si>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</si>
  <si>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</si>
  <si>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</si>
  <si>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</si>
  <si>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</si>
  <si>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</si>
  <si>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</si>
  <si>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</si>
  <si>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</si>
  <si>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</si>
  <si>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</si>
  <si>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</si>
  <si>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</si>
  <si>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</si>
  <si>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</si>
  <si>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</si>
  <si>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</si>
  <si>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</si>
  <si>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</si>
  <si>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</si>
  <si>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</si>
  <si>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</si>
  <si>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</si>
  <si>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</si>
  <si>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</si>
  <si>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</si>
  <si>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</si>
  <si>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</si>
  <si>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</si>
  <si>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</si>
  <si>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</si>
  <si>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</si>
  <si>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</si>
  <si>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</si>
  <si>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</si>
  <si>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</si>
  <si>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</si>
  <si>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</si>
  <si>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</si>
  <si>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</si>
  <si>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</si>
  <si>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</si>
  <si>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</si>
  <si>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</si>
  <si>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</si>
  <si>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</si>
  <si>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</si>
  <si>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</si>
  <si>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</si>
  <si>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</si>
  <si>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</si>
  <si>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</si>
  <si>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</si>
  <si>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</si>
  <si>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</si>
  <si>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</si>
  <si>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</si>
  <si>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</si>
  <si>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</si>
  <si>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</si>
  <si>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</si>
  <si>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</si>
  <si>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</si>
  <si>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</si>
  <si>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</si>
  <si>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</si>
  <si>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</si>
  <si>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</si>
  <si>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</si>
  <si>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</si>
  <si>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</si>
  <si>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</si>
  <si>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</si>
  <si>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</si>
  <si>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</si>
  <si>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</si>
  <si>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</si>
  <si>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</si>
  <si>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</si>
  <si>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</si>
  <si>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</si>
  <si>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</si>
  <si>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</si>
  <si>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</si>
  <si>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</si>
  <si>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</si>
  <si>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</si>
  <si>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</si>
  <si>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</si>
  <si>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</si>
  <si>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</si>
  <si>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</si>
  <si>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</si>
  <si>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</si>
  <si>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</si>
  <si>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</si>
  <si>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</si>
  <si>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</si>
  <si>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</si>
  <si>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</si>
  <si>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</si>
  <si>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</si>
  <si>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</si>
  <si>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</si>
  <si>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</si>
  <si>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</si>
  <si>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</si>
  <si>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</si>
  <si>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</si>
  <si>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</si>
  <si>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</si>
  <si>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</si>
  <si>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</si>
  <si>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</si>
  <si>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</si>
  <si>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</si>
  <si>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</si>
  <si>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</si>
  <si>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</si>
  <si>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</si>
  <si>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</si>
  <si>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</si>
  <si>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</si>
  <si>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</si>
  <si>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</si>
  <si>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</si>
  <si>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</si>
  <si>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</si>
  <si>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</si>
  <si>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</si>
  <si>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</si>
  <si>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</si>
  <si>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</si>
  <si>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</si>
  <si>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</si>
  <si>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</si>
  <si>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</si>
  <si>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</si>
  <si>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</si>
  <si>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</si>
  <si>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</si>
  <si>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</si>
  <si>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</si>
  <si>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</si>
  <si>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</si>
  <si>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</si>
  <si>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</si>
  <si>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</si>
  <si>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</si>
  <si>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</si>
  <si>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</si>
  <si>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</si>
  <si>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</si>
  <si>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</si>
  <si>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</si>
  <si>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</si>
  <si>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</si>
  <si>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</si>
  <si>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</si>
  <si>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</si>
  <si>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</si>
  <si>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</si>
  <si>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</si>
  <si>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</si>
  <si>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</si>
  <si>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</si>
  <si>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</si>
  <si>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</si>
  <si>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</si>
  <si>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</si>
  <si>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</si>
  <si>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</si>
  <si>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</si>
  <si>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</si>
  <si>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</si>
  <si>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</si>
  <si>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</si>
  <si>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</si>
  <si>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</si>
  <si>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</si>
  <si>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</si>
  <si>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</si>
  <si>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</si>
  <si>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</si>
  <si>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</si>
  <si>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</si>
  <si>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</si>
  <si>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</si>
  <si>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</si>
  <si>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</si>
  <si>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</si>
  <si>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</si>
  <si>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</si>
  <si>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</si>
  <si>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</si>
  <si>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</si>
  <si>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</si>
  <si>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</si>
  <si>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</si>
  <si>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</si>
  <si>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</si>
  <si>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</si>
  <si>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</si>
  <si>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</si>
  <si>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</si>
  <si>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</si>
  <si>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</si>
  <si>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</si>
  <si>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</si>
  <si>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</si>
  <si>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</si>
  <si>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</si>
  <si>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</si>
  <si>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</si>
  <si>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</si>
  <si>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</si>
  <si>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</si>
  <si>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</si>
  <si>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</si>
  <si>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</si>
  <si>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</si>
  <si>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</si>
  <si>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</si>
  <si>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</si>
  <si>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</si>
  <si>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</si>
  <si>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</si>
  <si>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</si>
  <si>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</si>
  <si>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</si>
  <si>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</si>
  <si>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</si>
  <si>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</si>
  <si>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</si>
  <si>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</si>
  <si>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</si>
  <si>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</si>
  <si>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</si>
  <si>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</si>
  <si>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</si>
  <si>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</si>
  <si>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</si>
  <si>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</si>
  <si>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</si>
  <si>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</si>
  <si>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</si>
  <si>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</si>
  <si>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</si>
  <si>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</si>
  <si>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</si>
  <si>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</si>
  <si>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</si>
  <si>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</si>
  <si>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</si>
  <si>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</si>
  <si>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</si>
  <si>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</si>
  <si>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</si>
  <si>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</si>
  <si>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</si>
  <si>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</si>
  <si>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</si>
  <si>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</si>
  <si>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</si>
  <si>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</si>
  <si>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</si>
  <si>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</si>
  <si>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</si>
  <si>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</si>
  <si>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</si>
  <si>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</si>
  <si>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</si>
  <si>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</si>
  <si>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</si>
  <si>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</si>
  <si>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</si>
  <si>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</si>
  <si>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</si>
  <si>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</si>
  <si>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</si>
  <si>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</si>
  <si>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</si>
  <si>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</si>
  <si>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</si>
  <si>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</si>
  <si>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</si>
  <si>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</si>
  <si>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</si>
  <si>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</si>
  <si>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</si>
  <si>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</si>
  <si>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</si>
  <si>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</si>
  <si>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</si>
  <si>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</si>
  <si>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</si>
  <si>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</si>
  <si>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</si>
  <si>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</si>
  <si>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</si>
  <si>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</si>
  <si>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</si>
  <si>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</si>
  <si>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</si>
  <si>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</si>
  <si>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</si>
  <si>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</si>
  <si>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</si>
  <si>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</si>
  <si>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</si>
  <si>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</si>
  <si>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</si>
  <si>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</si>
  <si>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</si>
  <si>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</si>
  <si>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</si>
  <si>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</si>
  <si>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</si>
  <si>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</si>
  <si>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</si>
  <si>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</si>
  <si>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</si>
  <si>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</si>
  <si>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</si>
  <si>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</si>
  <si>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</si>
  <si>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</si>
  <si>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</si>
  <si>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</si>
  <si>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</si>
  <si>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</si>
  <si>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</si>
  <si>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</si>
  <si>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</si>
  <si>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</si>
  <si>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</si>
  <si>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</si>
  <si>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</si>
  <si>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</si>
  <si>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</si>
  <si>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</si>
  <si>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</si>
  <si>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</si>
  <si>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</si>
  <si>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</si>
  <si>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</si>
  <si>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</si>
  <si>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</si>
  <si>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</si>
  <si>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</si>
  <si>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</si>
  <si>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</si>
  <si>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</si>
  <si>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</si>
  <si>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</si>
  <si>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</si>
  <si>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</si>
  <si>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</si>
  <si>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</si>
  <si>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</si>
  <si>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</si>
  <si>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</si>
  <si>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</si>
  <si>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</si>
  <si>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</si>
  <si>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</si>
  <si>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</si>
  <si>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</si>
  <si>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</si>
  <si>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</si>
  <si>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</si>
  <si>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</si>
  <si>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</si>
  <si>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</si>
  <si>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</si>
  <si>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</si>
  <si>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</si>
  <si>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</si>
  <si>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</si>
  <si>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</si>
  <si>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</si>
  <si>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</si>
  <si>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</si>
  <si>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</si>
  <si>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</si>
  <si>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</si>
  <si>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</si>
  <si>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</si>
  <si>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</si>
  <si>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</si>
  <si>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</si>
  <si>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</si>
  <si>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</si>
  <si>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</si>
  <si>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</si>
  <si>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</si>
  <si>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</si>
  <si>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</si>
  <si>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</si>
  <si>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</si>
  <si>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</si>
  <si>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</si>
  <si>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</si>
  <si>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</si>
  <si>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</si>
  <si>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</si>
  <si>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</si>
  <si>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</si>
  <si>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</si>
  <si>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</si>
  <si>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</si>
  <si>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</si>
  <si>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</si>
  <si>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</si>
  <si>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</si>
  <si>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</si>
  <si>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</si>
  <si>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</si>
  <si>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</si>
  <si>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</si>
  <si>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</si>
  <si>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</si>
  <si>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</si>
  <si>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</si>
  <si>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</si>
  <si>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</si>
  <si>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</si>
  <si>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</si>
  <si>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</si>
  <si>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</si>
  <si>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</si>
  <si>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</si>
  <si>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</si>
  <si>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</si>
  <si>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</si>
  <si>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</si>
  <si>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</si>
  <si>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</si>
  <si>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</si>
  <si>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</si>
  <si>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</si>
  <si>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</si>
  <si>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</si>
  <si>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</si>
  <si>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</si>
  <si>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</si>
  <si>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</si>
  <si>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</si>
  <si>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</si>
  <si>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</si>
  <si>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</si>
  <si>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</si>
  <si>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</si>
  <si>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</si>
  <si>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</si>
  <si>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</si>
  <si>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</si>
  <si>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</si>
  <si>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</si>
  <si>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</si>
  <si>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</si>
  <si>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</si>
  <si>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</si>
  <si>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</si>
  <si>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</si>
  <si>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</si>
  <si>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</si>
  <si>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</si>
  <si>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</si>
  <si>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</si>
  <si>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</si>
  <si>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</si>
  <si>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</si>
  <si>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</si>
  <si>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</si>
  <si>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</si>
  <si>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</si>
  <si>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</si>
  <si>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</si>
  <si>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</si>
  <si>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</si>
  <si>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</si>
  <si>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</si>
  <si>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</si>
  <si>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</si>
  <si>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</si>
  <si>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</si>
  <si>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</si>
  <si>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</si>
  <si>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</si>
  <si>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</si>
  <si>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</si>
  <si>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</si>
  <si>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</si>
  <si>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</si>
  <si>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</si>
  <si>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</si>
  <si>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</si>
  <si>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</si>
  <si>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</si>
  <si>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</si>
  <si>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</si>
  <si>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</si>
  <si>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</si>
  <si>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</si>
  <si>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</si>
  <si>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</si>
  <si>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</si>
  <si>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</si>
  <si>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</si>
  <si>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</si>
  <si>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</si>
  <si>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</si>
  <si>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</si>
  <si>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</si>
  <si>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</si>
  <si>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</si>
  <si>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</si>
  <si>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</si>
  <si>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</si>
  <si>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</si>
  <si>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</si>
  <si>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</si>
  <si>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</si>
  <si>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</si>
  <si>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</si>
  <si>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</si>
  <si>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</si>
  <si>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</si>
  <si>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</si>
  <si>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</si>
  <si>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</si>
  <si>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</si>
  <si>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</si>
  <si>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</si>
  <si>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</si>
  <si>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</si>
  <si>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</si>
  <si>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</si>
  <si>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</si>
  <si>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</si>
  <si>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</si>
  <si>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</si>
  <si>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</si>
  <si>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</si>
  <si>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</si>
  <si>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</si>
  <si>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</si>
  <si>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</si>
  <si>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</si>
  <si>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</si>
  <si>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</si>
  <si>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</si>
  <si>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</si>
  <si>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</si>
  <si>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</si>
  <si>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</si>
  <si>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</si>
  <si>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</si>
  <si>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</si>
  <si>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</si>
  <si>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</si>
  <si>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</si>
  <si>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</si>
  <si>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</si>
  <si>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</si>
  <si>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</si>
  <si>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</si>
  <si>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</si>
  <si>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</si>
  <si>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</si>
  <si>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</si>
  <si>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</si>
  <si>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</si>
  <si>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</si>
  <si>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</si>
  <si>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</si>
  <si>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</si>
  <si>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</si>
  <si>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</si>
  <si>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</si>
  <si>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</si>
  <si>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</si>
  <si>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</si>
  <si>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</si>
  <si>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</si>
  <si>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</si>
  <si>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</si>
  <si>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</si>
  <si>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</si>
  <si>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</si>
  <si>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</si>
  <si>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</si>
  <si>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</si>
  <si>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</si>
  <si>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</si>
  <si>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</si>
  <si>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</si>
  <si>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</si>
  <si>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</si>
  <si>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</si>
  <si>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</si>
  <si>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</si>
  <si>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</si>
  <si>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</si>
  <si>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</si>
  <si>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</si>
  <si>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</si>
  <si>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</si>
  <si>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</si>
  <si>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</si>
  <si>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</si>
  <si>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</si>
  <si>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</si>
  <si>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</si>
  <si>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</si>
  <si>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</si>
  <si>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</si>
  <si>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</si>
  <si>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</si>
  <si>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</si>
  <si>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</si>
  <si>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</si>
  <si>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</si>
  <si>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</si>
  <si>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</si>
  <si>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</si>
  <si>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</si>
  <si>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</si>
  <si>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</si>
  <si>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</si>
  <si>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</si>
  <si>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</si>
  <si>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</si>
  <si>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</si>
  <si>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</si>
  <si>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</si>
  <si>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</si>
  <si>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</si>
  <si>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</si>
  <si>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</si>
  <si>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</si>
  <si>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</si>
  <si>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</si>
  <si>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</si>
  <si>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</si>
  <si>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</si>
  <si>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</si>
  <si>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</si>
  <si>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</si>
  <si>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</si>
  <si>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</si>
  <si>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</si>
  <si>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</si>
  <si>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</si>
  <si>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</si>
  <si>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</si>
  <si>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</si>
  <si>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</si>
  <si>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</si>
  <si>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</si>
  <si>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</si>
  <si>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</si>
  <si>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</si>
  <si>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</si>
  <si>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</si>
  <si>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</si>
  <si>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</si>
  <si>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</si>
  <si>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</si>
  <si>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</si>
  <si>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</si>
  <si>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</si>
  <si>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</si>
  <si>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</si>
  <si>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</si>
  <si>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</si>
  <si>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</si>
  <si>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</si>
  <si>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</si>
  <si>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</si>
  <si>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</si>
  <si>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</si>
  <si>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</si>
  <si>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</si>
  <si>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</si>
  <si>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</si>
  <si>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</si>
  <si>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</si>
  <si>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</si>
  <si>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</si>
  <si>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</si>
  <si>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</si>
  <si>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</si>
  <si>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</si>
  <si>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</si>
  <si>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</si>
  <si>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</si>
  <si>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</si>
  <si>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</si>
  <si>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</si>
  <si>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</si>
  <si>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</si>
  <si>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</si>
  <si>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</si>
  <si>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</si>
  <si>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</si>
  <si>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</si>
  <si>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</si>
  <si>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</si>
  <si>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</si>
  <si>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</si>
  <si>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</si>
  <si>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</si>
  <si>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</si>
  <si>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</si>
  <si>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</si>
  <si>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</si>
  <si>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</si>
  <si>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</si>
  <si>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</si>
  <si>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</si>
  <si>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</si>
  <si>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</si>
  <si>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</si>
  <si>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</si>
  <si>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</si>
  <si>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</si>
  <si>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</si>
  <si>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</si>
  <si>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</si>
  <si>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</si>
  <si>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</si>
  <si>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</si>
  <si>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</si>
  <si>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</si>
  <si>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</si>
  <si>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</si>
  <si>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</si>
  <si>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</si>
  <si>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</si>
  <si>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</si>
  <si>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</si>
  <si>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</si>
  <si>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</si>
  <si>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</si>
  <si>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</si>
  <si>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</si>
  <si>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</si>
  <si>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</si>
  <si>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</si>
  <si>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</si>
  <si>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</si>
  <si>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</si>
  <si>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</si>
  <si>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</si>
  <si>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</si>
  <si>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</si>
  <si>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</si>
  <si>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</si>
  <si>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</si>
  <si>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</si>
  <si>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</si>
  <si>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</si>
  <si>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</si>
  <si>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</si>
  <si>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</si>
  <si>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</si>
  <si>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</si>
  <si>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</si>
  <si>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</si>
  <si>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</si>
  <si>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</si>
  <si>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</si>
  <si>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</si>
  <si>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</si>
  <si>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</si>
  <si>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</si>
  <si>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</si>
  <si>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</si>
  <si>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</si>
  <si>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</si>
  <si>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</si>
  <si>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</si>
  <si>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</si>
  <si>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</si>
  <si>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</si>
  <si>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</si>
  <si>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</si>
  <si>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</si>
  <si>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</si>
  <si>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</si>
  <si>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</si>
  <si>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</si>
  <si>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</si>
  <si>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</si>
  <si>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</si>
  <si>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</si>
  <si>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</si>
  <si>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</si>
  <si>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</si>
  <si>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</si>
  <si>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</si>
  <si>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</si>
  <si>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</si>
  <si>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</si>
  <si>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</si>
  <si>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</si>
  <si>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</si>
  <si>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</si>
  <si>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</si>
  <si>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</si>
  <si>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</si>
  <si>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</si>
  <si>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</si>
  <si>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</si>
  <si>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</si>
  <si>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</si>
  <si>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</si>
  <si>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</si>
  <si>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</si>
  <si>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</si>
  <si>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</si>
  <si>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</si>
  <si>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</si>
  <si>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</si>
  <si>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</si>
  <si>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</si>
  <si>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</si>
  <si>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</si>
  <si>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</si>
  <si>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</si>
  <si>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</si>
  <si>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</si>
  <si>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</si>
  <si>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</si>
  <si>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</si>
  <si>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</si>
  <si>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</si>
  <si>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</si>
  <si>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</si>
  <si>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</si>
  <si>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</si>
  <si>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</si>
  <si>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</si>
  <si>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</si>
  <si>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</si>
  <si>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</si>
  <si>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</si>
  <si>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</si>
  <si>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</si>
  <si>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</si>
  <si>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</si>
  <si>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</si>
  <si>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</si>
  <si>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</si>
  <si>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</si>
  <si>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</si>
  <si>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</si>
  <si>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</si>
  <si>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</si>
  <si>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</si>
  <si>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</si>
  <si>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</si>
  <si>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</si>
  <si>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</si>
  <si>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</si>
  <si>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</si>
  <si>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</si>
  <si>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</si>
  <si>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</si>
  <si>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</si>
  <si>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</si>
  <si>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</si>
  <si>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</si>
  <si>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</si>
  <si>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</si>
  <si>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</si>
  <si>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</si>
  <si>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</si>
  <si>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</si>
  <si>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</si>
  <si>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</si>
  <si>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</si>
  <si>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</si>
  <si>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</si>
  <si>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</si>
  <si>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</si>
  <si>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</si>
  <si>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</si>
  <si>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</si>
  <si>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</si>
  <si>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</si>
  <si>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</si>
  <si>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</si>
  <si>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</si>
  <si>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</si>
  <si>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</si>
  <si>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</si>
  <si>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</si>
  <si>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</si>
  <si>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</si>
  <si>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</si>
  <si>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</si>
  <si>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</si>
  <si>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</si>
  <si>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</si>
  <si>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</si>
  <si>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</si>
  <si>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</si>
  <si>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</si>
  <si>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</si>
  <si>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</si>
  <si>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</si>
  <si>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</si>
  <si>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</si>
  <si>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</si>
  <si>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</si>
  <si>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</si>
  <si>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</si>
  <si>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</si>
  <si>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</si>
  <si>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</si>
  <si>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</si>
  <si>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</si>
  <si>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</si>
  <si>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</si>
  <si>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</si>
  <si>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</si>
  <si>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</si>
  <si>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</si>
  <si>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</si>
  <si>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</si>
  <si>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</si>
  <si>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</si>
  <si>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</si>
  <si>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</si>
  <si>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</si>
  <si>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</si>
  <si>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</si>
  <si>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</si>
  <si>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</si>
  <si>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</si>
  <si>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</si>
  <si>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</si>
  <si>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</si>
  <si>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</si>
  <si>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</si>
  <si>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</si>
  <si>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</si>
  <si>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</si>
  <si>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</si>
  <si>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</si>
  <si>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</si>
  <si>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</si>
  <si>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</si>
  <si>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</si>
  <si>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</si>
  <si>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</si>
  <si>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</si>
  <si>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</si>
  <si>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</si>
  <si>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</si>
  <si>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</si>
  <si>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</si>
  <si>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</si>
  <si>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</si>
  <si>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</si>
  <si>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</si>
  <si>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</si>
  <si>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</si>
  <si>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</si>
  <si>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</si>
  <si>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</si>
  <si>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</si>
  <si>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</si>
  <si>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</si>
  <si>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</si>
  <si>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</si>
  <si>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</si>
  <si>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</si>
  <si>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</si>
  <si>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</si>
  <si>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</si>
  <si>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</si>
  <si>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</si>
  <si>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</si>
  <si>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</si>
  <si>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</si>
  <si>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</si>
  <si>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</si>
  <si>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</si>
  <si>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</si>
  <si>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</si>
  <si>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</si>
  <si>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</si>
  <si>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</si>
  <si>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</si>
  <si>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</si>
  <si>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</si>
  <si>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</si>
  <si>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</si>
  <si>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</si>
  <si>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</si>
  <si>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</si>
  <si>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</si>
  <si>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</si>
  <si>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</si>
  <si>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</si>
  <si>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</si>
  <si>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</si>
  <si>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</si>
  <si>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</si>
  <si>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</si>
  <si>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</si>
  <si>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</si>
  <si>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</si>
  <si>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</si>
  <si>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</si>
  <si>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</si>
  <si>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</si>
  <si>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</si>
  <si>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</si>
  <si>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</si>
  <si>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</si>
  <si>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</si>
  <si>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</si>
  <si>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</si>
  <si>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</si>
  <si>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</si>
  <si>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</si>
  <si>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</si>
  <si>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</si>
  <si>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</si>
  <si>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</si>
  <si>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</si>
  <si>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</si>
  <si>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</si>
  <si>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</si>
  <si>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</si>
  <si>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</si>
  <si>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</si>
  <si>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</si>
  <si>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</si>
  <si>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</si>
  <si>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</si>
  <si>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</si>
  <si>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</si>
  <si>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</si>
  <si>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</si>
  <si>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</si>
  <si>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</si>
  <si>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</si>
  <si>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</si>
  <si>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</si>
  <si>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</si>
  <si>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</si>
  <si>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</si>
  <si>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</si>
  <si>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</si>
  <si>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</si>
  <si>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</si>
  <si>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</si>
  <si>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</si>
  <si>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</si>
  <si>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</si>
  <si>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</si>
  <si>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</si>
  <si>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</si>
  <si>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</si>
  <si>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</si>
  <si>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</si>
  <si>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</si>
  <si>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</si>
  <si>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</si>
  <si>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</si>
  <si>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</si>
  <si>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</si>
  <si>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</si>
  <si>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</si>
  <si>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</si>
  <si>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</si>
  <si>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</si>
  <si>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</si>
  <si>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</si>
  <si>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</si>
  <si>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</si>
  <si>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</si>
  <si>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</si>
  <si>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</si>
  <si>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</si>
  <si>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</si>
  <si>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</si>
  <si>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</si>
  <si>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</si>
  <si>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</si>
  <si>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</si>
  <si>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</si>
  <si>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</si>
  <si>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</si>
  <si>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</si>
  <si>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</si>
  <si>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</si>
  <si>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</si>
  <si>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</si>
  <si>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</si>
  <si>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</si>
  <si>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</si>
  <si>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</si>
  <si>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</si>
  <si>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</si>
  <si>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</si>
  <si>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</si>
  <si>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</si>
  <si>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</si>
  <si>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</si>
  <si>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</si>
  <si>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</si>
  <si>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</si>
  <si>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</si>
  <si>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</si>
  <si>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</si>
  <si>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</si>
  <si>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</si>
  <si>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</si>
  <si>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</si>
  <si>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</si>
  <si>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</si>
  <si>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</si>
  <si>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</si>
  <si>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</si>
  <si>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</si>
  <si>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</si>
  <si>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</si>
  <si>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</si>
  <si>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</si>
  <si>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</si>
  <si>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</si>
  <si>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</si>
  <si>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</si>
  <si>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</si>
  <si>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</si>
  <si>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</si>
  <si>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</si>
  <si>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</si>
  <si>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</si>
  <si>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</si>
  <si>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</si>
  <si>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</si>
  <si>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</si>
  <si>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</si>
  <si>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</si>
  <si>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</si>
  <si>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</si>
  <si>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</si>
  <si>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</si>
  <si>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</si>
  <si>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</si>
  <si>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</si>
  <si>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</si>
  <si>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</si>
  <si>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</si>
  <si>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</si>
  <si>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</si>
  <si>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</si>
  <si>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</si>
  <si>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</si>
  <si>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</si>
  <si>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</si>
  <si>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</si>
  <si>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</si>
  <si>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</si>
  <si>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</si>
  <si>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</si>
  <si>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</si>
  <si>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</si>
  <si>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</si>
  <si>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</si>
  <si>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</si>
  <si>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</si>
  <si>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</si>
  <si>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</si>
  <si>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</si>
  <si>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</si>
  <si>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</si>
  <si>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</si>
  <si>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</si>
  <si>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</si>
  <si>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</si>
  <si>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</si>
  <si>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</si>
  <si>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</si>
  <si>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</si>
  <si>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</si>
  <si>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</si>
  <si>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</si>
  <si>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</si>
  <si>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</si>
  <si>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</si>
  <si>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</si>
  <si>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</si>
  <si>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</si>
  <si>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</si>
  <si>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</si>
  <si>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</si>
  <si>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</si>
  <si>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</si>
  <si>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</si>
  <si>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</si>
  <si>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</si>
  <si>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</si>
  <si>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</si>
  <si>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</si>
  <si>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</si>
  <si>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</si>
  <si>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</si>
  <si>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</si>
  <si>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</si>
  <si>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</si>
  <si>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</si>
  <si>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</si>
  <si>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</si>
  <si>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</si>
  <si>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</si>
  <si>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</si>
  <si>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</si>
  <si>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</si>
  <si>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</si>
  <si>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</si>
  <si>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</si>
  <si>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</si>
  <si>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</si>
  <si>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</si>
  <si>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</si>
  <si>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</si>
  <si>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</si>
  <si>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</si>
  <si>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</si>
  <si>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</si>
  <si>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</si>
  <si>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</si>
  <si>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</si>
  <si>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</si>
  <si>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</si>
  <si>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</si>
  <si>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</si>
  <si>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</si>
  <si>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</si>
  <si>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</si>
  <si>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</si>
  <si>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</si>
  <si>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</si>
  <si>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</si>
  <si>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</si>
  <si>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</si>
  <si>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</si>
  <si>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</si>
  <si>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</si>
  <si>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</si>
  <si>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</si>
  <si>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</si>
  <si>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</si>
  <si>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</si>
  <si>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</si>
  <si>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</si>
  <si>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</si>
  <si>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</si>
  <si>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</si>
  <si>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</si>
  <si>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</si>
  <si>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</si>
  <si>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</si>
  <si>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</si>
  <si>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</si>
  <si>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</si>
  <si>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</si>
  <si>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</si>
  <si>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</si>
  <si>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</si>
  <si>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</si>
  <si>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</si>
  <si>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</si>
  <si>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</si>
  <si>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</si>
  <si>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</si>
  <si>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</si>
  <si>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</si>
  <si>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</si>
  <si>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</si>
  <si>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</si>
  <si>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</si>
  <si>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</si>
  <si>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</si>
  <si>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</si>
  <si>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</si>
  <si>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</si>
  <si>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</si>
  <si>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</si>
  <si>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</si>
  <si>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</si>
  <si>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</si>
  <si>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</si>
  <si>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</si>
  <si>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</si>
  <si>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</si>
  <si>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</si>
  <si>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</si>
  <si>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</si>
  <si>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</si>
  <si>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</si>
  <si>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</si>
  <si>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</si>
  <si>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</si>
  <si>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</si>
  <si>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</si>
  <si>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</si>
  <si>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</si>
  <si>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</si>
  <si>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</si>
  <si>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</si>
  <si>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</si>
  <si>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</si>
  <si>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</si>
  <si>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</si>
  <si>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</si>
  <si>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</si>
  <si>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</si>
  <si>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</si>
  <si>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</si>
  <si>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</si>
  <si>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</si>
  <si>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</si>
  <si>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</si>
  <si>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</si>
  <si>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</si>
  <si>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</si>
  <si>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</si>
  <si>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</si>
  <si>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</si>
  <si>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</si>
  <si>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</si>
  <si>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</si>
  <si>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</si>
  <si>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</si>
  <si>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</si>
  <si>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</si>
  <si>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</si>
  <si>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</si>
  <si>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</si>
  <si>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</si>
  <si>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</si>
  <si>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</si>
  <si>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</si>
  <si>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</si>
  <si>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</si>
  <si>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</si>
  <si>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</si>
  <si>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</si>
  <si>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</si>
  <si>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</si>
  <si>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</si>
  <si>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</si>
  <si>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</si>
  <si>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</si>
  <si>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</si>
  <si>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</si>
  <si>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</si>
  <si>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</si>
  <si>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</si>
  <si>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</si>
  <si>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</si>
  <si>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</si>
  <si>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</si>
  <si>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</si>
  <si>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</si>
  <si>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</si>
  <si>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</si>
  <si>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</si>
  <si>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</si>
  <si>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</si>
  <si>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</si>
  <si>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</si>
  <si>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</si>
  <si>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</si>
  <si>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</si>
  <si>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</si>
  <si>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</si>
  <si>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</si>
  <si>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</si>
  <si>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</si>
  <si>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</si>
  <si>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</si>
  <si>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</si>
  <si>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</si>
  <si>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</si>
  <si>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</si>
  <si>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</si>
  <si>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</si>
  <si>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</si>
  <si>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</si>
  <si>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</si>
  <si>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</si>
  <si>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</si>
  <si>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</si>
  <si>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</si>
  <si>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</si>
  <si>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</si>
  <si>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</si>
  <si>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</si>
  <si>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</si>
  <si>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</si>
  <si>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</si>
  <si>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</si>
  <si>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</si>
  <si>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</si>
  <si>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</si>
  <si>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</si>
  <si>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</si>
  <si>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</si>
  <si>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</si>
  <si>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</si>
  <si>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</si>
  <si>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</si>
  <si>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</si>
  <si>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</si>
  <si>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</si>
  <si>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</si>
  <si>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</si>
  <si>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</si>
  <si>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</si>
  <si>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</si>
  <si>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</si>
  <si>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</si>
  <si>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</si>
  <si>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</si>
  <si>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</si>
  <si>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</si>
  <si>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</si>
  <si>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</si>
  <si>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</si>
  <si>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</si>
  <si>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</si>
  <si>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</si>
  <si>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</si>
  <si>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</si>
  <si>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</si>
  <si>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</si>
  <si>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</si>
  <si>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</si>
  <si>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</si>
  <si>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</si>
  <si>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</si>
  <si>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</si>
  <si>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</si>
  <si>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</si>
  <si>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</si>
  <si>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</si>
  <si>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</si>
  <si>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</si>
  <si>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</si>
  <si>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</si>
  <si>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</si>
  <si>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</si>
  <si>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</si>
  <si>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</si>
  <si>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</si>
  <si>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</si>
  <si>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</si>
  <si>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</si>
  <si>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</si>
  <si>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</si>
  <si>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</si>
  <si>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</si>
  <si>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</si>
  <si>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</si>
  <si>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</si>
  <si>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</si>
  <si>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</si>
  <si>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</si>
  <si>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</si>
  <si>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</si>
  <si>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</si>
  <si>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</si>
  <si>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</si>
  <si>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</si>
  <si>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</si>
  <si>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</si>
  <si>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</si>
  <si>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</si>
  <si>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</si>
  <si>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</si>
  <si>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</si>
  <si>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</si>
  <si>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</si>
  <si>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</si>
  <si>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</si>
  <si>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</si>
  <si>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</si>
  <si>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</si>
  <si>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</si>
  <si>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</si>
  <si>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</si>
  <si>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</si>
  <si>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</si>
  <si>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</si>
  <si>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</si>
  <si>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</si>
  <si>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</si>
  <si>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</si>
  <si>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</si>
  <si>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</si>
  <si>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</si>
  <si>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</si>
  <si>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</si>
  <si>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</si>
  <si>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</si>
  <si>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</si>
  <si>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</si>
  <si>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</si>
  <si>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</si>
  <si>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</si>
  <si>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</si>
  <si>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</si>
  <si>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</si>
  <si>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</si>
  <si>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</si>
  <si>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</si>
  <si>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</si>
  <si>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</si>
  <si>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</si>
  <si>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</si>
  <si>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</si>
  <si>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</si>
  <si>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</si>
  <si>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</si>
  <si>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</si>
  <si>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</si>
  <si>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</si>
  <si>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</si>
  <si>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</si>
  <si>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</si>
  <si>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</si>
  <si>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</si>
  <si>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</si>
  <si>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</si>
  <si>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</si>
  <si>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</si>
  <si>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</si>
  <si>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</si>
  <si>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</si>
  <si>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</si>
  <si>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</si>
  <si>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</si>
  <si>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</si>
  <si>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</si>
  <si>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</si>
  <si>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</si>
  <si>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</si>
  <si>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</si>
  <si>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</si>
  <si>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</si>
  <si>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</si>
  <si>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</si>
  <si>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</si>
  <si>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</si>
  <si>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</si>
  <si>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</si>
  <si>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</si>
  <si>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</si>
  <si>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</si>
  <si>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</si>
  <si>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</si>
  <si>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</si>
  <si>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</si>
  <si>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</si>
  <si>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</si>
  <si>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</si>
  <si>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</si>
  <si>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</si>
  <si>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</si>
  <si>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</si>
  <si>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</si>
  <si>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</si>
  <si>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</si>
  <si>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</si>
  <si>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</si>
  <si>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</si>
  <si>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</si>
  <si>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</si>
  <si>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</si>
  <si>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</si>
  <si>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</si>
  <si>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</si>
  <si>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</si>
  <si>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</si>
  <si>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</si>
  <si>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</si>
  <si>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</si>
  <si>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</si>
  <si>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</si>
  <si>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</si>
  <si>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</si>
  <si>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</si>
  <si>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</si>
  <si>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</si>
  <si>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</si>
  <si>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</si>
  <si>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</si>
  <si>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</si>
  <si>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</si>
  <si>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</si>
  <si>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</si>
  <si>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</si>
  <si>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</si>
  <si>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</si>
  <si>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</si>
  <si>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</si>
  <si>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</si>
  <si>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</si>
  <si>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</si>
  <si>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</si>
  <si>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</si>
  <si>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</si>
  <si>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</si>
  <si>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</si>
  <si>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</si>
  <si>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</si>
  <si>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</si>
  <si>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</si>
  <si>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</si>
  <si>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</si>
  <si>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</si>
  <si>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</si>
  <si>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</si>
  <si>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</si>
  <si>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</si>
  <si>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</si>
  <si>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</si>
  <si>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</si>
  <si>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</si>
  <si>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</si>
  <si>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</si>
  <si>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</si>
  <si>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</si>
  <si>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</si>
  <si>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</si>
  <si>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</si>
  <si>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</si>
  <si>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</si>
  <si>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</si>
  <si>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</si>
  <si>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</si>
  <si>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</si>
  <si>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</si>
  <si>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</si>
  <si>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</si>
  <si>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</si>
  <si>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</si>
  <si>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</si>
  <si>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</si>
  <si>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</si>
  <si>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</si>
  <si>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</si>
  <si>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</si>
  <si>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</si>
  <si>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</si>
  <si>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</si>
  <si>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</si>
  <si>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</si>
  <si>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</si>
  <si>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</si>
  <si>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</si>
  <si>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</si>
  <si>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</si>
  <si>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</si>
  <si>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</si>
  <si>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</si>
  <si>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</si>
  <si>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</si>
  <si>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</si>
  <si>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</si>
  <si>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</si>
  <si>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</si>
  <si>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</si>
  <si>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</si>
  <si>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</si>
  <si>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</si>
  <si>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</si>
  <si>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</si>
  <si>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</si>
  <si>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</si>
  <si>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</si>
  <si>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</si>
  <si>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</si>
  <si>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</si>
  <si>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</si>
  <si>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</si>
  <si>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</si>
  <si>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</si>
  <si>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</si>
  <si>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</si>
  <si>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</si>
  <si>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</si>
  <si>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</si>
  <si>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</si>
  <si>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</si>
  <si>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</si>
  <si>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</si>
  <si>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</si>
  <si>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</si>
  <si>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</si>
  <si>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</si>
  <si>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</si>
  <si>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</si>
  <si>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</si>
  <si>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</si>
  <si>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</si>
  <si>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</si>
  <si>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</si>
  <si>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</si>
  <si>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</si>
  <si>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</si>
  <si>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</si>
  <si>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</si>
  <si>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</si>
  <si>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</si>
  <si>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</si>
  <si>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</si>
  <si>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</si>
  <si>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</si>
  <si>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</si>
  <si>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</si>
  <si>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</si>
  <si>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</si>
  <si>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</si>
  <si>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</si>
  <si>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</si>
  <si>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</si>
  <si>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</si>
  <si>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</si>
  <si>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</si>
  <si>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</si>
  <si>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</si>
  <si>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</si>
  <si>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</si>
  <si>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</si>
  <si>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</si>
  <si>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</si>
  <si>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</si>
  <si>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</si>
  <si>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</si>
  <si>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</si>
  <si>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</si>
  <si>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</si>
  <si>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</si>
  <si>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</si>
  <si>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</si>
  <si>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</si>
  <si>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</si>
  <si>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</si>
  <si>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</si>
  <si>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</si>
  <si>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</si>
  <si>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</si>
  <si>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</si>
  <si>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</si>
  <si>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</si>
  <si>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</si>
  <si>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</si>
  <si>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</si>
  <si>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</si>
  <si>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</si>
  <si>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</si>
  <si>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</si>
  <si>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</si>
  <si>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</si>
  <si>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</si>
  <si>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</si>
  <si>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</si>
  <si>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</si>
  <si>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</si>
  <si>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</si>
  <si>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</si>
  <si>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</si>
  <si>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</si>
  <si>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</si>
  <si>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</si>
  <si>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</si>
  <si>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</si>
  <si>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</si>
  <si>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</si>
  <si>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</si>
  <si>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</si>
  <si>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</si>
  <si>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</si>
  <si>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</si>
  <si>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</si>
  <si>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</si>
  <si>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</si>
  <si>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</si>
  <si>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</si>
  <si>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</si>
  <si>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</si>
  <si>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</si>
  <si>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</si>
  <si>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</si>
  <si>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</si>
  <si>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</si>
  <si>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</si>
  <si>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</si>
  <si>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</si>
  <si>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</si>
  <si>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</si>
  <si>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</si>
  <si>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</si>
  <si>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</si>
  <si>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</si>
  <si>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</si>
  <si>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</si>
  <si>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</si>
  <si>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</si>
  <si>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</si>
  <si>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</si>
  <si>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</si>
  <si>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</si>
  <si>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</si>
  <si>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</si>
  <si>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</si>
  <si>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</si>
  <si>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</si>
  <si>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</si>
  <si>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</si>
  <si>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</si>
  <si>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</si>
  <si>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</si>
  <si>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</si>
  <si>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</si>
  <si>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</si>
  <si>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</si>
  <si>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</si>
  <si>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</si>
  <si>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</si>
  <si>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</si>
  <si>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</si>
  <si>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</si>
  <si>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</si>
  <si>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</si>
  <si>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</si>
  <si>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</si>
  <si>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</si>
  <si>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</si>
  <si>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</si>
  <si>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</si>
  <si>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</si>
  <si>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</si>
  <si>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</si>
  <si>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</si>
  <si>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</si>
  <si>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</si>
  <si>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</si>
  <si>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</si>
  <si>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</si>
  <si>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</si>
  <si>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</si>
  <si>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</si>
  <si>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</si>
  <si>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</si>
  <si>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</si>
  <si>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</si>
  <si>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</si>
  <si>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</si>
  <si>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</si>
  <si>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</si>
  <si>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</si>
  <si>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</si>
  <si>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</si>
  <si>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</si>
  <si>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</si>
  <si>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</si>
  <si>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</si>
  <si>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</si>
  <si>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</si>
  <si>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</si>
  <si>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</si>
  <si>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</si>
  <si>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</si>
  <si>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</si>
  <si>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</si>
  <si>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</si>
  <si>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</si>
  <si>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</si>
  <si>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</si>
  <si>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</si>
  <si>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</si>
  <si>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</si>
  <si>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</si>
  <si>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</si>
  <si>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</si>
  <si>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</si>
  <si>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</si>
  <si>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</si>
  <si>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</si>
  <si>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</si>
  <si>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</si>
  <si>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</si>
  <si>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</si>
  <si>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</si>
  <si>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</si>
  <si>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</si>
  <si>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</si>
  <si>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</si>
  <si>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</si>
  <si>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</si>
  <si>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</si>
  <si>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</si>
  <si>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</si>
  <si>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</si>
  <si>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</si>
  <si>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</si>
  <si>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</si>
  <si>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</si>
  <si>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</si>
  <si>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</si>
  <si>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</si>
  <si>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</si>
  <si>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</si>
  <si>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</si>
  <si>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</si>
  <si>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</si>
  <si>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</si>
  <si>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</si>
  <si>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</si>
  <si>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</si>
  <si>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</si>
  <si>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</si>
  <si>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</si>
  <si>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</si>
  <si>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</si>
  <si>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</si>
  <si>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</si>
  <si>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</si>
  <si>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</si>
  <si>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</si>
  <si>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</si>
  <si>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</si>
  <si>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</si>
  <si>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</si>
  <si>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</si>
  <si>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</si>
  <si>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</si>
  <si>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</si>
  <si>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</si>
  <si>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</si>
  <si>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</si>
  <si>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</si>
  <si>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</si>
  <si>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</si>
  <si>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</si>
  <si>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</si>
  <si>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</si>
  <si>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</si>
  <si>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</si>
  <si>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</si>
  <si>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</si>
  <si>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</si>
  <si>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</si>
  <si>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</si>
  <si>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</si>
  <si>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</si>
  <si>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</si>
  <si>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</si>
  <si>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</si>
  <si>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</si>
  <si>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</si>
  <si>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</si>
  <si>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</si>
  <si>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</si>
  <si>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</si>
  <si>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</si>
  <si>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</si>
  <si>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</si>
  <si>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</si>
  <si>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</si>
  <si>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</si>
  <si>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</si>
  <si>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</si>
  <si>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</si>
  <si>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</si>
  <si>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</si>
  <si>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</si>
  <si>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</si>
  <si>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</si>
  <si>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</si>
  <si>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</si>
  <si>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</si>
  <si>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</si>
  <si>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</si>
  <si>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</si>
  <si>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</si>
  <si>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</si>
  <si>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</si>
  <si>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</si>
  <si>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</si>
  <si>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</si>
  <si>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</si>
  <si>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</si>
  <si>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</si>
  <si>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</si>
  <si>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</si>
  <si>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</si>
  <si>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</si>
  <si>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</si>
  <si>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</si>
  <si>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</si>
  <si>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</si>
  <si>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</si>
  <si>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</si>
  <si>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</si>
  <si>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</si>
  <si>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</si>
  <si>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</si>
  <si>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</si>
  <si>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</si>
  <si>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</si>
  <si>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</si>
  <si>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</si>
  <si>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</si>
  <si>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</si>
  <si>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</si>
  <si>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</si>
  <si>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</si>
  <si>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</si>
  <si>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</si>
  <si>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</si>
  <si>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</si>
  <si>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</si>
  <si>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</si>
  <si>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</si>
  <si>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</si>
  <si>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</si>
  <si>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</si>
  <si>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</si>
  <si>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</si>
  <si>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</si>
  <si>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</si>
  <si>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</si>
  <si>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</si>
  <si>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</si>
  <si>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</si>
  <si>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</si>
  <si>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</si>
  <si>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</si>
  <si>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</si>
  <si>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</si>
  <si>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</si>
  <si>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</si>
  <si>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</si>
  <si>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</si>
  <si>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</si>
  <si>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</si>
  <si>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</si>
  <si>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</si>
  <si>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</si>
  <si>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</si>
  <si>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</si>
  <si>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</si>
  <si>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</si>
  <si>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</si>
  <si>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</si>
  <si>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</si>
  <si>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</si>
  <si>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</si>
  <si>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</si>
  <si>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</si>
  <si>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</si>
  <si>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</si>
  <si>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</si>
  <si>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</si>
  <si>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</si>
  <si>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</si>
  <si>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</si>
  <si>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</si>
  <si>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</si>
  <si>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</si>
  <si>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</si>
  <si>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</si>
  <si>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</si>
  <si>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</si>
  <si>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</si>
  <si>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</si>
  <si>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</si>
  <si>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</si>
  <si>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</si>
  <si>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</si>
  <si>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</si>
  <si>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</si>
  <si>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</si>
  <si>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</si>
  <si>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</si>
  <si>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</si>
  <si>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</si>
  <si>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</si>
  <si>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</si>
  <si>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</si>
  <si>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</si>
  <si>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</si>
  <si>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</si>
  <si>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</si>
  <si>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</si>
  <si>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</si>
  <si>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</si>
  <si>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</si>
  <si>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</si>
  <si>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</si>
  <si>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</si>
  <si>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</si>
  <si>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</si>
  <si>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</si>
  <si>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</si>
  <si>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</si>
  <si>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</si>
  <si>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</si>
  <si>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</si>
  <si>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</si>
  <si>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</si>
  <si>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</si>
  <si>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</si>
  <si>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</si>
  <si>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</si>
  <si>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</si>
  <si>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</si>
  <si>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</si>
  <si>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</si>
  <si>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</si>
  <si>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</si>
  <si>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</si>
  <si>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</si>
  <si>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</si>
  <si>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</si>
  <si>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</si>
  <si>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</si>
  <si>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</si>
  <si>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</si>
  <si>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</si>
  <si>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</si>
  <si>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</si>
  <si>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</si>
  <si>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</si>
  <si>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</si>
  <si>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</si>
  <si>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</si>
  <si>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</si>
  <si>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</si>
  <si>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</si>
  <si>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</si>
  <si>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</si>
  <si>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</si>
  <si>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</si>
  <si>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</si>
  <si>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</si>
  <si>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</si>
  <si>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</si>
  <si>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</si>
  <si>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</si>
  <si>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</si>
  <si>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</si>
  <si>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</si>
  <si>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</si>
  <si>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</si>
  <si>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</si>
  <si>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</si>
  <si>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</si>
  <si>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</si>
  <si>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</si>
  <si>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</si>
  <si>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</si>
  <si>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</si>
  <si>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</si>
  <si>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</si>
  <si>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</si>
  <si>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</si>
  <si>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</si>
  <si>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</si>
  <si>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</si>
  <si>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</si>
  <si>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</si>
  <si>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</si>
  <si>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</si>
  <si>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</si>
  <si>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</si>
  <si>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</si>
  <si>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</si>
  <si>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</si>
  <si>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</si>
  <si>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</si>
  <si>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</si>
  <si>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</si>
  <si>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</si>
  <si>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</si>
  <si>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</si>
  <si>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</si>
  <si>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</si>
  <si>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</si>
  <si>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</si>
  <si>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</si>
  <si>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</si>
  <si>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</si>
  <si>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</si>
  <si>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</si>
  <si>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</si>
  <si>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</si>
  <si>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</si>
  <si>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</si>
  <si>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</si>
  <si>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</si>
  <si>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</si>
  <si>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</si>
  <si>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</si>
  <si>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</si>
  <si>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</si>
  <si>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</si>
  <si>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</si>
  <si>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</si>
  <si>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</si>
  <si>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</si>
  <si>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</si>
  <si>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</si>
  <si>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</si>
  <si>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</si>
  <si>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</si>
  <si>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</si>
  <si>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</si>
  <si>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</si>
  <si>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</si>
  <si>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</si>
  <si>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</si>
  <si>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</si>
  <si>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</si>
  <si>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</si>
  <si>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</si>
  <si>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</si>
  <si>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</si>
  <si>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</si>
  <si>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</si>
  <si>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</si>
  <si>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</si>
  <si>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</si>
  <si>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</si>
  <si>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</si>
  <si>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</si>
  <si>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</si>
  <si>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</si>
  <si>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</si>
  <si>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</si>
  <si>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</si>
  <si>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</si>
  <si>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</si>
  <si>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</si>
  <si>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</si>
  <si>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</si>
  <si>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</si>
  <si>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</si>
  <si>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</si>
  <si>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</si>
  <si>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</si>
  <si>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</si>
  <si>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</si>
  <si>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</si>
  <si>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</si>
  <si>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</si>
  <si>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</si>
  <si>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</si>
  <si>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</si>
  <si>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</si>
  <si>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</si>
  <si>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</si>
  <si>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</si>
  <si>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</si>
  <si>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</si>
  <si>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</si>
  <si>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</si>
  <si>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</si>
  <si>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</si>
  <si>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</si>
  <si>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</si>
  <si>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</si>
  <si>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</si>
  <si>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</si>
  <si>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</si>
  <si>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</si>
  <si>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</si>
  <si>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</si>
  <si>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</si>
  <si>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</si>
  <si>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</si>
  <si>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</si>
  <si>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</si>
  <si>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</si>
  <si>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</si>
  <si>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</si>
  <si>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</si>
  <si>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</si>
  <si>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</si>
  <si>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</si>
  <si>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</si>
  <si>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</si>
  <si>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</si>
  <si>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</si>
  <si>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</si>
  <si>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</si>
  <si>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</si>
  <si>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</si>
  <si>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</si>
  <si>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</si>
  <si>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</si>
  <si>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</si>
  <si>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</si>
  <si>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</si>
  <si>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</si>
  <si>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</si>
  <si>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</si>
  <si>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</si>
  <si>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</si>
  <si>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</si>
  <si>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</si>
  <si>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</si>
  <si>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</si>
  <si>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</si>
  <si>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</si>
  <si>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</si>
  <si>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</si>
  <si>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</si>
  <si>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</si>
  <si>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</si>
  <si>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</si>
  <si>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</si>
  <si>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</si>
  <si>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</si>
  <si>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</si>
  <si>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</si>
  <si>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</si>
  <si>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</si>
  <si>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</si>
  <si>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</si>
  <si>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</si>
  <si>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</si>
  <si>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</si>
  <si>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</si>
  <si>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</si>
  <si>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</si>
  <si>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</si>
  <si>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</si>
  <si>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</si>
  <si>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</si>
  <si>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</si>
  <si>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</si>
  <si>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</si>
  <si>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</si>
  <si>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</si>
  <si>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</si>
  <si>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</si>
  <si>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</si>
  <si>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</si>
  <si>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</si>
  <si>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</si>
  <si>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</si>
  <si>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</si>
  <si>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</si>
  <si>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</si>
  <si>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</si>
  <si>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</si>
  <si>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</si>
  <si>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</si>
  <si>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</si>
  <si>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</si>
  <si>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</si>
  <si>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</si>
  <si>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</si>
  <si>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</si>
  <si>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</si>
  <si>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</si>
  <si>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</si>
  <si>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</si>
  <si>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</si>
  <si>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</si>
  <si>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</si>
  <si>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</si>
  <si>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</si>
  <si>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</si>
  <si>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</si>
  <si>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</si>
  <si>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</si>
  <si>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</si>
  <si>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</si>
  <si>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</si>
  <si>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</si>
  <si>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</si>
  <si>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</si>
  <si>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</si>
  <si>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</si>
  <si>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北京昌平科技园发展有限公司</t>
    <phoneticPr fontId="6" type="noConversion"/>
  </si>
  <si>
    <t>北京市</t>
  </si>
  <si>
    <r>
      <rPr>
        <sz val="12"/>
        <color theme="9" tint="-0.249977111117893"/>
        <rFont val="宋体"/>
        <family val="3"/>
        <charset val="134"/>
      </rPr>
      <t>昌平区昌盛路</t>
    </r>
    <r>
      <rPr>
        <sz val="12"/>
        <color theme="9" tint="-0.249977111117893"/>
        <rFont val="Arial"/>
        <family val="2"/>
      </rPr>
      <t>12</t>
    </r>
    <r>
      <rPr>
        <sz val="12"/>
        <color theme="9" tint="-0.249977111117893"/>
        <rFont val="宋体"/>
        <family val="3"/>
        <charset val="134"/>
      </rPr>
      <t>号院</t>
    </r>
    <phoneticPr fontId="6" type="noConversion"/>
  </si>
  <si>
    <t>企业</t>
  </si>
  <si>
    <t>出让</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</si>
  <si>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0012989</t>
    </r>
    <r>
      <rPr>
        <sz val="12"/>
        <color theme="9" tint="-0.249977111117893"/>
        <rFont val="宋体"/>
        <family val="3"/>
        <charset val="134"/>
      </rPr>
      <t>、</t>
    </r>
    <r>
      <rPr>
        <sz val="12"/>
        <color theme="9" tint="-0.249977111117893"/>
        <rFont val="Arial"/>
        <family val="2"/>
      </rPr>
      <t>0013021</t>
    </r>
    <r>
      <rPr>
        <sz val="12"/>
        <color theme="9" tint="-0.249977111117893"/>
        <rFont val="宋体"/>
        <family val="3"/>
        <charset val="134"/>
      </rPr>
      <t>、</t>
    </r>
    <r>
      <rPr>
        <sz val="12"/>
        <color theme="9" tint="-0.249977111117893"/>
        <rFont val="Arial"/>
        <family val="2"/>
      </rPr>
      <t>0013097</t>
    </r>
    <r>
      <rPr>
        <sz val="12"/>
        <color theme="9" tint="-0.249977111117893"/>
        <rFont val="宋体"/>
        <family val="3"/>
        <charset val="134"/>
      </rPr>
      <t>、</t>
    </r>
    <r>
      <rPr>
        <sz val="12"/>
        <color theme="9" tint="-0.249977111117893"/>
        <rFont val="Arial"/>
        <family val="2"/>
      </rPr>
      <t>0013099</t>
    </r>
    <r>
      <rPr>
        <sz val="12"/>
        <color theme="9" tint="-0.249977111117893"/>
        <rFont val="宋体"/>
        <family val="3"/>
        <charset val="134"/>
      </rPr>
      <t>、</t>
    </r>
    <r>
      <rPr>
        <sz val="12"/>
        <color theme="9" tint="-0.249977111117893"/>
        <rFont val="Arial"/>
        <family val="2"/>
      </rPr>
      <t>0013651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及《估价范围清单》</t>
    </r>
    <phoneticPr fontId="6" type="noConversion"/>
  </si>
  <si>
    <t>估价委托人提供的《LOHAS总图》</t>
    <phoneticPr fontId="6" type="noConversion"/>
  </si>
  <si>
    <t>否</t>
  </si>
  <si>
    <t>《不动产权证书》</t>
  </si>
  <si>
    <t>现房</t>
  </si>
  <si>
    <t>工业项目</t>
  </si>
  <si>
    <t>通路</t>
  </si>
  <si>
    <t>通电</t>
  </si>
  <si>
    <t>通讯</t>
  </si>
  <si>
    <t>通上水</t>
  </si>
  <si>
    <t>通下水</t>
  </si>
  <si>
    <t>Ⅶ-昌平园北Ⅰ</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</si>
  <si>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</si>
  <si>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</si>
  <si>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</si>
  <si>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5</t>
    </r>
    <r>
      <rPr>
        <sz val="10"/>
        <color indexed="8"/>
        <rFont val="宋体"/>
        <family val="3"/>
        <charset val="134"/>
      </rPr>
      <t>号楼</t>
    </r>
    <phoneticPr fontId="3" type="noConversion"/>
  </si>
  <si>
    <r>
      <t>6</t>
    </r>
    <r>
      <rPr>
        <sz val="10"/>
        <color indexed="8"/>
        <rFont val="宋体"/>
        <family val="3"/>
        <charset val="134"/>
      </rPr>
      <t>号楼</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</si>
  <si>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0013651</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</si>
  <si>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0013099</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</si>
  <si>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0013021</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</si>
  <si>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0013097</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</si>
  <si>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0012989</t>
    </r>
    <r>
      <rPr>
        <sz val="10"/>
        <color indexed="8"/>
        <rFont val="宋体"/>
        <family val="3"/>
        <charset val="134"/>
      </rPr>
      <t>号</t>
    </r>
    <phoneticPr fontId="3" type="noConversion"/>
  </si>
  <si>
    <t>地上</t>
  </si>
  <si>
    <t>总土地面积</t>
    <phoneticPr fontId="143" type="noConversion"/>
  </si>
  <si>
    <t>总建筑面积</t>
    <phoneticPr fontId="143" type="noConversion"/>
  </si>
  <si>
    <t>本次评估范围</t>
    <phoneticPr fontId="143" type="noConversion"/>
  </si>
  <si>
    <t>本次分摊土地面积</t>
    <phoneticPr fontId="143" type="noConversion"/>
  </si>
  <si>
    <t>是</t>
  </si>
  <si>
    <t>工业用地</t>
  </si>
  <si>
    <t>容积率修正</t>
  </si>
  <si>
    <t>按公示增长率计算</t>
  </si>
  <si>
    <t>成新度</t>
  </si>
  <si>
    <t>五通一平</t>
  </si>
  <si>
    <t>缺少</t>
  </si>
  <si>
    <t>通热</t>
  </si>
  <si>
    <t>燃气</t>
  </si>
  <si>
    <t>未包含在土地购买价格中</t>
  </si>
  <si>
    <t>已包含在土地取得成本中</t>
  </si>
  <si>
    <t>钢混</t>
  </si>
  <si>
    <t>非生产用房</t>
  </si>
  <si>
    <t>购房成本</t>
    <phoneticPr fontId="143" type="noConversion"/>
  </si>
  <si>
    <t>1号楼</t>
    <phoneticPr fontId="143" type="noConversion"/>
  </si>
  <si>
    <t>2号楼</t>
    <phoneticPr fontId="143" type="noConversion"/>
  </si>
  <si>
    <t>3号楼</t>
    <phoneticPr fontId="143" type="noConversion"/>
  </si>
  <si>
    <t>5号楼</t>
    <phoneticPr fontId="143" type="noConversion"/>
  </si>
  <si>
    <t>6号楼</t>
    <phoneticPr fontId="143" type="noConversion"/>
  </si>
  <si>
    <t>自定义</t>
  </si>
  <si>
    <t>总价（元）</t>
    <phoneticPr fontId="143" type="noConversion"/>
  </si>
  <si>
    <t>建筑面积</t>
    <phoneticPr fontId="143" type="noConversion"/>
  </si>
  <si>
    <t>每平米单价</t>
    <phoneticPr fontId="143" type="noConversion"/>
  </si>
  <si>
    <t>地下</t>
  </si>
  <si>
    <t>仓储</t>
  </si>
  <si>
    <t>仓储</t>
    <phoneticPr fontId="16" type="noConversion"/>
  </si>
  <si>
    <t>（地上）</t>
    <phoneticPr fontId="143" type="noConversion"/>
  </si>
  <si>
    <t>收益法（地上）</t>
  </si>
  <si>
    <t>收益法 (地下)</t>
  </si>
  <si>
    <t>成本法</t>
  </si>
  <si>
    <t>估价对象位于乐华仕健康产业园，园区建设成熟度较好，周边有中国电子产品科技园等项目，产业集聚程度较好。</t>
    <phoneticPr fontId="41" type="noConversion"/>
  </si>
  <si>
    <t>好</t>
  </si>
  <si>
    <t>较好</t>
  </si>
  <si>
    <t>一般</t>
  </si>
  <si>
    <t>宗地形状较规则，但对宗地利用无不利影响。</t>
    <phoneticPr fontId="79" type="noConversion"/>
  </si>
  <si>
    <t>周边工业用地比例适当，区域土地利用方向较一致。</t>
    <phoneticPr fontId="25" type="noConversion"/>
  </si>
  <si>
    <t>双面临街</t>
  </si>
  <si>
    <t>城市次干道——昌盛路</t>
    <phoneticPr fontId="25" type="noConversion"/>
  </si>
  <si>
    <t>工业用房</t>
  </si>
  <si>
    <t>工业用房</t>
    <phoneticPr fontId="7" type="noConversion"/>
  </si>
  <si>
    <t>收益法</t>
  </si>
  <si>
    <r>
      <t>T</t>
    </r>
    <r>
      <rPr>
        <sz val="11"/>
        <color theme="1"/>
        <rFont val="宋体"/>
        <family val="3"/>
        <charset val="134"/>
        <scheme val="minor"/>
      </rPr>
      <t>BD</t>
    </r>
    <phoneticPr fontId="143" type="noConversion"/>
  </si>
  <si>
    <t>乐华仕</t>
    <phoneticPr fontId="143" type="noConversion"/>
  </si>
  <si>
    <r>
      <t>C</t>
    </r>
    <r>
      <rPr>
        <sz val="11"/>
        <color theme="1"/>
        <rFont val="宋体"/>
        <family val="3"/>
        <charset val="134"/>
        <scheme val="minor"/>
      </rPr>
      <t>PT</t>
    </r>
    <phoneticPr fontId="143" type="noConversion"/>
  </si>
  <si>
    <t>估价对象所在区域基础设施水平达到“七通”。</t>
    <phoneticPr fontId="25" type="noConversion"/>
  </si>
  <si>
    <t>押一</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</si>
  <si>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</si>
  <si>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</si>
  <si>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</si>
  <si>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</si>
  <si>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</si>
  <si>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</si>
  <si>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</si>
  <si>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</si>
  <si>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</si>
  <si>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</si>
  <si>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</si>
  <si>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</si>
  <si>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</si>
  <si>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北京经济技术开发区河西区X6-1M3地块</t>
  </si>
  <si>
    <t>挂牌</t>
  </si>
  <si>
    <t>2018-01-03</t>
  </si>
  <si>
    <t>北京佳讯云创科技有限公司</t>
  </si>
  <si>
    <t>顺义新城第14街区SY00-0014-6001M1一类工业用地项目</t>
  </si>
  <si>
    <t>2017-12-25</t>
  </si>
  <si>
    <t>北京星汉特种印刷有限公司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</si>
  <si>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</si>
  <si>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</si>
  <si>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</si>
  <si>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</si>
  <si>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</si>
  <si>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</si>
  <si>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</si>
  <si>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</si>
  <si>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</si>
  <si>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</si>
  <si>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</si>
  <si>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</si>
  <si>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</si>
  <si>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</si>
  <si>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</si>
  <si>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</si>
  <si>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</si>
  <si>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</si>
  <si>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</si>
  <si>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</si>
  <si>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北京经济技术开发区路东区B15M1地块</t>
  </si>
  <si>
    <t>1-1.5</t>
  </si>
  <si>
    <t>2017-03-23</t>
  </si>
  <si>
    <t>北京燕东微电子科技有限公司</t>
  </si>
  <si>
    <t>北京市高端制造业(房山)基地01街区01-03地块部分用地项目</t>
  </si>
  <si>
    <t>≤1.2</t>
  </si>
  <si>
    <t>北京天仁道和新材料有限公司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</si>
  <si>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</si>
  <si>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</si>
  <si>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</si>
  <si>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</si>
  <si>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</si>
  <si>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</si>
  <si>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北京石化新材料科技产业基地核心区东区B5-10(2)地块工业用地项目</t>
  </si>
  <si>
    <t>≤1.0</t>
  </si>
  <si>
    <t>2016-11-24</t>
  </si>
  <si>
    <t>北京环宇京辉京城气体科技有限公司</t>
  </si>
  <si>
    <t>北京高端制造业(房山)基地03街区F区工业用地项目</t>
  </si>
  <si>
    <t>北京中关村前沿技术产业发展有限公司</t>
  </si>
  <si>
    <t>顺义区金马工业区D1-01-1地块</t>
  </si>
  <si>
    <t>2016-10-25</t>
  </si>
  <si>
    <t>北京世纪澄通电子有限公司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</si>
  <si>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</si>
  <si>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</si>
  <si>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</si>
  <si>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</si>
  <si>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</si>
  <si>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</si>
  <si>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</si>
  <si>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</si>
  <si>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</si>
  <si>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</si>
  <si>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</si>
  <si>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</si>
  <si>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</si>
  <si>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</si>
  <si>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</si>
  <si>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平谷区新城北部产业用地F13地块用地项目</t>
  </si>
  <si>
    <t>北京兴谷中心企业创新投资管理有限公司</t>
  </si>
  <si>
    <t>北京经济技术开发区河西区X18-1M2地块工业项目</t>
  </si>
  <si>
    <t>2016-02-06</t>
  </si>
  <si>
    <t>阿尔特置业(北京)有限公司</t>
  </si>
  <si>
    <t>北京高端制造业基地03街区R区二期工业用地项目</t>
  </si>
  <si>
    <t>2016-02-01</t>
  </si>
  <si>
    <t>北京凯达恒业农业技术开发有限公司</t>
  </si>
  <si>
    <t>北京高端制造业基地03街区R区一期工业用地项目</t>
  </si>
  <si>
    <t>2016-01-28</t>
  </si>
  <si>
    <t>北京德信致远科技有限公司</t>
  </si>
  <si>
    <t>北京石化新材料科技产业基地核心区东区B5-01地块(部分用地)工业用地项目</t>
  </si>
  <si>
    <t>2016-01-25</t>
  </si>
  <si>
    <t>北京中植医药科技有限公司</t>
  </si>
  <si>
    <t>北京石化新材料科技产业基地核心区东区B2-24-04地块</t>
  </si>
  <si>
    <t>2015-12-24</t>
  </si>
  <si>
    <t>北京迅邦润泽物流有限公司</t>
  </si>
  <si>
    <t>北京经济技术开发区路南区N13M1地块</t>
  </si>
  <si>
    <t>通州物流基地YZ00-0606-0019地块W1物流用地</t>
  </si>
  <si>
    <t>2015-11-03</t>
  </si>
  <si>
    <t>北京北建通成国际物流有限公司</t>
  </si>
  <si>
    <t>通州物流基地YZ00-0606-0015地块W1物流用地</t>
  </si>
  <si>
    <t>昌平区南口镇工业项目用地(二期)</t>
  </si>
  <si>
    <t>2013-12-04</t>
  </si>
  <si>
    <t>北京市三一重机有限公司</t>
  </si>
  <si>
    <t>北京新能源汽车设计制造产业基地A地块及配套基础设施项目用地(二期)</t>
  </si>
  <si>
    <t>2013-11-13</t>
  </si>
  <si>
    <t>北汽福田汽车股份有限公司</t>
  </si>
  <si>
    <t>昌平区阳坊镇后白虎涧村南工业项目用地</t>
  </si>
  <si>
    <t>北京永联伟业电器设备有限公司</t>
  </si>
  <si>
    <t>北京新能源汽车设计制造产业基地A地块及配套基础设施项目用地(一期)</t>
  </si>
  <si>
    <t>2013-03-04</t>
  </si>
  <si>
    <t>北京福田康明斯发动机有限公司</t>
  </si>
  <si>
    <t>中关村科技园昌平园西区三期0208-71-3地块</t>
  </si>
  <si>
    <t>2012-06-26</t>
  </si>
  <si>
    <t>北京刘庄华星医药科技有限公司</t>
  </si>
  <si>
    <t>中关村科技园昌平园东区一期0303-74-3地块工业项目用地</t>
  </si>
  <si>
    <t>2011-10-08</t>
  </si>
  <si>
    <t>北京新雷能科技股份有限公司</t>
  </si>
  <si>
    <t>中关村国家工程技术创新基地B-05、B-06地块工业项目用地</t>
  </si>
  <si>
    <t>2011-09-20</t>
  </si>
  <si>
    <t>北京科技大学</t>
  </si>
  <si>
    <t>中关村科技园昌平园东区一期0303-74-6地块工业项目用地</t>
  </si>
  <si>
    <t>2011-08-17</t>
  </si>
  <si>
    <t>北京康比特体育科技股份有限公司</t>
  </si>
  <si>
    <t>昌平区南口镇工业项目用地(一期)</t>
  </si>
  <si>
    <t>2011-04-06</t>
  </si>
  <si>
    <t>三一电气有限责任公司</t>
  </si>
  <si>
    <t>中关村科技园昌平园东区一期*0303-74-5地块</t>
  </si>
  <si>
    <t>2011-01-27</t>
  </si>
  <si>
    <t>北京泰宁科创雨水利用技术股份有限公司</t>
  </si>
  <si>
    <t>中关村科技园昌平园西区三期0208-72-2地块</t>
  </si>
  <si>
    <t>中关村兴业(北京)高科技孵化器股份有限公司</t>
  </si>
  <si>
    <t>中关村科技园昌平园东区一期*0303-74-4地块</t>
  </si>
  <si>
    <t>北京雪迪龙科技股份有限公司</t>
  </si>
  <si>
    <t>中关村科技园昌平园东区一期0303-64、65地块工业项目用地国有建设用地</t>
  </si>
  <si>
    <t>2010-12-09</t>
  </si>
  <si>
    <t>北京中关村科学城建设股份有限公司</t>
  </si>
  <si>
    <t>昌平区沙河镇松兰堡村西工业项目用地国有建设用地</t>
  </si>
  <si>
    <t>北京玫而美时装有限责任公司</t>
  </si>
  <si>
    <t>中关村科技园昌平园西区三期0208-71-2地块工业项目用地</t>
  </si>
  <si>
    <t>2010-10-21</t>
  </si>
  <si>
    <t>北京首科凯奇电气技术有限公司</t>
  </si>
  <si>
    <t>序号</t>
    <phoneticPr fontId="143" type="noConversion"/>
  </si>
  <si>
    <t>租赁范围</t>
    <phoneticPr fontId="143" type="noConversion"/>
  </si>
  <si>
    <t>租金</t>
    <phoneticPr fontId="143" type="noConversion"/>
  </si>
  <si>
    <t>面积</t>
    <phoneticPr fontId="143" type="noConversion"/>
  </si>
  <si>
    <r>
      <t>1号楼</t>
    </r>
    <r>
      <rPr>
        <sz val="11"/>
        <color theme="1"/>
        <rFont val="宋体"/>
        <family val="3"/>
        <charset val="134"/>
        <scheme val="minor"/>
      </rPr>
      <t>6层614、615</t>
    </r>
    <phoneticPr fontId="143" type="noConversion"/>
  </si>
  <si>
    <t>（含物业费）</t>
    <phoneticPr fontId="143" type="noConversion"/>
  </si>
  <si>
    <t>租赁期限</t>
    <phoneticPr fontId="143" type="noConversion"/>
  </si>
  <si>
    <r>
      <t>2</t>
    </r>
    <r>
      <rPr>
        <sz val="11"/>
        <color theme="1"/>
        <rFont val="宋体"/>
        <family val="3"/>
        <charset val="134"/>
        <scheme val="minor"/>
      </rPr>
      <t>017.12.8-2021.1.7</t>
    </r>
    <phoneticPr fontId="143" type="noConversion"/>
  </si>
  <si>
    <r>
      <t>1号楼</t>
    </r>
    <r>
      <rPr>
        <sz val="11"/>
        <color theme="1"/>
        <rFont val="宋体"/>
        <family val="3"/>
        <charset val="134"/>
        <scheme val="minor"/>
      </rPr>
      <t>6层3部电梯南面第一个格子</t>
    </r>
    <phoneticPr fontId="143" type="noConversion"/>
  </si>
  <si>
    <r>
      <t>2</t>
    </r>
    <r>
      <rPr>
        <sz val="11"/>
        <color theme="1"/>
        <rFont val="宋体"/>
        <family val="3"/>
        <charset val="134"/>
        <scheme val="minor"/>
      </rPr>
      <t>018.2.1-2020.1.31</t>
    </r>
    <phoneticPr fontId="143" type="noConversion"/>
  </si>
  <si>
    <t>3号楼</t>
    <phoneticPr fontId="143" type="noConversion"/>
  </si>
  <si>
    <t>2017.8-1-2018.7.31</t>
    <phoneticPr fontId="143" type="noConversion"/>
  </si>
  <si>
    <t>（不含物业费）</t>
    <phoneticPr fontId="143" type="noConversion"/>
  </si>
  <si>
    <t>4.98（物业费）</t>
    <phoneticPr fontId="143" type="noConversion"/>
  </si>
  <si>
    <r>
      <t>5、</t>
    </r>
    <r>
      <rPr>
        <sz val="11"/>
        <color theme="1"/>
        <rFont val="宋体"/>
        <family val="3"/>
        <charset val="134"/>
        <scheme val="minor"/>
      </rPr>
      <t>6号楼</t>
    </r>
    <phoneticPr fontId="143" type="noConversion"/>
  </si>
  <si>
    <r>
      <t>2</t>
    </r>
    <r>
      <rPr>
        <sz val="11"/>
        <color theme="1"/>
        <rFont val="宋体"/>
        <family val="3"/>
        <charset val="134"/>
        <scheme val="minor"/>
      </rPr>
      <t>017.1.1-2017.12.31</t>
    </r>
    <phoneticPr fontId="143" type="noConversion"/>
  </si>
  <si>
    <r>
      <t>2</t>
    </r>
    <r>
      <rPr>
        <sz val="11"/>
        <color theme="1"/>
        <rFont val="宋体"/>
        <family val="3"/>
        <charset val="134"/>
        <scheme val="minor"/>
      </rPr>
      <t>018.1.1-2018.12.31</t>
    </r>
    <phoneticPr fontId="143" type="noConversion"/>
  </si>
  <si>
    <r>
      <t>2</t>
    </r>
    <r>
      <rPr>
        <sz val="11"/>
        <color theme="1"/>
        <rFont val="宋体"/>
        <family val="3"/>
        <charset val="134"/>
        <scheme val="minor"/>
      </rPr>
      <t>019.1.1-2019.12.31</t>
    </r>
    <phoneticPr fontId="143" type="noConversion"/>
  </si>
  <si>
    <r>
      <t>2</t>
    </r>
    <r>
      <rPr>
        <sz val="11"/>
        <color theme="1"/>
        <rFont val="宋体"/>
        <family val="3"/>
        <charset val="134"/>
        <scheme val="minor"/>
      </rPr>
      <t>020.1.1-2020.12.31</t>
    </r>
    <phoneticPr fontId="143" type="noConversion"/>
  </si>
  <si>
    <r>
      <t>2</t>
    </r>
    <r>
      <rPr>
        <sz val="11"/>
        <color theme="1"/>
        <rFont val="宋体"/>
        <family val="3"/>
        <charset val="134"/>
        <scheme val="minor"/>
      </rPr>
      <t>021.1.1-2021.12.31</t>
    </r>
    <phoneticPr fontId="143" type="noConversion"/>
  </si>
  <si>
    <r>
      <t>2</t>
    </r>
    <r>
      <rPr>
        <sz val="11"/>
        <color theme="1"/>
        <rFont val="宋体"/>
        <family val="3"/>
        <charset val="134"/>
        <scheme val="minor"/>
      </rPr>
      <t>022.1.1-2022.12.31</t>
    </r>
    <phoneticPr fontId="143" type="noConversion"/>
  </si>
  <si>
    <r>
      <t>2</t>
    </r>
    <r>
      <rPr>
        <sz val="11"/>
        <color theme="1"/>
        <rFont val="宋体"/>
        <family val="3"/>
        <charset val="134"/>
        <scheme val="minor"/>
      </rPr>
      <t>023.1.1-2023.12.31</t>
    </r>
    <phoneticPr fontId="143" type="noConversion"/>
  </si>
  <si>
    <r>
      <t>2</t>
    </r>
    <r>
      <rPr>
        <sz val="11"/>
        <color theme="1"/>
        <rFont val="宋体"/>
        <family val="3"/>
        <charset val="134"/>
        <scheme val="minor"/>
      </rPr>
      <t>024.1.1-2024.12.31</t>
    </r>
    <phoneticPr fontId="143" type="noConversion"/>
  </si>
  <si>
    <r>
      <t>2</t>
    </r>
    <r>
      <rPr>
        <sz val="11"/>
        <color theme="1"/>
        <rFont val="宋体"/>
        <family val="3"/>
        <charset val="134"/>
        <scheme val="minor"/>
      </rPr>
      <t>025.1.1-2025.12.31</t>
    </r>
    <phoneticPr fontId="143" type="noConversion"/>
  </si>
  <si>
    <r>
      <t>2</t>
    </r>
    <r>
      <rPr>
        <sz val="11"/>
        <color theme="1"/>
        <rFont val="宋体"/>
        <family val="3"/>
        <charset val="134"/>
        <scheme val="minor"/>
      </rPr>
      <t>026.1.1-2026.12.31</t>
    </r>
    <phoneticPr fontId="143" type="noConversion"/>
  </si>
  <si>
    <t>年递增</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</si>
  <si>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</si>
  <si>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</si>
  <si>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</si>
  <si>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</si>
  <si>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</si>
  <si>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</si>
  <si>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</si>
  <si>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</si>
  <si>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</si>
  <si>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</si>
  <si>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</si>
  <si>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</si>
  <si>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</si>
  <si>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</si>
  <si>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</si>
  <si>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</si>
  <si>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</si>
  <si>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</si>
  <si>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</si>
  <si>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</si>
  <si>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r>
      <t>2</t>
    </r>
    <r>
      <rPr>
        <sz val="11"/>
        <color theme="1"/>
        <rFont val="宋体"/>
        <family val="3"/>
        <charset val="134"/>
        <scheme val="minor"/>
      </rPr>
      <t>018.1.1-2018.12.31</t>
    </r>
    <phoneticPr fontId="143" type="noConversion"/>
  </si>
  <si>
    <t>2023.1.1-2023.12.31</t>
    <phoneticPr fontId="143" type="noConversion"/>
  </si>
  <si>
    <t>2024.1.1-2024.12.31</t>
    <phoneticPr fontId="143" type="noConversion"/>
  </si>
  <si>
    <t>2025.1.1-2025.12.31</t>
    <phoneticPr fontId="143" type="noConversion"/>
  </si>
  <si>
    <t>2026.1.1-2026.12.31</t>
    <phoneticPr fontId="143" type="noConversion"/>
  </si>
  <si>
    <t>2018.8-1-2019.7.31</t>
    <phoneticPr fontId="143" type="noConversion"/>
  </si>
  <si>
    <t>2019.8-1-2020.7.31</t>
    <phoneticPr fontId="143" type="noConversion"/>
  </si>
  <si>
    <t>2020.8-1-2021.7.31</t>
    <phoneticPr fontId="143" type="noConversion"/>
  </si>
  <si>
    <t>2021.8-1-2022.7.31</t>
    <phoneticPr fontId="143" type="noConversion"/>
  </si>
  <si>
    <t>TBD办公</t>
    <phoneticPr fontId="143" type="noConversion"/>
  </si>
  <si>
    <r>
      <t>T</t>
    </r>
    <r>
      <rPr>
        <sz val="11"/>
        <color theme="1"/>
        <rFont val="宋体"/>
        <family val="3"/>
        <charset val="134"/>
        <scheme val="minor"/>
      </rPr>
      <t>BD商业</t>
    </r>
    <phoneticPr fontId="143" type="noConversion"/>
  </si>
  <si>
    <t>乐华仕</t>
    <phoneticPr fontId="143" type="noConversion"/>
  </si>
  <si>
    <t>康比特</t>
    <phoneticPr fontId="143" type="noConversion"/>
  </si>
  <si>
    <t>建筑面积</t>
    <phoneticPr fontId="143" type="noConversion"/>
  </si>
  <si>
    <t>总价（万元）</t>
    <phoneticPr fontId="143" type="noConversion"/>
  </si>
  <si>
    <t>单价（元/平方米）</t>
    <phoneticPr fontId="143" type="noConversion"/>
  </si>
  <si>
    <t>序号</t>
    <phoneticPr fontId="143" type="noConversion"/>
  </si>
  <si>
    <t>项目名称</t>
    <phoneticPr fontId="143" type="noConversion"/>
  </si>
  <si>
    <t>总计</t>
    <phoneticPr fontId="143" type="noConversion"/>
  </si>
  <si>
    <t>——</t>
    <phoneticPr fontId="143" type="noConversion"/>
  </si>
  <si>
    <r>
      <rPr>
        <sz val="12"/>
        <color theme="9" tint="-0.249977111117893"/>
        <rFont val="宋体"/>
        <family val="3"/>
        <charset val="134"/>
      </rPr>
      <t>工业</t>
    </r>
    <r>
      <rPr>
        <sz val="12"/>
        <color theme="9" tint="-0.249977111117893"/>
        <rFont val="Arial"/>
        <family val="2"/>
      </rPr>
      <t>44.59</t>
    </r>
    <r>
      <rPr>
        <sz val="12"/>
        <color theme="9" tint="-0.249977111117893"/>
        <rFont val="宋体"/>
        <family val="3"/>
        <charset val="134"/>
      </rPr>
      <t>年</t>
    </r>
    <phoneticPr fontId="6" type="noConversion"/>
  </si>
  <si>
    <t>成本比率</t>
  </si>
  <si>
    <t>估价对象周边路网较密集，公共交通通达情况较好，有889路、昌1路等公共交通，停车便捷程度较好，综合评价交通便捷度较好。</t>
    <phoneticPr fontId="41" type="noConversion"/>
  </si>
  <si>
    <t>该园区内是无污染型企业，绿化情况较好，卫生条件较好，整体环境状况较好。</t>
    <phoneticPr fontId="41" type="noConversion"/>
  </si>
  <si>
    <t>估价对象所在区域2公里范围内有：银行（中国银行、中国民生银行），购物（金隅万科购物中心，菓岭假日广场），医院（北京龙山中医医院），学校（中国石油大学附属小学、附属中学）公共配套设施齐备情况较好。</t>
    <phoneticPr fontId="41" type="noConversion"/>
  </si>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</sst>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99" fillId="0" borderId="0" xfId="0" applyFont="1" applyAlignment="1">
      <alignment horizontal="center" vertical="center"/>
    </xf>
    <xf numFmtId="0" fontId="0" fillId="0" borderId="0" xfId="0" applyAlignment="1">
      <alignment horizontal="center" vertical="center"/>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176" fontId="50" fillId="0" borderId="1" xfId="0" applyNumberFormat="1" applyFont="1" applyFill="1" applyBorder="1" applyAlignment="1" applyProtection="1">
      <alignment vertical="center" wrapText="1"/>
      <protection locked="0"/>
    </xf>
    <xf numFmtId="0" fontId="0" fillId="17" borderId="0" xfId="0" applyFill="1" applyAlignment="1">
      <alignment horizontal="center" vertical="center"/>
    </xf>
    <xf numFmtId="177" fontId="50" fillId="17" borderId="1" xfId="1" applyNumberFormat="1" applyFont="1" applyFill="1" applyBorder="1" applyAlignment="1" applyProtection="1">
      <alignment horizontal="center" vertical="center"/>
      <protection locked="0"/>
    </xf>
    <xf numFmtId="176" fontId="50" fillId="7" borderId="1" xfId="0" applyNumberFormat="1" applyFont="1" applyFill="1" applyBorder="1" applyAlignment="1" applyProtection="1">
      <alignment vertical="center" wrapText="1"/>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horizontal="center" vertical="center"/>
    </xf>
    <xf numFmtId="9" fontId="0" fillId="0" borderId="1" xfId="0" applyNumberFormat="1" applyBorder="1" applyAlignment="1">
      <alignment horizontal="center" vertical="center"/>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0" fillId="0" borderId="0" xfId="0" applyFont="1" applyFill="1" applyBorder="1" applyAlignment="1">
      <alignment horizontal="center" vertical="center" wrapText="1"/>
    </xf>
    <xf numFmtId="0" fontId="99" fillId="0" borderId="0" xfId="0" applyFont="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255" fillId="6" borderId="63" xfId="2" applyFont="1" applyFill="1" applyBorder="1" applyAlignment="1">
      <alignment horizontal="center"/>
    </xf>
    <xf numFmtId="0" fontId="255" fillId="6" borderId="64" xfId="2" applyFont="1" applyFill="1" applyBorder="1" applyAlignment="1">
      <alignment horizontal="center"/>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9</xdr:col>
      <xdr:colOff>66675</xdr:colOff>
      <xdr:row>36</xdr:row>
      <xdr:rowOff>123825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6667500" cy="625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133350</xdr:colOff>
      <xdr:row>0</xdr:row>
      <xdr:rowOff>57150</xdr:rowOff>
    </xdr:from>
    <xdr:to>
      <xdr:col>16</xdr:col>
      <xdr:colOff>75422</xdr:colOff>
      <xdr:row>9</xdr:row>
      <xdr:rowOff>171243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734175" y="57150"/>
          <a:ext cx="6228572" cy="1657143"/>
        </a:xfrm>
        <a:prstGeom prst="rect">
          <a:avLst/>
        </a:prstGeom>
      </xdr:spPr>
    </xdr:pic>
    <xdr:clientData/>
  </xdr:twoCellAnchor>
  <xdr:twoCellAnchor editAs="oneCell">
    <xdr:from>
      <xdr:col>6</xdr:col>
      <xdr:colOff>9525</xdr:colOff>
      <xdr:row>38</xdr:row>
      <xdr:rowOff>19050</xdr:rowOff>
    </xdr:from>
    <xdr:to>
      <xdr:col>13</xdr:col>
      <xdr:colOff>307808</xdr:colOff>
      <xdr:row>59</xdr:row>
      <xdr:rowOff>122540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4552950" y="6534150"/>
          <a:ext cx="6584783" cy="37039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123825</xdr:colOff>
      <xdr:row>0</xdr:row>
      <xdr:rowOff>0</xdr:rowOff>
    </xdr:from>
    <xdr:to>
      <xdr:col>26</xdr:col>
      <xdr:colOff>609600</xdr:colOff>
      <xdr:row>7</xdr:row>
      <xdr:rowOff>28575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39225" y="0"/>
          <a:ext cx="940117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57150</xdr:colOff>
      <xdr:row>6</xdr:row>
      <xdr:rowOff>133350</xdr:rowOff>
    </xdr:from>
    <xdr:to>
      <xdr:col>26</xdr:col>
      <xdr:colOff>123825</xdr:colOff>
      <xdr:row>14</xdr:row>
      <xdr:rowOff>28575</xdr:rowOff>
    </xdr:to>
    <xdr:pic>
      <xdr:nvPicPr>
        <xdr:cNvPr id="3" name="图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72550" y="1162050"/>
          <a:ext cx="89820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85725</xdr:colOff>
      <xdr:row>13</xdr:row>
      <xdr:rowOff>114300</xdr:rowOff>
    </xdr:from>
    <xdr:to>
      <xdr:col>26</xdr:col>
      <xdr:colOff>114300</xdr:colOff>
      <xdr:row>21</xdr:row>
      <xdr:rowOff>19050</xdr:rowOff>
    </xdr:to>
    <xdr:pic>
      <xdr:nvPicPr>
        <xdr:cNvPr id="4" name="图片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01125" y="2343150"/>
          <a:ext cx="8943975"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13</xdr:col>
      <xdr:colOff>95250</xdr:colOff>
      <xdr:row>21</xdr:row>
      <xdr:rowOff>66675</xdr:rowOff>
    </xdr:to>
    <xdr:pic>
      <xdr:nvPicPr>
        <xdr:cNvPr id="5" name="图片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9010650" cy="366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104774</xdr:rowOff>
    </xdr:from>
    <xdr:to>
      <xdr:col>13</xdr:col>
      <xdr:colOff>142875</xdr:colOff>
      <xdr:row>27</xdr:row>
      <xdr:rowOff>126989</xdr:rowOff>
    </xdr:to>
    <xdr:pic>
      <xdr:nvPicPr>
        <xdr:cNvPr id="6" name="图片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3533774"/>
          <a:ext cx="9058275" cy="1222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26</xdr:row>
      <xdr:rowOff>85725</xdr:rowOff>
    </xdr:from>
    <xdr:to>
      <xdr:col>13</xdr:col>
      <xdr:colOff>190501</xdr:colOff>
      <xdr:row>40</xdr:row>
      <xdr:rowOff>9186</xdr:rowOff>
    </xdr:to>
    <xdr:pic>
      <xdr:nvPicPr>
        <xdr:cNvPr id="7" name="图片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 y="4543425"/>
          <a:ext cx="9105900" cy="2323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38754;&#31215;&#21464;&#21160;&#65289;TBD&#20113;&#38598;&#20013;&#245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35843;&#39640;&#65289;&#24247;&#27604;&#29305;&#20845;&#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售价"/>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办公"/>
      <sheetName val="成本法（废）"/>
      <sheetName val="区片价"/>
      <sheetName val="因素修正幅度"/>
      <sheetName val="存贷款利率"/>
      <sheetName val="区片价（范围）"/>
      <sheetName val="典型户型修正办公"/>
      <sheetName val="结果表 (商业)"/>
      <sheetName val="比较法-商业"/>
      <sheetName val="商业案例"/>
      <sheetName val="收益法 (商业)"/>
      <sheetName val="典型户型修正"/>
      <sheetName val="面积清单"/>
      <sheetName val="办公租金及售价情况"/>
      <sheetName val="办公价格表（企业提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0">
          <cell r="B20">
            <v>25395</v>
          </cell>
        </row>
        <row r="21">
          <cell r="B21">
            <v>31053</v>
          </cell>
        </row>
        <row r="22">
          <cell r="B22">
            <v>8177.909999999998</v>
          </cell>
        </row>
      </sheetData>
      <sheetData sheetId="44" refreshError="1"/>
      <sheetData sheetId="45" refreshError="1"/>
      <sheetData sheetId="46" refreshError="1"/>
      <sheetData sheetId="47" refreshError="1"/>
      <sheetData sheetId="48">
        <row r="20">
          <cell r="B20">
            <v>3624</v>
          </cell>
        </row>
        <row r="21">
          <cell r="B21">
            <v>32310</v>
          </cell>
        </row>
        <row r="22">
          <cell r="B22">
            <v>1121.6300000000001</v>
          </cell>
        </row>
      </sheetData>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v>1996.98</v>
          </cell>
        </row>
      </sheetData>
      <sheetData sheetId="12" refreshError="1"/>
      <sheetData sheetId="13" refreshError="1"/>
      <sheetData sheetId="14" refreshError="1"/>
      <sheetData sheetId="15" refreshError="1"/>
      <sheetData sheetId="16" refreshError="1"/>
      <sheetData sheetId="17">
        <row r="19">
          <cell r="G19">
            <v>4142</v>
          </cell>
        </row>
        <row r="20">
          <cell r="G20">
            <v>20743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北京市昌平区昌盛路12号院预评估</v>
      </c>
    </row>
    <row r="3" spans="1:2" s="1596" customFormat="1">
      <c r="A3" s="1594" t="s">
        <v>1221</v>
      </c>
      <c r="B3" s="1595" t="str">
        <f>'预评函-封皮'!B40</f>
        <v>北京昌平科技园发展有限公司</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受贵公司委托，我公司对北京市昌平区昌盛路12号院进行了预评估。</v>
      </c>
    </row>
    <row r="7" spans="1:2" s="1596" customFormat="1">
      <c r="A7" s="1594" t="s">
        <v>1264</v>
      </c>
      <c r="B7" s="1595" t="str">
        <f>'预评函-1'!A7</f>
        <v>估价对象为北京市昌平区昌盛路12号院房地产，为北京昌平科技园发展有限公司所有。根据估价委托人提供的《LOHAS总图》，估价对象（分摊）出让国有建设用地使用权面积为11873.13平方米，建筑面积为21214.79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昌平区昌盛路12号院房地产,属北京昌平科技园发展有限公司开发建设的工业项目，该项目尚在开发建设中。根据估价委托人提供的《LOHAS总图》，估价对象（分摊）出让国有建设用地使用权面积为11873.13平方米，规划建筑面积为21214.79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2017年12月31日</v>
      </c>
    </row>
    <row r="13" spans="1:2" s="1596" customFormat="1">
      <c r="A13" s="1594" t="s">
        <v>1227</v>
      </c>
      <c r="B13" s="1595" t="str">
        <f>'预评函-1'!A18</f>
        <v>本次估价的“房地产价值”是指在正常市场情况下，在价值时点2017年12月31日，估价对象规划用途为，土地取得方式为出让，出让国有建设用地使用权剩余土地使用年限为工业44.59年，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红线内场地平整条件下，剩余土地使用年限为工业44.59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47967</v>
      </c>
    </row>
    <row r="21" spans="1:2" s="1596" customFormat="1">
      <c r="A21" s="1594" t="s">
        <v>1235</v>
      </c>
      <c r="B21" s="1595">
        <f ca="1">'预评函-2'!D7</f>
        <v>22610</v>
      </c>
    </row>
    <row r="22" spans="1:2" s="1596" customFormat="1">
      <c r="A22" s="1594" t="s">
        <v>1236</v>
      </c>
      <c r="B22" s="1595" t="str">
        <f ca="1">'预评函-2'!D6</f>
        <v>肆亿柒仟玖佰陆拾柒万元整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47967</v>
      </c>
    </row>
    <row r="31" spans="1:2" s="1596" customFormat="1">
      <c r="A31" s="1594" t="s">
        <v>1274</v>
      </c>
      <c r="B31" s="1595">
        <f ca="1">'预评函-2'!D15</f>
        <v>22610</v>
      </c>
    </row>
    <row r="32" spans="1:2" s="1596" customFormat="1">
      <c r="A32" s="1594" t="s">
        <v>1241</v>
      </c>
      <c r="B32" s="1595" t="str">
        <f ca="1">'预评函-2'!D14</f>
        <v>肆亿柒仟玖佰陆拾柒万元整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北京市昌平区昌盛路12号院房地产</v>
      </c>
    </row>
    <row r="42" spans="1:2" s="1596" customFormat="1">
      <c r="A42" s="1594" t="s">
        <v>1288</v>
      </c>
      <c r="B42" s="1595" t="str">
        <f>'预评函-3'!B2</f>
        <v>建筑面积</v>
      </c>
    </row>
    <row r="43" spans="1:2" s="1596" customFormat="1">
      <c r="A43" s="1594" t="s">
        <v>1289</v>
      </c>
      <c r="B43" s="1595">
        <f>'预评函-3'!B4</f>
        <v>21214.79</v>
      </c>
    </row>
    <row r="44" spans="1:2" s="1596" customFormat="1">
      <c r="A44" s="1594" t="s">
        <v>1273</v>
      </c>
      <c r="B44" s="1595" t="str">
        <f>'预评函-3'!C2</f>
        <v>(分摊)土地面积</v>
      </c>
    </row>
    <row r="45" spans="1:2" s="1596" customFormat="1">
      <c r="A45" s="1594" t="s">
        <v>1245</v>
      </c>
      <c r="B45" s="1595">
        <f>'预评函-3'!C4</f>
        <v>11873.13</v>
      </c>
    </row>
    <row r="46" spans="1:2" s="1596" customFormat="1">
      <c r="A46" s="1594" t="s">
        <v>1271</v>
      </c>
      <c r="B46" s="1595" t="str">
        <f>'预评函-3'!D2</f>
        <v>出让国有建设用地使用权价值</v>
      </c>
    </row>
    <row r="47" spans="1:2" s="1596" customFormat="1">
      <c r="A47" s="1594" t="s">
        <v>1246</v>
      </c>
      <c r="B47" s="1595">
        <f ca="1">'预评函-3'!D4</f>
        <v>17556</v>
      </c>
    </row>
    <row r="48" spans="1:2" s="1596" customFormat="1">
      <c r="A48" s="1594" t="s">
        <v>1247</v>
      </c>
      <c r="B48" s="1595">
        <f ca="1">'预评函-3'!E4</f>
        <v>8275</v>
      </c>
    </row>
    <row r="49" spans="1:2" s="1596" customFormat="1">
      <c r="A49" s="1594" t="s">
        <v>1248</v>
      </c>
      <c r="B49" s="1595" t="str">
        <f ca="1">'预评函-3'!D5</f>
        <v>壹亿柒仟伍佰伍拾陆万元整</v>
      </c>
    </row>
    <row r="50" spans="1:2" s="1596" customFormat="1">
      <c r="A50" s="1594" t="s">
        <v>1272</v>
      </c>
      <c r="B50" s="1595" t="str">
        <f>'预评函-3'!F2</f>
        <v>建筑物价值</v>
      </c>
    </row>
    <row r="51" spans="1:2" s="1596" customFormat="1">
      <c r="A51" s="1594" t="s">
        <v>1249</v>
      </c>
      <c r="B51" s="1595">
        <f ca="1">'预评函-3'!F4</f>
        <v>30411</v>
      </c>
    </row>
    <row r="52" spans="1:2" s="1596" customFormat="1">
      <c r="A52" s="1594" t="s">
        <v>1250</v>
      </c>
      <c r="B52" s="1595">
        <f ca="1">'预评函-3'!G4</f>
        <v>14335</v>
      </c>
    </row>
    <row r="53" spans="1:2" s="1596" customFormat="1">
      <c r="A53" s="1594" t="s">
        <v>1278</v>
      </c>
      <c r="B53" s="1595" t="str">
        <f ca="1">'预评函-3'!F5</f>
        <v>叁亿零肆佰壹拾壹万元整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3099</v>
      </c>
      <c r="C17" s="2018"/>
    </row>
    <row r="18" spans="1:3">
      <c r="A18" s="2017" t="s">
        <v>1768</v>
      </c>
      <c r="B18" s="2017" t="s">
        <v>3100</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3097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昌盛路12号院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6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1"/>
      <c r="B54" s="2025" t="s">
        <v>864</v>
      </c>
      <c r="C54" s="2022" t="s">
        <v>1281</v>
      </c>
    </row>
    <row r="55" spans="1:4">
      <c r="A55" s="3061"/>
      <c r="B55" s="2025" t="s">
        <v>865</v>
      </c>
      <c r="C55" s="2022" t="s">
        <v>1282</v>
      </c>
    </row>
    <row r="56" spans="1:4">
      <c r="A56" s="3061"/>
      <c r="B56" s="2025" t="s">
        <v>866</v>
      </c>
      <c r="C56" s="2022" t="s">
        <v>1286</v>
      </c>
    </row>
    <row r="57" spans="1:4">
      <c r="A57" s="306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4" zoomScale="90" zoomScaleNormal="100" zoomScaleSheetLayoutView="90" workbookViewId="0">
      <selection activeCell="H19" sqref="H19"/>
    </sheetView>
  </sheetViews>
  <sheetFormatPr defaultColWidth="10" defaultRowHeight="18" customHeight="1"/>
  <cols>
    <col min="1" max="1" width="14.875" style="2035" customWidth="1"/>
    <col min="2" max="2" width="10" style="2035" customWidth="1"/>
    <col min="3" max="3" width="11.5" style="2035" customWidth="1"/>
    <col min="4" max="4" width="12.375" style="2035" customWidth="1"/>
    <col min="5"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1777</v>
      </c>
      <c r="B1" s="3062" t="str">
        <f>IF(B10="北京市","北京市",C10)&amp;F10&amp;IF(结果表!G1="在建","出让国有建设用地使用权及在建建筑物",IF(结果表!G1="土地","出让国有建设用地使用权",))&amp;B9&amp;"预评估"</f>
        <v>北京市昌平区昌盛路12号院预评估</v>
      </c>
      <c r="C1" s="3063"/>
      <c r="D1" s="3063"/>
      <c r="E1" s="3063"/>
      <c r="F1" s="3063"/>
      <c r="G1" s="3063"/>
      <c r="H1" s="3063"/>
      <c r="I1" s="306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北京市昌平区昌盛路12号院</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北京市昌平区昌盛路12号院房地产</v>
      </c>
    </row>
    <row r="3" spans="1:19" ht="18" customHeight="1">
      <c r="A3" s="2038" t="s">
        <v>1779</v>
      </c>
      <c r="B3" s="2039">
        <v>43157</v>
      </c>
      <c r="C3" s="2040" t="s">
        <v>1780</v>
      </c>
      <c r="D3" s="2039">
        <v>43100</v>
      </c>
      <c r="E3" s="2029"/>
      <c r="F3" s="2029"/>
      <c r="G3" s="2029"/>
      <c r="H3" s="2029"/>
      <c r="I3" s="2029"/>
      <c r="J3" s="2029"/>
      <c r="K3" s="2030"/>
      <c r="L3" s="2031"/>
      <c r="M3" s="2031"/>
      <c r="N3" s="2032"/>
      <c r="O3" s="2033"/>
      <c r="P3" s="2032"/>
      <c r="Q3" s="2032"/>
      <c r="R3" s="2032"/>
      <c r="S3" s="2034"/>
    </row>
    <row r="4" spans="1:19" ht="18" customHeight="1" thickBot="1">
      <c r="A4" s="2041" t="s">
        <v>1781</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1782</v>
      </c>
      <c r="B5" s="2951" t="s">
        <v>3040</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1784</v>
      </c>
      <c r="B7" s="2055"/>
      <c r="C7" s="2052"/>
      <c r="D7" s="2053"/>
      <c r="E7" s="2037"/>
      <c r="F7" s="2045"/>
      <c r="G7" s="2045"/>
      <c r="H7" s="2045"/>
      <c r="I7" s="2045"/>
      <c r="J7" s="2045"/>
      <c r="K7" s="2056"/>
      <c r="L7" s="2031"/>
      <c r="M7" s="2031"/>
      <c r="N7" s="2032"/>
      <c r="O7" s="2033"/>
      <c r="P7" s="2032"/>
      <c r="Q7" s="2032"/>
      <c r="R7" s="2032"/>
    </row>
    <row r="8" spans="1:19" ht="18" customHeight="1">
      <c r="A8" s="2050" t="s">
        <v>1785</v>
      </c>
      <c r="B8" s="2057"/>
      <c r="C8" s="2058"/>
      <c r="D8" s="3065" t="s">
        <v>1786</v>
      </c>
      <c r="E8" s="2059"/>
      <c r="F8" s="2060"/>
      <c r="G8" s="2029"/>
      <c r="H8" s="2029"/>
      <c r="I8" s="2029"/>
      <c r="J8" s="2045"/>
      <c r="K8" s="2046"/>
      <c r="L8" s="2031"/>
      <c r="M8" s="2031"/>
      <c r="N8" s="2032"/>
      <c r="O8" s="2033"/>
      <c r="P8" s="2032"/>
      <c r="Q8" s="2032"/>
      <c r="R8" s="2032"/>
    </row>
    <row r="9" spans="1:19" ht="18" customHeight="1" thickBot="1">
      <c r="A9" s="2043" t="s">
        <v>1787</v>
      </c>
      <c r="B9" s="2061"/>
      <c r="C9" s="2062"/>
      <c r="D9" s="3066"/>
      <c r="E9" s="2061"/>
      <c r="F9" s="2063"/>
      <c r="G9" s="2064"/>
      <c r="H9" s="2064"/>
      <c r="I9" s="2064"/>
      <c r="J9" s="2045"/>
      <c r="K9" s="2056"/>
      <c r="L9" s="2031"/>
      <c r="M9" s="2031"/>
      <c r="N9" s="2032"/>
      <c r="O9" s="2033"/>
      <c r="P9" s="2032"/>
      <c r="Q9" s="2032"/>
      <c r="R9" s="2032"/>
    </row>
    <row r="10" spans="1:19" ht="18" customHeight="1" thickTop="1" thickBot="1">
      <c r="A10" s="2065" t="s">
        <v>1788</v>
      </c>
      <c r="B10" s="2066" t="s">
        <v>3041</v>
      </c>
      <c r="C10" s="2067"/>
      <c r="D10" s="2049"/>
      <c r="E10" s="2068" t="s">
        <v>1789</v>
      </c>
      <c r="F10" s="2069" t="s">
        <v>3042</v>
      </c>
      <c r="G10" s="2070"/>
      <c r="H10" s="2071"/>
      <c r="I10" s="2049"/>
      <c r="J10" s="2045"/>
      <c r="K10" s="2056"/>
      <c r="L10" s="2031"/>
      <c r="M10" s="2031"/>
      <c r="N10" s="2032"/>
      <c r="O10" s="2033"/>
      <c r="P10" s="2032"/>
      <c r="Q10" s="2032"/>
      <c r="R10" s="2032"/>
    </row>
    <row r="11" spans="1:19" ht="18" customHeight="1" thickTop="1">
      <c r="A11" s="2072" t="s">
        <v>1790</v>
      </c>
      <c r="B11" s="2073" t="s">
        <v>3043</v>
      </c>
      <c r="C11" s="2951" t="s">
        <v>3040</v>
      </c>
      <c r="D11" s="2074"/>
      <c r="E11" s="2045"/>
      <c r="F11" s="2045"/>
      <c r="G11" s="2045"/>
      <c r="H11" s="2045"/>
      <c r="I11" s="2045"/>
      <c r="J11" s="2045"/>
      <c r="K11" s="2056"/>
      <c r="L11" s="2031"/>
      <c r="M11" s="2031"/>
      <c r="N11" s="2032"/>
      <c r="O11" s="2033"/>
      <c r="P11" s="2032"/>
      <c r="Q11" s="2032"/>
      <c r="R11" s="2032"/>
    </row>
    <row r="12" spans="1:19" ht="18" customHeight="1">
      <c r="A12" s="2075" t="s">
        <v>1791</v>
      </c>
      <c r="B12" s="2073" t="s">
        <v>3044</v>
      </c>
      <c r="C12" s="2076" t="s">
        <v>1792</v>
      </c>
      <c r="D12" s="2077" t="s">
        <v>1793</v>
      </c>
      <c r="E12" s="2077" t="s">
        <v>1794</v>
      </c>
      <c r="F12" s="2077" t="s">
        <v>1795</v>
      </c>
      <c r="G12" s="2077" t="s">
        <v>1796</v>
      </c>
      <c r="H12" s="2077" t="s">
        <v>1797</v>
      </c>
      <c r="I12" s="2077" t="s">
        <v>1798</v>
      </c>
      <c r="J12" s="2045"/>
      <c r="K12" s="2056"/>
      <c r="L12" s="2031"/>
      <c r="M12" s="2031"/>
      <c r="N12" s="2032"/>
      <c r="O12" s="2033"/>
      <c r="P12" s="2032"/>
      <c r="Q12" s="2032"/>
      <c r="R12" s="2032"/>
    </row>
    <row r="13" spans="1:19" ht="18" customHeight="1">
      <c r="A13" s="2078"/>
      <c r="B13" s="2079"/>
      <c r="C13" s="2080" t="s">
        <v>1799</v>
      </c>
      <c r="D13" s="2081"/>
      <c r="E13" s="2081"/>
      <c r="F13" s="2081"/>
      <c r="G13" s="2081"/>
      <c r="H13" s="2081"/>
      <c r="I13" s="1050">
        <v>59376</v>
      </c>
      <c r="J13" s="2045"/>
      <c r="K13" s="2056"/>
      <c r="L13" s="2031"/>
      <c r="M13" s="2031"/>
      <c r="N13" s="2032"/>
      <c r="O13" s="2033"/>
      <c r="P13" s="2032"/>
      <c r="Q13" s="2032"/>
      <c r="R13" s="2032"/>
    </row>
    <row r="14" spans="1:19" ht="18" customHeight="1">
      <c r="A14" s="2078"/>
      <c r="B14" s="2079"/>
      <c r="C14" s="2080" t="s">
        <v>1800</v>
      </c>
      <c r="D14" s="1053"/>
      <c r="E14" s="1053"/>
      <c r="F14" s="1053"/>
      <c r="G14" s="1053"/>
      <c r="H14" s="1053"/>
      <c r="I14" s="1053">
        <v>50</v>
      </c>
      <c r="J14" s="2045"/>
      <c r="K14" s="2082"/>
      <c r="L14" s="2031"/>
      <c r="M14" s="2031"/>
      <c r="N14" s="2032"/>
      <c r="O14" s="2033"/>
      <c r="P14" s="2032"/>
      <c r="Q14" s="2032"/>
      <c r="R14" s="2032"/>
    </row>
    <row r="15" spans="1:19" ht="18" customHeight="1">
      <c r="A15" s="2065"/>
      <c r="B15" s="2083"/>
      <c r="C15" s="2080" t="s">
        <v>1801</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44.59</v>
      </c>
      <c r="J15" s="2045"/>
      <c r="K15" s="2084"/>
      <c r="L15" s="2085"/>
      <c r="M15" s="2085"/>
      <c r="N15" s="2086"/>
      <c r="O15" s="2085"/>
      <c r="P15" s="2086"/>
      <c r="Q15" s="2032"/>
      <c r="R15" s="2032"/>
    </row>
    <row r="16" spans="1:19" ht="30.75" customHeight="1">
      <c r="A16" s="2068" t="s">
        <v>1802</v>
      </c>
      <c r="B16" s="3072"/>
      <c r="C16" s="3073"/>
      <c r="D16" s="3074"/>
      <c r="E16" s="2087" t="s">
        <v>1803</v>
      </c>
      <c r="F16" s="3075" t="s">
        <v>3324</v>
      </c>
      <c r="G16" s="3076"/>
      <c r="H16" s="3076"/>
      <c r="I16" s="3077"/>
      <c r="J16" s="2032"/>
      <c r="K16" s="2084"/>
      <c r="L16" s="2085"/>
      <c r="M16" s="2085"/>
      <c r="N16" s="2086"/>
      <c r="O16" s="2085"/>
      <c r="P16" s="2086"/>
      <c r="Q16" s="2032"/>
      <c r="R16" s="2032"/>
    </row>
    <row r="17" spans="1:22" ht="18" customHeight="1">
      <c r="A17" s="2088" t="s">
        <v>1804</v>
      </c>
      <c r="B17" s="2038" t="s">
        <v>1805</v>
      </c>
      <c r="C17" s="1057">
        <f>'数据-汇总表'!E3</f>
        <v>21214.79</v>
      </c>
      <c r="D17" s="2089" t="s">
        <v>1806</v>
      </c>
      <c r="E17" s="3078" t="s">
        <v>3045</v>
      </c>
      <c r="F17" s="3079"/>
      <c r="G17" s="3079"/>
      <c r="H17" s="3079"/>
      <c r="I17" s="3080"/>
      <c r="J17" s="2032"/>
      <c r="K17" s="2090"/>
      <c r="L17" s="2085"/>
      <c r="M17" s="2085"/>
      <c r="N17" s="2086"/>
      <c r="O17" s="2085"/>
      <c r="P17" s="2086"/>
      <c r="Q17" s="2032"/>
      <c r="R17" s="2032"/>
      <c r="S17" s="2032"/>
      <c r="T17" s="2032"/>
      <c r="U17" s="2032"/>
      <c r="V17" s="2032"/>
    </row>
    <row r="18" spans="1:22" ht="36" customHeight="1" thickBot="1">
      <c r="A18" s="2091" t="s">
        <v>1807</v>
      </c>
      <c r="B18" s="2041" t="s">
        <v>1808</v>
      </c>
      <c r="C18" s="1447">
        <f>'数据-汇总表'!D3</f>
        <v>11873.13</v>
      </c>
      <c r="D18" s="2092" t="s">
        <v>1806</v>
      </c>
      <c r="E18" s="3081" t="s">
        <v>3046</v>
      </c>
      <c r="F18" s="3082"/>
      <c r="G18" s="3082"/>
      <c r="H18" s="3082"/>
      <c r="I18" s="3083"/>
      <c r="J18" s="2032"/>
      <c r="K18" s="2090"/>
      <c r="L18" s="2085"/>
      <c r="M18" s="2085"/>
      <c r="N18" s="2086"/>
      <c r="O18" s="2085"/>
      <c r="P18" s="2086"/>
      <c r="Q18" s="2032"/>
      <c r="R18" s="2032"/>
      <c r="S18" s="2032"/>
      <c r="T18" s="2032"/>
      <c r="U18" s="2032"/>
      <c r="V18" s="2032"/>
    </row>
    <row r="19" spans="1:22" ht="37.5" customHeight="1" thickTop="1" thickBot="1">
      <c r="A19" s="373" t="s">
        <v>1809</v>
      </c>
      <c r="B19" s="352" t="s">
        <v>1810</v>
      </c>
      <c r="C19" s="2093" t="s">
        <v>3047</v>
      </c>
      <c r="D19" s="2094" t="s">
        <v>1811</v>
      </c>
      <c r="E19" s="2095" t="s">
        <v>3047</v>
      </c>
      <c r="F19" s="2096" t="str">
        <f>IF(AND(C19="是",E19="否"),"是否提供他项权证或相关说明","")</f>
        <v/>
      </c>
      <c r="G19" s="2097"/>
      <c r="H19" s="2045"/>
      <c r="I19" s="2045"/>
      <c r="J19" s="2045"/>
      <c r="K19" s="2056"/>
      <c r="L19" s="2031"/>
      <c r="M19" s="2031"/>
      <c r="N19" s="2086"/>
      <c r="O19" s="2085"/>
      <c r="P19" s="2086"/>
      <c r="Q19" s="2032"/>
      <c r="R19" s="2032"/>
      <c r="S19" s="2032"/>
      <c r="T19" s="2032"/>
      <c r="U19" s="2032"/>
      <c r="V19" s="2032"/>
    </row>
    <row r="20" spans="1:22" ht="18" customHeight="1">
      <c r="A20" s="2098" t="s">
        <v>1812</v>
      </c>
      <c r="B20" s="3068" t="s">
        <v>1813</v>
      </c>
      <c r="C20" s="3069"/>
      <c r="D20" s="3070" t="s">
        <v>1814</v>
      </c>
      <c r="E20" s="3071"/>
      <c r="F20" s="2099" t="s">
        <v>1815</v>
      </c>
      <c r="G20" s="2045"/>
      <c r="H20" s="2045"/>
      <c r="I20" s="2045"/>
      <c r="J20" s="2045"/>
      <c r="K20" s="3067" t="s">
        <v>1816</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3048</v>
      </c>
      <c r="C21" s="2101" t="s">
        <v>1817</v>
      </c>
      <c r="D21" s="2102" t="s">
        <v>1818</v>
      </c>
      <c r="E21" s="2103" t="s">
        <v>1817</v>
      </c>
      <c r="F21" s="2104"/>
      <c r="G21" s="2045"/>
      <c r="H21" s="2045"/>
      <c r="I21" s="2045"/>
      <c r="J21" s="2045"/>
      <c r="K21" s="306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6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1819</v>
      </c>
      <c r="B23" s="183" t="s">
        <v>1820</v>
      </c>
      <c r="C23" s="2108"/>
      <c r="D23" s="2109" t="s">
        <v>1820</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1821</v>
      </c>
      <c r="C24" s="2113"/>
      <c r="D24" s="2107" t="s">
        <v>1821</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1822</v>
      </c>
      <c r="C25" s="2113"/>
      <c r="D25" s="2107" t="s">
        <v>1822</v>
      </c>
      <c r="E25" s="2114"/>
      <c r="F25" s="2106"/>
      <c r="G25" s="2045"/>
      <c r="H25" s="2045"/>
      <c r="I25" s="2045"/>
      <c r="J25" s="2045"/>
      <c r="K25" s="2056"/>
      <c r="L25" s="2031"/>
      <c r="M25" s="2031"/>
      <c r="N25" s="2086"/>
      <c r="O25" s="2085"/>
      <c r="P25" s="2086"/>
      <c r="Q25" s="2032"/>
      <c r="R25" s="2032"/>
      <c r="S25" s="2032"/>
      <c r="T25" s="2032"/>
      <c r="U25" s="2032"/>
      <c r="V25" s="2032"/>
    </row>
    <row r="26" spans="1:22" ht="18" customHeight="1" thickBot="1">
      <c r="A26" s="2115"/>
      <c r="B26" s="2116" t="s">
        <v>1823</v>
      </c>
      <c r="C26" s="2117"/>
      <c r="D26" s="2118" t="s">
        <v>1824</v>
      </c>
      <c r="E26" s="2119"/>
      <c r="F26" s="2120"/>
      <c r="G26" s="2064"/>
      <c r="H26" s="2064"/>
      <c r="I26" s="2064"/>
      <c r="J26" s="2045"/>
      <c r="K26" s="2056"/>
      <c r="L26" s="2031"/>
      <c r="M26" s="2031"/>
      <c r="N26" s="2086"/>
      <c r="O26" s="2085"/>
      <c r="P26" s="2086"/>
      <c r="Q26" s="2032"/>
      <c r="R26" s="2032"/>
      <c r="S26" s="2032"/>
      <c r="T26" s="2032"/>
      <c r="U26" s="2032"/>
      <c r="V26" s="2032"/>
    </row>
    <row r="27" spans="1:22" ht="18" customHeight="1" thickTop="1">
      <c r="A27" s="3085" t="s">
        <v>1825</v>
      </c>
      <c r="B27" s="2065" t="s">
        <v>1826</v>
      </c>
      <c r="C27" s="2121" t="s">
        <v>3050</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85"/>
      <c r="B28" s="2038" t="s">
        <v>1827</v>
      </c>
      <c r="C28" s="2123"/>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85"/>
      <c r="B29" s="2038" t="s">
        <v>1828</v>
      </c>
      <c r="C29" s="2126"/>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86"/>
      <c r="B30" s="2038" t="s">
        <v>1829</v>
      </c>
      <c r="C30" s="3087"/>
      <c r="D30" s="3088"/>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89" t="s">
        <v>1830</v>
      </c>
      <c r="B31" s="2128" t="s">
        <v>3049</v>
      </c>
      <c r="C31" s="2129" t="str">
        <f>IF(B31="现房","成新及维护状况正常否",IF(B31="在建","工程状态是否正常",IF(B31="土地","是否闲置","-")))</f>
        <v>成新及维护状况正常否</v>
      </c>
      <c r="D31" s="2130"/>
      <c r="E31" s="2131"/>
      <c r="F31" s="2045"/>
      <c r="G31" s="2045"/>
      <c r="H31" s="2045"/>
      <c r="I31" s="2045"/>
      <c r="J31" s="2045"/>
      <c r="K31" s="2054"/>
      <c r="L31" s="2031"/>
      <c r="M31" s="2031"/>
      <c r="N31" s="2032"/>
      <c r="O31" s="2033"/>
      <c r="P31" s="2032"/>
      <c r="Q31" s="2032"/>
      <c r="R31" s="2032"/>
      <c r="S31" s="2032"/>
      <c r="T31" s="2032"/>
      <c r="U31" s="2032"/>
      <c r="V31" s="2032"/>
    </row>
    <row r="32" spans="1:22" ht="18" customHeight="1">
      <c r="A32" s="3090"/>
      <c r="B32" s="2128"/>
      <c r="C32" s="2129" t="str">
        <f>IF(B32="现房","成新及维护状况是否正常",IF(B32="在建","工程状态是否正常",IF(B32="土地","是否闲置","-")))</f>
        <v>-</v>
      </c>
      <c r="D32" s="2130"/>
      <c r="E32" s="2131"/>
      <c r="F32" s="2045"/>
      <c r="G32" s="2045"/>
      <c r="H32" s="2045"/>
      <c r="I32" s="2045"/>
      <c r="J32" s="2045"/>
      <c r="K32" s="2056"/>
      <c r="L32" s="2031"/>
      <c r="M32" s="2031"/>
      <c r="N32" s="2032"/>
      <c r="O32" s="2033"/>
      <c r="P32" s="2032"/>
      <c r="Q32" s="2032"/>
      <c r="R32" s="2032"/>
      <c r="S32" s="2032"/>
      <c r="T32" s="2032"/>
      <c r="U32" s="2032"/>
      <c r="V32" s="2032"/>
    </row>
    <row r="33" spans="1:22" ht="18" customHeight="1">
      <c r="A33" s="3090"/>
      <c r="B33" s="2132"/>
      <c r="C33" s="2072" t="str">
        <f>IF(B33="现房","成新及维护状况是否正常",IF(B33="在建","工程状态是否正常",IF(B33="土地","是否闲置","-")))</f>
        <v>-</v>
      </c>
      <c r="D33" s="2133"/>
      <c r="E33" s="2134"/>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1831</v>
      </c>
      <c r="B34" s="2135" t="s">
        <v>3051</v>
      </c>
      <c r="C34" s="2135" t="s">
        <v>3052</v>
      </c>
      <c r="D34" s="2135" t="s">
        <v>3053</v>
      </c>
      <c r="E34" s="2135" t="s">
        <v>3054</v>
      </c>
      <c r="F34" s="2135" t="s">
        <v>3055</v>
      </c>
      <c r="G34" s="2135"/>
      <c r="H34" s="2135"/>
      <c r="I34" s="2045"/>
      <c r="J34" s="2045"/>
      <c r="K34" s="1798">
        <f>COUNTIF(B34:H34,"——")</f>
        <v>0</v>
      </c>
      <c r="L34" s="2076" t="s">
        <v>1832</v>
      </c>
      <c r="M34" s="2076" t="s">
        <v>1833</v>
      </c>
      <c r="N34" s="2076" t="s">
        <v>1834</v>
      </c>
      <c r="O34" s="2076" t="s">
        <v>1835</v>
      </c>
      <c r="P34" s="2076" t="s">
        <v>1836</v>
      </c>
      <c r="Q34" s="2076" t="s">
        <v>1837</v>
      </c>
      <c r="R34" s="2076" t="s">
        <v>1838</v>
      </c>
      <c r="S34" s="3084" t="s">
        <v>1839</v>
      </c>
      <c r="T34" s="2136" t="str">
        <f>NUMBERSTRING(7-K34,1)&amp;"通"</f>
        <v>七通</v>
      </c>
      <c r="U34" s="2032"/>
      <c r="V34" s="2032"/>
    </row>
    <row r="35" spans="1:22" ht="18" customHeight="1">
      <c r="A35" s="2137"/>
      <c r="B35" s="3091" t="s">
        <v>1840</v>
      </c>
      <c r="C35" s="3091"/>
      <c r="D35" s="3091"/>
      <c r="E35" s="3091"/>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84"/>
      <c r="T35" s="48" t="str">
        <f>IF(T34="一通",L35,IF(T34="二通",M35,IF(T34="三通",N35,IF(T34="四通",O35,IF(T34="五通",P35,IF(T34="六通",Q35,R35))))))</f>
        <v>通路、通电、通讯、通上水、通下水、、</v>
      </c>
      <c r="U35" s="2032"/>
      <c r="V35" s="2032"/>
    </row>
    <row r="36" spans="1:22" ht="18" customHeight="1">
      <c r="A36" s="2139"/>
      <c r="B36" s="2138" t="s">
        <v>1841</v>
      </c>
      <c r="C36" s="2138" t="s">
        <v>1842</v>
      </c>
      <c r="D36" s="2138" t="s">
        <v>1843</v>
      </c>
      <c r="E36" s="2138" t="s">
        <v>1844</v>
      </c>
      <c r="F36" s="2140"/>
      <c r="G36" s="2045"/>
      <c r="H36" s="2045"/>
      <c r="I36" s="2045"/>
      <c r="J36" s="2045"/>
      <c r="K36" s="2056"/>
      <c r="L36" s="2031"/>
      <c r="M36" s="2031"/>
      <c r="N36" s="2032"/>
      <c r="O36" s="2033"/>
      <c r="P36" s="2032"/>
      <c r="Q36" s="2032"/>
      <c r="R36" s="2032"/>
      <c r="S36" s="2032"/>
      <c r="T36" s="2032"/>
      <c r="U36" s="2032"/>
      <c r="V36" s="2032"/>
    </row>
    <row r="37" spans="1:22" ht="18" customHeight="1">
      <c r="A37" s="2141" t="s">
        <v>1845</v>
      </c>
      <c r="B37" s="2142"/>
      <c r="C37" s="2142"/>
      <c r="D37" s="2142"/>
      <c r="E37" s="2142" t="s">
        <v>526</v>
      </c>
      <c r="F37" s="2140"/>
      <c r="G37" s="2045"/>
      <c r="H37" s="2045"/>
      <c r="I37" s="2045"/>
      <c r="J37" s="2045"/>
      <c r="K37" s="2056"/>
      <c r="L37" s="2031"/>
      <c r="M37" s="2031"/>
      <c r="N37" s="2032"/>
      <c r="O37" s="2033"/>
      <c r="P37" s="2032"/>
      <c r="Q37" s="2032"/>
      <c r="R37" s="2032"/>
      <c r="S37" s="2032"/>
      <c r="T37" s="2032"/>
      <c r="U37" s="2032"/>
      <c r="V37" s="2032"/>
    </row>
    <row r="38" spans="1:22" ht="18" customHeight="1" thickBot="1">
      <c r="A38" s="2143" t="s">
        <v>1846</v>
      </c>
      <c r="B38" s="2144"/>
      <c r="C38" s="2144"/>
      <c r="D38" s="2144"/>
      <c r="E38" s="2144" t="s">
        <v>3056</v>
      </c>
      <c r="F38" s="2145"/>
      <c r="G38" s="2064"/>
      <c r="H38" s="2064"/>
      <c r="I38" s="2064"/>
      <c r="J38" s="2045"/>
      <c r="K38" s="2056"/>
      <c r="L38" s="2031"/>
      <c r="M38" s="2031"/>
      <c r="N38" s="2032"/>
      <c r="O38" s="2033"/>
      <c r="P38" s="2032"/>
      <c r="Q38" s="2032"/>
      <c r="R38" s="2032"/>
      <c r="S38" s="2032"/>
      <c r="T38" s="2032"/>
      <c r="U38" s="2032"/>
      <c r="V38" s="2032"/>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1848</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1849</v>
      </c>
      <c r="B42" s="1798" t="s">
        <v>1850</v>
      </c>
      <c r="C42" s="1798" t="s">
        <v>1851</v>
      </c>
      <c r="D42" s="1798" t="s">
        <v>1852</v>
      </c>
      <c r="E42" s="1798" t="s">
        <v>1853</v>
      </c>
      <c r="F42" s="1798" t="s">
        <v>1854</v>
      </c>
      <c r="G42" s="1798" t="s">
        <v>1855</v>
      </c>
      <c r="H42" s="1798" t="s">
        <v>1856</v>
      </c>
      <c r="I42" s="1798" t="s">
        <v>1857</v>
      </c>
      <c r="J42" s="2154" t="s">
        <v>1858</v>
      </c>
      <c r="K42" s="2077" t="s">
        <v>1859</v>
      </c>
      <c r="L42" s="2077" t="s">
        <v>1860</v>
      </c>
      <c r="M42" s="2077" t="s">
        <v>1861</v>
      </c>
      <c r="N42" s="1798" t="s">
        <v>1862</v>
      </c>
      <c r="O42" s="1798" t="s">
        <v>1863</v>
      </c>
      <c r="P42" s="1798" t="s">
        <v>1864</v>
      </c>
      <c r="Q42" s="2076" t="s">
        <v>1865</v>
      </c>
      <c r="R42" s="2076" t="s">
        <v>1866</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P13" sqref="P13"/>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1872</v>
      </c>
      <c r="AZ2" s="1273"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f>Sheet1!L21</f>
        <v>11873.13</v>
      </c>
      <c r="B3" s="14">
        <f>IF(C3="否",G5-AT5,G5)</f>
        <v>21214.79</v>
      </c>
      <c r="C3" s="2170"/>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6"/>
      <c r="C5" s="1806"/>
      <c r="D5" s="1809"/>
      <c r="E5" s="16" t="s">
        <v>1</v>
      </c>
      <c r="F5" s="16">
        <f>SUM(F13:F587)</f>
        <v>0</v>
      </c>
      <c r="G5" s="16">
        <f>SUM(G13:G587)</f>
        <v>21214.79</v>
      </c>
      <c r="H5" s="16">
        <f t="shared" ref="H5:AT5" si="0">SUM(H13:H656)</f>
        <v>21214.79</v>
      </c>
      <c r="I5" s="16">
        <f t="shared" si="0"/>
        <v>17809.45</v>
      </c>
      <c r="J5" s="16">
        <f t="shared" si="0"/>
        <v>0</v>
      </c>
      <c r="K5" s="16">
        <f t="shared" si="0"/>
        <v>3405.3399999999992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21214.79</v>
      </c>
      <c r="BA5" s="18">
        <f t="shared" si="1"/>
        <v>21214.79</v>
      </c>
      <c r="BB5" s="18">
        <f t="shared" si="1"/>
        <v>17809.45</v>
      </c>
      <c r="BC5" s="18">
        <f t="shared" si="1"/>
        <v>3405.3399999999992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11873.130000000001</v>
      </c>
      <c r="F6" s="16" t="s">
        <v>1</v>
      </c>
      <c r="G6" s="16" t="s">
        <v>2</v>
      </c>
      <c r="H6" s="20">
        <f>SUMIF(I$12:AB$12,"总值",I6:AB6)</f>
        <v>11873.130000000001</v>
      </c>
      <c r="I6" s="16">
        <f t="shared" ref="I6:AB6" si="2">ROUND($A$3*I5/$B$3,2)</f>
        <v>9967.2900000000009</v>
      </c>
      <c r="J6" s="16">
        <f t="shared" si="2"/>
        <v>0</v>
      </c>
      <c r="K6" s="16">
        <f t="shared" si="2"/>
        <v>1905.84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11873.13</v>
      </c>
      <c r="AZ6" s="16" t="s">
        <v>3</v>
      </c>
      <c r="BA6" s="16">
        <f>ROUND($AY$6*BA5/$AZ$5,2)</f>
        <v>11873.13</v>
      </c>
      <c r="BB6" s="16">
        <f>ROUND($AY$6*BB5/$AZ$5,2)</f>
        <v>9967.2900000000009</v>
      </c>
      <c r="BC6" s="16">
        <f t="shared" ref="BC6:BH6" si="4">ROUND($AY$6*BC5/$AZ$5,2)</f>
        <v>1905.84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7"/>
      <c r="AX8" s="1295"/>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1895</v>
      </c>
      <c r="I9" s="2193" t="s">
        <v>3067</v>
      </c>
      <c r="J9" s="984"/>
      <c r="K9" s="2193" t="s">
        <v>3095</v>
      </c>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t="s">
        <v>6</v>
      </c>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t="str">
        <f>K9</f>
        <v>地下</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c r="J11" s="2205"/>
      <c r="K11" s="2204" t="s">
        <v>3096</v>
      </c>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t="str">
        <f>K10</f>
        <v>工业</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f>I11</f>
        <v>0</v>
      </c>
      <c r="BC12" s="2214" t="str">
        <f>K11</f>
        <v>仓储</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38.1" customHeight="1">
      <c r="A13" s="1275"/>
      <c r="B13" s="1275" t="s">
        <v>3062</v>
      </c>
      <c r="C13" s="1275" t="s">
        <v>3057</v>
      </c>
      <c r="D13" s="2215" t="s">
        <v>3072</v>
      </c>
      <c r="E13" s="16">
        <f>IF($C$3="是",ROUND($A$3*G13/$B$3,2),ROUND($A$3*(G13-AT13)/$B$3,2))</f>
        <v>6246.81</v>
      </c>
      <c r="F13" s="32"/>
      <c r="G13" s="33">
        <f>H13+AC13+AT13</f>
        <v>11161.74</v>
      </c>
      <c r="H13" s="20">
        <f>SUMIF(I$12:AB$12,"总值",I13:AB13)</f>
        <v>11161.74</v>
      </c>
      <c r="I13" s="2964">
        <f>ROUND(11161.74/8*7,0)</f>
        <v>9767</v>
      </c>
      <c r="J13" s="2216"/>
      <c r="K13" s="2216">
        <f>11161.74-I13</f>
        <v>1394.7399999999998</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京（2018）昌不动产权第0013651号</v>
      </c>
      <c r="AX13" s="11" t="str">
        <f t="shared" si="6"/>
        <v>1号楼</v>
      </c>
      <c r="AY13" s="1809">
        <f>ROUND($AY$6*AZ13/$AZ$5,2)</f>
        <v>6246.81</v>
      </c>
      <c r="AZ13" s="16">
        <f>BA13+BL13</f>
        <v>11161.74</v>
      </c>
      <c r="BA13" s="16">
        <f>SUM(BB13:BK13)</f>
        <v>11161.74</v>
      </c>
      <c r="BB13" s="16">
        <f>IF($D13="是",I13-J13,0)</f>
        <v>9767</v>
      </c>
      <c r="BC13" s="16">
        <f>IF($D13="是",K13-L13,0)</f>
        <v>1394.7399999999998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38.1" customHeight="1">
      <c r="A14" s="1275"/>
      <c r="B14" s="1275" t="s">
        <v>3063</v>
      </c>
      <c r="C14" s="1275" t="s">
        <v>3058</v>
      </c>
      <c r="D14" s="2215" t="s">
        <v>3072</v>
      </c>
      <c r="E14" s="16">
        <f>IF($C$3="是",ROUND($A$3*G14/$B$3,2),ROUND($A$3*(G14-AT14)/$B$3,2))</f>
        <v>1406.47</v>
      </c>
      <c r="F14" s="32"/>
      <c r="G14" s="33">
        <f>H14+AC14+AT14</f>
        <v>2513.06</v>
      </c>
      <c r="H14" s="20">
        <f>SUMIF(I$12:AB$12,"总值",I14:AB14)</f>
        <v>2513.06</v>
      </c>
      <c r="I14" s="2961">
        <f>ROUND(2513.06/5*4,2)</f>
        <v>2010.45</v>
      </c>
      <c r="J14" s="2216"/>
      <c r="K14" s="2216">
        <f>2513.06-I14</f>
        <v>502.6099999999999</v>
      </c>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京（2018）昌不动产权第0013099号</v>
      </c>
      <c r="AX14" s="11" t="str">
        <f t="shared" si="6"/>
        <v>2号楼</v>
      </c>
      <c r="AY14" s="1809">
        <f>ROUND($AY$6*AZ14/$AZ$5,2)</f>
        <v>1406.47</v>
      </c>
      <c r="AZ14" s="16">
        <f>BA14+BL14</f>
        <v>2513.06</v>
      </c>
      <c r="BA14" s="16">
        <f>SUM(BB14:BK14)</f>
        <v>2513.06</v>
      </c>
      <c r="BB14" s="16">
        <f>IF($D14="是",I14-J14,0)</f>
        <v>2010.45</v>
      </c>
      <c r="BC14" s="16">
        <f>IF($D14="是",K14-L14,0)</f>
        <v>502.6099999999999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38.1" customHeight="1">
      <c r="A15" s="1275"/>
      <c r="B15" s="1275" t="s">
        <v>3064</v>
      </c>
      <c r="C15" s="1275" t="s">
        <v>3059</v>
      </c>
      <c r="D15" s="2215" t="s">
        <v>3072</v>
      </c>
      <c r="E15" s="16">
        <f>IF($C$3="是",ROUND($A$3*G15/$B$3,2),ROUND($A$3*(G15-AT15)/$B$3,2))</f>
        <v>1406.92</v>
      </c>
      <c r="F15" s="32"/>
      <c r="G15" s="33">
        <f>H15+AC15+AT15</f>
        <v>2513.87</v>
      </c>
      <c r="H15" s="20">
        <f>SUMIF(I$12:AB$12,"总值",I15:AB15)</f>
        <v>2513.87</v>
      </c>
      <c r="I15" s="2961">
        <f>ROUND(2513.87/5*4,2)</f>
        <v>2011.1</v>
      </c>
      <c r="J15" s="2216"/>
      <c r="K15" s="2216">
        <f>2513.87-I15</f>
        <v>502.77</v>
      </c>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t="str">
        <f t="shared" si="6"/>
        <v>京（2018）昌不动产权第0013021号</v>
      </c>
      <c r="AX15" s="11" t="str">
        <f t="shared" si="6"/>
        <v>3号楼</v>
      </c>
      <c r="AY15" s="1809">
        <f>ROUND($AY$6*AZ15/$AZ$5,2)</f>
        <v>1406.92</v>
      </c>
      <c r="AZ15" s="16">
        <f>BA15+BL15</f>
        <v>2513.87</v>
      </c>
      <c r="BA15" s="16">
        <f>SUM(BB15:BK15)</f>
        <v>2513.87</v>
      </c>
      <c r="BB15" s="16">
        <f>IF($D15="是",I15-J15,0)</f>
        <v>2011.1</v>
      </c>
      <c r="BC15" s="16">
        <f>IF($D15="是",K15-L15,0)</f>
        <v>502.77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38.1" customHeight="1">
      <c r="A16" s="1275"/>
      <c r="B16" s="1275" t="s">
        <v>3065</v>
      </c>
      <c r="C16" s="1275" t="s">
        <v>3060</v>
      </c>
      <c r="D16" s="2215" t="s">
        <v>3072</v>
      </c>
      <c r="E16" s="16">
        <f>IF($C$3="是",ROUND($A$3*G16/$B$3,2),ROUND($A$3*(G16-AT16)/$B$3,2))</f>
        <v>1406.47</v>
      </c>
      <c r="F16" s="32"/>
      <c r="G16" s="33">
        <f>H16+AC16+AT16</f>
        <v>2513.06</v>
      </c>
      <c r="H16" s="20">
        <f>SUMIF(I$12:AB$12,"总值",I16:AB16)</f>
        <v>2513.06</v>
      </c>
      <c r="I16" s="2961">
        <f>ROUND(2513.06/5*4,2)</f>
        <v>2010.45</v>
      </c>
      <c r="J16" s="2216"/>
      <c r="K16" s="2216">
        <f>2513.06-I16</f>
        <v>502.6099999999999</v>
      </c>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t="str">
        <f t="shared" si="6"/>
        <v>京（2018）昌不动产权第0013097号</v>
      </c>
      <c r="AX16" s="11" t="str">
        <f t="shared" si="6"/>
        <v>5号楼</v>
      </c>
      <c r="AY16" s="1809">
        <f>ROUND($AY$6*AZ16/$AZ$5,2)</f>
        <v>1406.47</v>
      </c>
      <c r="AZ16" s="16">
        <f>BA16+BL16</f>
        <v>2513.06</v>
      </c>
      <c r="BA16" s="16">
        <f>SUM(BB16:BK16)</f>
        <v>2513.06</v>
      </c>
      <c r="BB16" s="16">
        <f>IF($D16="是",I16-J16,0)</f>
        <v>2010.45</v>
      </c>
      <c r="BC16" s="16">
        <f>IF($D16="是",K16-L16,0)</f>
        <v>502.6099999999999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38.1" customHeight="1">
      <c r="A17" s="1275"/>
      <c r="B17" s="1275" t="s">
        <v>3066</v>
      </c>
      <c r="C17" s="1275" t="s">
        <v>3061</v>
      </c>
      <c r="D17" s="2215" t="s">
        <v>3072</v>
      </c>
      <c r="E17" s="16">
        <f>IF($C$3="是",ROUND($A$3*G17/$B$3,2),ROUND($A$3*(G17-AT17)/$B$3,2))</f>
        <v>1406.47</v>
      </c>
      <c r="F17" s="32"/>
      <c r="G17" s="33">
        <f>H17+AC17+AT17</f>
        <v>2513.06</v>
      </c>
      <c r="H17" s="20">
        <f>SUMIF(I$12:AB$12,"总值",I17:AB17)</f>
        <v>2513.06</v>
      </c>
      <c r="I17" s="2961">
        <f>ROUND(2513.06/5*4,2)</f>
        <v>2010.45</v>
      </c>
      <c r="J17" s="2216"/>
      <c r="K17" s="2216">
        <f>2513.06-I17</f>
        <v>502.6099999999999</v>
      </c>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t="str">
        <f t="shared" si="6"/>
        <v>京（2018）昌不动产权第0012989号</v>
      </c>
      <c r="AX17" s="11" t="str">
        <f t="shared" si="6"/>
        <v>6号楼</v>
      </c>
      <c r="AY17" s="1809">
        <f>ROUND($AY$6*AZ17/$AZ$5,2)</f>
        <v>1406.47</v>
      </c>
      <c r="AZ17" s="16">
        <f>BA17+BL17</f>
        <v>2513.06</v>
      </c>
      <c r="BA17" s="16">
        <f>SUM(BB17:BK17)</f>
        <v>2513.06</v>
      </c>
      <c r="BB17" s="16">
        <f>IF($D17="是",I17-J17,0)</f>
        <v>2010.45</v>
      </c>
      <c r="BC17" s="16">
        <f>IF($D17="是",K17-L17,0)</f>
        <v>502.6099999999999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2" t="s">
        <v>0</v>
      </c>
      <c r="B1" s="3092" t="s">
        <v>4</v>
      </c>
      <c r="C1" s="3092" t="s">
        <v>5</v>
      </c>
      <c r="D1" s="3093" t="s">
        <v>53</v>
      </c>
      <c r="E1" s="3093" t="s">
        <v>54</v>
      </c>
      <c r="F1" s="3093"/>
      <c r="G1" s="3093"/>
      <c r="H1" s="3093"/>
      <c r="I1" s="3093"/>
      <c r="J1" s="3093"/>
      <c r="K1" s="3093"/>
      <c r="L1" s="3093"/>
      <c r="M1" s="3093"/>
    </row>
    <row r="2" spans="1:13" ht="27" customHeight="1">
      <c r="A2" s="3092"/>
      <c r="B2" s="3092"/>
      <c r="C2" s="3092"/>
      <c r="D2" s="3093"/>
      <c r="E2" s="3093" t="s">
        <v>37</v>
      </c>
      <c r="F2" s="3093" t="s">
        <v>38</v>
      </c>
      <c r="G2" s="3093"/>
      <c r="H2" s="3093"/>
      <c r="I2" s="3093"/>
      <c r="J2" s="3093" t="s">
        <v>39</v>
      </c>
      <c r="K2" s="3093"/>
      <c r="L2" s="3093"/>
      <c r="M2" s="3093"/>
    </row>
    <row r="3" spans="1:13" ht="28.5">
      <c r="A3" s="3092"/>
      <c r="B3" s="3092"/>
      <c r="C3" s="3092"/>
      <c r="D3" s="3093"/>
      <c r="E3" s="30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3" t="s">
        <v>55</v>
      </c>
      <c r="B9" s="3093"/>
      <c r="C9" s="30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19" sqref="G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103" t="s">
        <v>1935</v>
      </c>
      <c r="B2" s="3103"/>
      <c r="C2" s="3103"/>
      <c r="D2" s="970" t="s">
        <v>1911</v>
      </c>
      <c r="E2" s="2229" t="s">
        <v>1912</v>
      </c>
      <c r="F2" s="1395"/>
      <c r="G2" s="2230"/>
      <c r="H2" s="2231"/>
      <c r="I2" s="2232" t="s">
        <v>1936</v>
      </c>
      <c r="J2" s="1395"/>
      <c r="K2" s="1395"/>
      <c r="L2" s="1395"/>
      <c r="M2" s="1395"/>
      <c r="N2" s="1430"/>
      <c r="O2" s="1395"/>
      <c r="P2" s="1395"/>
    </row>
    <row r="3" spans="1:16" ht="15.75" thickBot="1">
      <c r="A3" s="3104" t="s">
        <v>1909</v>
      </c>
      <c r="B3" s="3104"/>
      <c r="C3" s="3104"/>
      <c r="D3" s="46">
        <f>'数据-基础表'!AY6</f>
        <v>11873.13</v>
      </c>
      <c r="E3" s="46">
        <f>'数据-基础表'!AZ5</f>
        <v>21214.79</v>
      </c>
      <c r="F3" s="1395"/>
      <c r="G3" s="1402"/>
      <c r="H3" s="1250" t="s">
        <v>1910</v>
      </c>
      <c r="I3" s="55">
        <f>ROUND('数据-基础表'!B3/'数据-基础表'!A3,2)</f>
        <v>1.79</v>
      </c>
      <c r="J3" s="1395"/>
      <c r="K3" s="1395"/>
      <c r="L3" s="1395"/>
      <c r="M3" s="1395"/>
      <c r="N3" s="1430"/>
      <c r="O3" s="1395"/>
      <c r="P3" s="1395"/>
    </row>
    <row r="4" spans="1:16" ht="15">
      <c r="A4" s="3105"/>
      <c r="B4" s="3106"/>
      <c r="C4" s="3107"/>
      <c r="D4" s="2233" t="s">
        <v>1911</v>
      </c>
      <c r="E4" s="2234" t="s">
        <v>1912</v>
      </c>
      <c r="F4" s="1395"/>
      <c r="G4" s="2235" t="s">
        <v>1937</v>
      </c>
      <c r="H4" s="1250" t="s">
        <v>1917</v>
      </c>
      <c r="I4" s="55">
        <f>ROUND(SUMIF('数据-基础表'!I9:AS9,"地上",'数据-基础表'!I5:AS5)/'数据-基础表'!A3,2)</f>
        <v>1.5</v>
      </c>
      <c r="J4" s="1395"/>
      <c r="K4" s="1395"/>
      <c r="L4" s="1395"/>
      <c r="M4" s="1395"/>
      <c r="N4" s="1430"/>
      <c r="O4" s="1395"/>
      <c r="P4" s="1395"/>
    </row>
    <row r="5" spans="1:16">
      <c r="A5" s="47" t="s">
        <v>1913</v>
      </c>
      <c r="B5" s="3108" t="s">
        <v>1914</v>
      </c>
      <c r="C5" s="3108"/>
      <c r="D5" s="48">
        <f>ROUND($D$3*E5/$E$3,2)</f>
        <v>0</v>
      </c>
      <c r="E5" s="49">
        <f>SUMIF('数据-基础表'!$11:$11,"住宅",'数据-基础表'!$5:$5)</f>
        <v>0</v>
      </c>
      <c r="F5" s="1395"/>
      <c r="G5" s="1402"/>
      <c r="H5" s="1250" t="s">
        <v>1910</v>
      </c>
      <c r="I5" s="55">
        <f>ROUND(E31/D31,2)</f>
        <v>1.79</v>
      </c>
      <c r="J5" s="1395"/>
      <c r="K5" s="1395"/>
      <c r="L5" s="1395"/>
      <c r="M5" s="1395"/>
      <c r="N5" s="1395"/>
      <c r="O5" s="1395"/>
      <c r="P5" s="1395"/>
    </row>
    <row r="6" spans="1:16" ht="15" thickBot="1">
      <c r="A6" s="2236"/>
      <c r="B6" s="3108" t="s">
        <v>1915</v>
      </c>
      <c r="C6" s="3108"/>
      <c r="D6" s="48">
        <f>ROUND($D$3*E6/$E$3,2)</f>
        <v>11873.13</v>
      </c>
      <c r="E6" s="49">
        <f>E3-E5</f>
        <v>21214.79</v>
      </c>
      <c r="F6" s="1395"/>
      <c r="G6" s="2237" t="s">
        <v>1916</v>
      </c>
      <c r="H6" s="1402" t="s">
        <v>1917</v>
      </c>
      <c r="I6" s="942">
        <f>ROUND(F31/D31,2)</f>
        <v>1.5</v>
      </c>
      <c r="J6" s="1395"/>
      <c r="K6" s="1395"/>
      <c r="L6" s="1395"/>
      <c r="M6" s="1395"/>
      <c r="N6" s="1395"/>
      <c r="O6" s="1395"/>
      <c r="P6" s="1395"/>
    </row>
    <row r="7" spans="1:16" ht="15">
      <c r="A7" s="3100"/>
      <c r="B7" s="3101"/>
      <c r="C7" s="3102"/>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9967.2900000000009</v>
      </c>
      <c r="E8" s="51">
        <f>SUMIF('数据-基础表'!BB10:BK10,"地上",'数据-基础表'!BB5:BK5)</f>
        <v>17809.45</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9967.2900000000009</v>
      </c>
      <c r="E16" s="53">
        <f>SUM(E8:E15)</f>
        <v>17809.45</v>
      </c>
      <c r="F16" s="1395"/>
      <c r="G16" s="2239"/>
      <c r="H16" s="2242" t="s">
        <v>1939</v>
      </c>
      <c r="I16" s="2243"/>
      <c r="J16" s="1395"/>
      <c r="K16" s="3097" t="s">
        <v>1939</v>
      </c>
      <c r="L16" s="3098"/>
      <c r="M16" s="3098"/>
      <c r="N16" s="3098"/>
      <c r="O16" s="3098"/>
      <c r="P16" s="3099"/>
    </row>
    <row r="17" spans="1:19" ht="15">
      <c r="A17" s="2244" t="s">
        <v>1940</v>
      </c>
      <c r="B17" s="2245" t="s">
        <v>1941</v>
      </c>
      <c r="C17" s="2246" t="s">
        <v>1942</v>
      </c>
      <c r="D17" s="2247" t="s">
        <v>1930</v>
      </c>
      <c r="E17" s="2248" t="s">
        <v>1931</v>
      </c>
      <c r="F17" s="2249"/>
      <c r="G17" s="2250"/>
      <c r="H17" s="2251" t="s">
        <v>1943</v>
      </c>
      <c r="I17" s="2252" t="s">
        <v>1928</v>
      </c>
      <c r="J17" s="1395"/>
      <c r="K17" s="3094" t="s">
        <v>1944</v>
      </c>
      <c r="L17" s="3095"/>
      <c r="M17" s="3096"/>
      <c r="N17" s="3094" t="s">
        <v>1945</v>
      </c>
      <c r="O17" s="3095"/>
      <c r="P17" s="3096"/>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54" t="s">
        <v>3111</v>
      </c>
      <c r="D19" s="48">
        <f>ROUND($D$3*E19/$E$3,2)</f>
        <v>11873.13</v>
      </c>
      <c r="E19" s="56">
        <f t="shared" ref="E19:E26" si="1">SUM(F19:G19)</f>
        <v>21214.79</v>
      </c>
      <c r="F19" s="57">
        <f>SUM('数据-基础表'!I13:I17)</f>
        <v>17809.45</v>
      </c>
      <c r="G19" s="58">
        <f>SUM('数据-基础表'!K13:K17)</f>
        <v>3405.3399999999992</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11873.13</v>
      </c>
      <c r="S19" s="1251">
        <f t="shared" si="5"/>
        <v>21214.79</v>
      </c>
    </row>
    <row r="20" spans="1:19">
      <c r="A20" s="2265"/>
      <c r="B20" s="50" t="s">
        <v>1957</v>
      </c>
      <c r="C20" s="295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11873.13</v>
      </c>
      <c r="E27" s="1397">
        <f>IF(SUM(E19:E26)='数据-基础表'!BA5,SUM(E19:E26),IF(F27="地上面积有误","面积有误","地下面积有误"))</f>
        <v>21214.79</v>
      </c>
      <c r="F27" s="1396">
        <f>IF(SUM(F19:F26)=E8,SUM(F19:F26),"地上面积有误")</f>
        <v>17809.45</v>
      </c>
      <c r="G27" s="1398">
        <f>SUM(G19:G26)</f>
        <v>3405.3399999999992</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11873.13</v>
      </c>
      <c r="S27" s="1250">
        <f>IF(SUM(S19:S26)=$E$3,SUM(S19:S26),SUM(S19:S26)&amp;"误差"&amp;ROUND(SUM(S19:S26)-E3,2))</f>
        <v>21214.79</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11873.13</v>
      </c>
      <c r="E31" s="729">
        <f>E27+E30</f>
        <v>21214.79</v>
      </c>
      <c r="F31" s="730">
        <f>F27+F30</f>
        <v>17809.45</v>
      </c>
      <c r="G31" s="731">
        <f>G27+G30</f>
        <v>3405.3399999999992</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X22" sqref="X22"/>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43100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3076</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工业用房</v>
      </c>
      <c r="B6" s="2309" t="str">
        <f>IF(A6=0,"","经营性")</f>
        <v>经营性</v>
      </c>
      <c r="C6" s="2310" t="s">
        <v>6</v>
      </c>
      <c r="D6" s="1054">
        <f>SUMIF(项目基本情况!D$12:I$12,C6,项目基本情况!D$14:I$14)</f>
        <v>50</v>
      </c>
      <c r="E6" s="1051">
        <f>IF(B6="","",SUMIF(项目基本情况!D$12:I$12,C6,项目基本情况!D$13:I$13))</f>
        <v>59376</v>
      </c>
      <c r="F6" s="72">
        <f>SUMIF(项目基本情况!D$12:I$12,C6,项目基本情况!D$15:I$15)</f>
        <v>44.59</v>
      </c>
      <c r="G6" s="73">
        <f>IF(ISERROR(ROUND(POWER(1+H6,D6-F6)*(POWER(1+H6,F6)-1)/(POWER(1+H6,D6)-1),3)),0,ROUND(POWER(1+H6,D6-F6)*(POWER(1+H6,F6)-1)/(POWER(1+H6,D6)-1),3))</f>
        <v>0.96099999999999997</v>
      </c>
      <c r="H6" s="802">
        <v>0.04</v>
      </c>
      <c r="I6" s="802">
        <v>0.05</v>
      </c>
      <c r="J6" s="74">
        <v>8.5000000000000006E-2</v>
      </c>
      <c r="K6" s="1254">
        <f>SUMIF('数据-汇总表'!C$19:C$33,A6,'数据-汇总表'!E$19:E$33)</f>
        <v>21214.79</v>
      </c>
      <c r="L6" s="2963">
        <v>2700</v>
      </c>
      <c r="M6" s="75">
        <f t="shared" ref="M6:M14" si="0">ROUND(K6*L6/10000,0)</f>
        <v>5728</v>
      </c>
      <c r="N6" s="801">
        <v>0.96599999999999997</v>
      </c>
      <c r="O6" s="75" t="str">
        <f>IF($N$5="成新度","——",ROUND(M6*N6,0))</f>
        <v>——</v>
      </c>
      <c r="P6" s="76" t="str">
        <f>IF($N$5="成新度","——",M6-O6)</f>
        <v>——</v>
      </c>
      <c r="Q6" s="804">
        <v>0.2</v>
      </c>
      <c r="R6" s="77">
        <f ca="1">SUMIF('数据-汇总表'!C$19:C$33,A6,'数据-汇总表'!R$19:R$27)</f>
        <v>11873.13</v>
      </c>
      <c r="S6" s="54">
        <f>IF('数据-汇总表'!$I$17="按面积比例",SUMIF('数据-汇总表'!C$19:C$33,A6,'数据-汇总表'!K$19:K$33),SUMIF('数据-汇总表'!C$19:C$33,A6,'数据-汇总表'!N$19:N$33))</f>
        <v>0</v>
      </c>
      <c r="T6" s="1446">
        <f>ROUND($L$14*S6/10000,0)</f>
        <v>0</v>
      </c>
      <c r="U6" s="78">
        <v>3.2</v>
      </c>
      <c r="V6" s="79">
        <v>0.03</v>
      </c>
      <c r="W6" s="79">
        <v>0.05</v>
      </c>
      <c r="X6" s="1264"/>
      <c r="Y6" s="80">
        <f>N6</f>
        <v>0.96599999999999997</v>
      </c>
      <c r="Z6" s="81"/>
      <c r="AA6" s="74"/>
      <c r="AB6" s="74"/>
      <c r="AC6" s="1264"/>
      <c r="AD6" s="82"/>
      <c r="AE6" s="1265">
        <f ca="1">IF(AN6="",0,SUMIF(INDIRECT("'"&amp;AN6&amp;"'"&amp;"!E:E"),$AE$5,INDIRECT("'"&amp;AN6&amp;"'"&amp;"!F:F")))</f>
        <v>44.59</v>
      </c>
      <c r="AF6" s="1807"/>
      <c r="AG6" s="147">
        <f>IF(AF6="",0,AE6-AF6)</f>
        <v>0</v>
      </c>
      <c r="AH6" s="83"/>
      <c r="AI6" s="85">
        <v>365</v>
      </c>
      <c r="AJ6" s="86"/>
      <c r="AK6" s="87">
        <v>1.4999999999999999E-2</v>
      </c>
      <c r="AL6" s="88">
        <v>1.5E-3</v>
      </c>
      <c r="AM6" s="89">
        <v>0.02</v>
      </c>
      <c r="AN6" s="2311" t="s">
        <v>3112</v>
      </c>
      <c r="AO6" s="55">
        <f ca="1">SUMIF(INDIRECT("'"&amp;AN6&amp;"'"&amp;"!A:A"),"总价",INDIRECT("'"&amp;AN6&amp;"'"&amp;"!B:B"))</f>
        <v>56533</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t="s">
        <v>6</v>
      </c>
      <c r="D7" s="1054">
        <f>SUMIF(项目基本情况!D$12:I$12,C7,项目基本情况!D$14:I$14)</f>
        <v>50</v>
      </c>
      <c r="E7" s="1051" t="str">
        <f>IF(B7="","",SUMIF(项目基本情况!D$12:I$12,C7,项目基本情况!D$13:I$13))</f>
        <v/>
      </c>
      <c r="F7" s="72">
        <f>SUMIF(项目基本情况!D$12:I$12,C7,项目基本情况!D$15:I$15)</f>
        <v>44.59</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v>365</v>
      </c>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0.96099999999999997</v>
      </c>
      <c r="H16" s="99">
        <f>ROUND(SUMPRODUCT(H6:H13,K6:K13)/SUMPRODUCT((H6:H13&gt;0)*(K6:K13)),3)</f>
        <v>0.04</v>
      </c>
      <c r="I16" s="100"/>
      <c r="J16" s="100"/>
      <c r="K16" s="101">
        <f>SUM(K6:K15)</f>
        <v>21214.79</v>
      </c>
      <c r="L16" s="102">
        <f>ROUND(M16*10000/SUM(K6:K14),0)</f>
        <v>2700</v>
      </c>
      <c r="M16" s="102">
        <f>SUM(M6:M14)</f>
        <v>5728</v>
      </c>
      <c r="N16" s="103">
        <f>ROUND(SUMPRODUCT(M6:M14,N6:N14)/M16,3)</f>
        <v>0.96599999999999997</v>
      </c>
      <c r="O16" s="102">
        <f>SUM(O6:O14)</f>
        <v>0</v>
      </c>
      <c r="P16" s="102">
        <f>SUM(P6:P14)</f>
        <v>0</v>
      </c>
      <c r="Q16" s="104">
        <f>ROUND(SUMPRODUCT(Q6:Q13,K6:K13)/SUMPRODUCT((Q6:Q13&gt;0)*(K6:K13)),2)</f>
        <v>0.2</v>
      </c>
      <c r="R16" s="1258">
        <f ca="1">SUM(R6:R13)</f>
        <v>11873.13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2</v>
      </c>
      <c r="C20" s="2279" t="s">
        <v>2018</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v>150</v>
      </c>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190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f ca="1">成本法!C10</f>
        <v>403</v>
      </c>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0.05</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0.02</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0.05</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1.5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56</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C3" activePane="bottomRight" state="frozen"/>
      <selection activeCell="C50" sqref="C50"/>
      <selection pane="topRight" activeCell="C50" sqref="C50"/>
      <selection pane="bottomLeft" activeCell="C50" sqref="C50"/>
      <selection pane="bottomRight" activeCell="G5" sqref="G5"/>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109" t="s">
        <v>2080</v>
      </c>
      <c r="B1" s="3110"/>
      <c r="C1" s="3110"/>
      <c r="D1" s="3110"/>
      <c r="E1" s="3110"/>
      <c r="F1" s="3110"/>
      <c r="G1" s="311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956" t="s">
        <v>3102</v>
      </c>
      <c r="H3" s="2370"/>
      <c r="I3" s="2370"/>
      <c r="J3" s="2370"/>
      <c r="K3" s="2370"/>
      <c r="L3" s="2370"/>
      <c r="M3" s="2370"/>
      <c r="N3" s="2370"/>
      <c r="O3" s="2370"/>
      <c r="P3" s="2370"/>
      <c r="Q3" s="2370"/>
      <c r="R3" s="2370"/>
    </row>
    <row r="4" spans="1:29" ht="67.5">
      <c r="A4" s="431"/>
      <c r="B4" s="1798" t="s">
        <v>2087</v>
      </c>
      <c r="C4" s="2375" t="s">
        <v>2088</v>
      </c>
      <c r="D4" s="2373"/>
      <c r="E4" s="2376"/>
      <c r="F4" s="42" t="s">
        <v>2089</v>
      </c>
      <c r="G4" s="2957" t="s">
        <v>3326</v>
      </c>
      <c r="H4" s="2370"/>
      <c r="I4" s="2370"/>
      <c r="J4" s="2370"/>
      <c r="K4" s="2370"/>
      <c r="L4" s="2370"/>
      <c r="M4" s="2370"/>
      <c r="N4" s="2370"/>
      <c r="O4" s="2370"/>
      <c r="P4" s="2370"/>
      <c r="Q4" s="2370"/>
      <c r="R4" s="2370"/>
    </row>
    <row r="5" spans="1:29" ht="94.5">
      <c r="A5" s="431"/>
      <c r="B5" s="1798" t="s">
        <v>2091</v>
      </c>
      <c r="C5" s="2375" t="s">
        <v>2092</v>
      </c>
      <c r="D5" s="2373"/>
      <c r="E5" s="2376"/>
      <c r="F5" s="1798" t="s">
        <v>2093</v>
      </c>
      <c r="G5" s="2957" t="s">
        <v>3328</v>
      </c>
      <c r="H5" s="2370"/>
      <c r="I5" s="2370"/>
      <c r="J5" s="2370"/>
      <c r="K5" s="2370"/>
      <c r="L5" s="2370"/>
      <c r="M5" s="2370"/>
      <c r="N5" s="2370"/>
      <c r="O5" s="2370"/>
      <c r="P5" s="2370"/>
      <c r="Q5" s="2370"/>
      <c r="R5" s="2370"/>
    </row>
    <row r="6" spans="1:29" ht="54">
      <c r="A6" s="431"/>
      <c r="B6" s="1798" t="s">
        <v>2095</v>
      </c>
      <c r="C6" s="2377" t="s">
        <v>2090</v>
      </c>
      <c r="D6" s="2373"/>
      <c r="E6" s="2376"/>
      <c r="F6" s="1798" t="s">
        <v>2096</v>
      </c>
      <c r="G6" s="2957" t="s">
        <v>3116</v>
      </c>
      <c r="H6" s="2370"/>
      <c r="I6" s="2370"/>
      <c r="J6" s="2370"/>
      <c r="K6" s="2370"/>
      <c r="L6" s="2370"/>
      <c r="M6" s="2370"/>
      <c r="N6" s="2370"/>
      <c r="O6" s="2370"/>
      <c r="P6" s="2370"/>
      <c r="Q6" s="2370"/>
      <c r="R6" s="2370"/>
    </row>
    <row r="7" spans="1:29" ht="41.25" thickBot="1">
      <c r="A7" s="431"/>
      <c r="B7" s="1798" t="s">
        <v>2093</v>
      </c>
      <c r="C7" s="2377" t="s">
        <v>2094</v>
      </c>
      <c r="D7" s="2378"/>
      <c r="E7" s="2379"/>
      <c r="F7" s="2380" t="s">
        <v>2098</v>
      </c>
      <c r="G7" s="2958" t="s">
        <v>3327</v>
      </c>
      <c r="H7" s="2370"/>
      <c r="I7" s="2370"/>
      <c r="J7" s="2370"/>
      <c r="K7" s="2370"/>
      <c r="L7" s="2370"/>
      <c r="M7" s="2370"/>
      <c r="N7" s="2370"/>
      <c r="O7" s="2370"/>
      <c r="P7" s="2370"/>
      <c r="Q7" s="2370"/>
      <c r="R7" s="2370"/>
    </row>
    <row r="8" spans="1:29" ht="27">
      <c r="A8" s="431"/>
      <c r="B8" s="1798" t="s">
        <v>2096</v>
      </c>
      <c r="C8" s="2377" t="s">
        <v>2097</v>
      </c>
      <c r="D8" s="2378"/>
      <c r="E8" s="2378"/>
      <c r="F8" s="1136"/>
      <c r="G8" s="1136"/>
      <c r="H8" s="2370"/>
      <c r="I8" s="2370"/>
      <c r="J8" s="2370"/>
      <c r="K8" s="2370"/>
      <c r="L8" s="2370"/>
      <c r="M8" s="2370"/>
      <c r="N8" s="2370"/>
      <c r="O8" s="2370"/>
      <c r="P8" s="2370"/>
      <c r="Q8" s="2370"/>
      <c r="R8" s="2370"/>
    </row>
    <row r="9" spans="1:29" ht="27">
      <c r="A9" s="431"/>
      <c r="B9" s="1798" t="s">
        <v>2099</v>
      </c>
      <c r="C9" s="2375" t="s">
        <v>2100</v>
      </c>
      <c r="D9" s="2373"/>
      <c r="E9" s="2378"/>
      <c r="F9" s="1136"/>
      <c r="G9" s="1136"/>
      <c r="H9" s="2370"/>
      <c r="I9" s="2370"/>
      <c r="J9" s="2370"/>
      <c r="K9" s="2370"/>
      <c r="L9" s="2370"/>
      <c r="M9" s="2370"/>
      <c r="N9" s="2370"/>
      <c r="O9" s="2370"/>
      <c r="P9" s="2370"/>
      <c r="Q9" s="2370"/>
      <c r="R9" s="2370"/>
    </row>
    <row r="10" spans="1:29" s="117" customFormat="1" ht="15.75" thickBot="1">
      <c r="A10" s="2381"/>
      <c r="B10" s="2382" t="s">
        <v>2101</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2102</v>
      </c>
      <c r="B13" s="2388"/>
      <c r="C13" s="2388"/>
      <c r="D13" s="2395"/>
      <c r="E13" s="2388"/>
      <c r="F13" s="2388"/>
      <c r="G13" s="2388"/>
    </row>
    <row r="14" spans="1:29" ht="15.75" thickBot="1">
      <c r="A14" s="2399"/>
      <c r="B14" s="2400"/>
      <c r="C14" s="2401" t="s">
        <v>2103</v>
      </c>
      <c r="D14" s="2373"/>
      <c r="E14" s="2402"/>
      <c r="F14" s="2402"/>
      <c r="G14" s="2367" t="s">
        <v>2104</v>
      </c>
    </row>
    <row r="15" spans="1:29" ht="57">
      <c r="A15" s="68" t="s">
        <v>2105</v>
      </c>
      <c r="B15" s="1270" t="s">
        <v>2084</v>
      </c>
      <c r="C15" s="2403" t="str">
        <f>C3</f>
        <v>估价对象周边居住用地比例、居住小区规模和社区发展完善程度，综合评价居住社区成熟度一般</v>
      </c>
      <c r="D15" s="2373"/>
      <c r="E15" s="2404" t="s">
        <v>2106</v>
      </c>
      <c r="F15" s="1270" t="s">
        <v>2107</v>
      </c>
      <c r="G15" s="135" t="str">
        <f>G3</f>
        <v>估价对象位于乐华仕健康产业园，园区建设成熟度较好，周边有中国电子产品科技园等项目，产业集聚程度较好。</v>
      </c>
    </row>
    <row r="16" spans="1:29" ht="71.25">
      <c r="A16" s="645"/>
      <c r="B16" s="2405" t="s">
        <v>2087</v>
      </c>
      <c r="C16" s="2406" t="str">
        <f>C4</f>
        <v>估价对象位于XX商圈，周边商业氛围成熟，人流量大，商业繁华度好</v>
      </c>
      <c r="D16" s="2373"/>
      <c r="E16" s="2407"/>
      <c r="F16" s="2408" t="s">
        <v>2089</v>
      </c>
      <c r="G16" s="136" t="str">
        <f>G4</f>
        <v>估价对象周边路网较密集，公共交通通达情况较好，有889路、昌1路等公共交通，停车便捷程度较好，综合评价交通便捷度较好。</v>
      </c>
    </row>
    <row r="17" spans="1:18" ht="42.75">
      <c r="A17" s="645"/>
      <c r="B17" s="2405" t="s">
        <v>2091</v>
      </c>
      <c r="C17" s="2406" t="str">
        <f>C5</f>
        <v>估价对象位于XX商圈，周边办公楼项目较多，入驻率高，办公集聚程度较好</v>
      </c>
      <c r="D17" s="2378"/>
      <c r="E17" s="2407"/>
      <c r="F17" s="2408" t="s">
        <v>2108</v>
      </c>
      <c r="G17" s="2960" t="s">
        <v>3107</v>
      </c>
    </row>
    <row r="18" spans="1:18" ht="57">
      <c r="A18" s="645"/>
      <c r="B18" s="2408" t="s">
        <v>2095</v>
      </c>
      <c r="C18" s="136" t="str">
        <f>C6</f>
        <v>估价对象周边道路状况、公共交通通达情况、停车便捷程度，综合评价交通便捷度较好</v>
      </c>
      <c r="D18" s="2378"/>
      <c r="E18" s="2407"/>
      <c r="F18" s="2408" t="s">
        <v>2098</v>
      </c>
      <c r="G18" s="136" t="str">
        <f>G7</f>
        <v>该园区内是无污染型企业，绿化情况较好，卫生条件较好，整体环境状况较好。</v>
      </c>
    </row>
    <row r="19" spans="1:18" ht="99.75">
      <c r="A19" s="645"/>
      <c r="B19" s="2408" t="s">
        <v>2109</v>
      </c>
      <c r="C19" s="1572"/>
      <c r="D19" s="2373"/>
      <c r="E19" s="2407"/>
      <c r="F19" s="1798" t="s">
        <v>2093</v>
      </c>
      <c r="G19" s="136" t="str">
        <f>G5</f>
        <v>估价对象所在区域2公里范围内有：银行（中国银行、中国民生银行），购物（金隅万科购物中心，菓岭假日广场），医院（北京龙山中医医院），学校（中国石油大学附属小学、附属中学）公共配套设施齐备情况较好。</v>
      </c>
    </row>
    <row r="20" spans="1:18" ht="28.5">
      <c r="A20" s="645"/>
      <c r="B20" s="2408" t="s">
        <v>2110</v>
      </c>
      <c r="C20" s="2406" t="str">
        <f>C9</f>
        <v>区域自然环境：；人文环境；综合评价环境状况一般</v>
      </c>
      <c r="D20" s="2378"/>
      <c r="E20" s="2407"/>
      <c r="F20" s="1798" t="s">
        <v>2111</v>
      </c>
      <c r="G20" s="136" t="str">
        <f>G6</f>
        <v>估价对象所在区域基础设施水平达到“七通”。</v>
      </c>
    </row>
    <row r="21" spans="1:18" ht="28.5">
      <c r="A21" s="645"/>
      <c r="B21" s="1798" t="s">
        <v>2093</v>
      </c>
      <c r="C21" s="136" t="str">
        <f>C7</f>
        <v>估价对象所在区域公共配套设施齐备情况</v>
      </c>
      <c r="D21" s="2373"/>
      <c r="E21" s="2407"/>
      <c r="F21" s="2408" t="s">
        <v>2112</v>
      </c>
      <c r="G21" s="2409" t="s">
        <v>3108</v>
      </c>
    </row>
    <row r="22" spans="1:18" ht="13.5" customHeight="1">
      <c r="A22" s="645"/>
      <c r="B22" s="1798" t="s">
        <v>2096</v>
      </c>
      <c r="C22" s="136" t="str">
        <f>C8</f>
        <v>估价对象所在区域基础设施水平</v>
      </c>
      <c r="D22" s="2373"/>
      <c r="E22" s="2407"/>
      <c r="F22" s="2408" t="s">
        <v>2101</v>
      </c>
      <c r="G22" s="2960" t="s">
        <v>3109</v>
      </c>
    </row>
    <row r="23" spans="1:18" s="2370"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70"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21214.79</v>
      </c>
      <c r="C1" s="1745"/>
      <c r="D1" s="1745"/>
      <c r="E1" s="1745"/>
      <c r="F1" s="1745"/>
      <c r="G1" s="1743"/>
    </row>
    <row r="2" spans="1:10" ht="16.5">
      <c r="A2" s="1746" t="s">
        <v>1353</v>
      </c>
      <c r="B2" s="1746">
        <f>SUM(C14:C23)</f>
        <v>11873.13</v>
      </c>
      <c r="C2" s="1745"/>
      <c r="D2" s="1745"/>
      <c r="E2" s="1745"/>
      <c r="F2" s="1745"/>
      <c r="G2" s="1743"/>
    </row>
    <row r="3" spans="1:10" ht="16.5">
      <c r="A3" s="1746" t="s">
        <v>1362</v>
      </c>
      <c r="B3" s="1747">
        <f>项目基本情况!D3</f>
        <v>43100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47967</v>
      </c>
      <c r="C5" s="1746">
        <f ca="1">ROUND(B5*10000/$B$1,0)</f>
        <v>22610</v>
      </c>
      <c r="D5" s="1746">
        <f ca="1">ROUND(B5*10000/$B$2,0)</f>
        <v>40400</v>
      </c>
      <c r="E5" s="1745"/>
      <c r="F5" s="1743"/>
      <c r="G5" s="1743"/>
    </row>
    <row r="6" spans="1:10" ht="16.5">
      <c r="A6" s="1746" t="s">
        <v>1356</v>
      </c>
      <c r="B6" s="1746">
        <f ca="1">SUM(G14:G23)</f>
        <v>47967</v>
      </c>
      <c r="C6" s="1746">
        <f ca="1">ROUND(B6*10000/$B$1,0)</f>
        <v>22610</v>
      </c>
      <c r="D6" s="1746">
        <f ca="1">ROUND(B6*10000/$B$2,0)</f>
        <v>40400</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21214.79</v>
      </c>
      <c r="C14" s="1744">
        <f>结果表!C118</f>
        <v>11873.13</v>
      </c>
      <c r="D14" s="1744">
        <f ca="1">结果表!H118</f>
        <v>47967</v>
      </c>
      <c r="E14" s="1744">
        <f ca="1">ROUND(D14*10000/B14,0)</f>
        <v>22610</v>
      </c>
      <c r="F14" s="1744">
        <f ca="1">ROUND(D14*10000/C14,0)</f>
        <v>40400</v>
      </c>
      <c r="G14" s="1744">
        <f ca="1">结果表!D122</f>
        <v>47967</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 zoomScaleNormal="100" zoomScaleSheetLayoutView="100" zoomScalePageLayoutView="80" workbookViewId="0">
      <selection activeCell="F116" sqref="F116:G116"/>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2115</v>
      </c>
      <c r="B1" s="2419"/>
      <c r="C1" s="2420"/>
      <c r="D1" s="2419"/>
      <c r="E1" s="2419"/>
      <c r="F1" s="2421" t="s">
        <v>2116</v>
      </c>
      <c r="G1" s="2073" t="s">
        <v>3049</v>
      </c>
      <c r="H1" s="2422" t="str">
        <f>IF(G1="现房","——","估价对象范围")</f>
        <v>——</v>
      </c>
      <c r="I1" s="2423"/>
    </row>
    <row r="2" spans="1:12" ht="21.75" customHeight="1" thickBot="1">
      <c r="A2" s="3183" t="str">
        <f>项目基本情况!S2</f>
        <v>北京市昌平区昌盛路12号院房地产</v>
      </c>
      <c r="B2" s="3184"/>
      <c r="C2" s="3184"/>
      <c r="D2" s="3184"/>
      <c r="E2" s="3184"/>
      <c r="F2" s="3184"/>
      <c r="G2" s="3184"/>
      <c r="H2" s="3184"/>
      <c r="I2" s="3185"/>
    </row>
    <row r="3" spans="1:12" ht="12.75">
      <c r="A3" s="3186" t="s">
        <v>2117</v>
      </c>
      <c r="B3" s="3187"/>
      <c r="C3" s="3187"/>
      <c r="D3" s="3187"/>
      <c r="E3" s="3187"/>
      <c r="F3" s="3187"/>
      <c r="G3" s="3187"/>
      <c r="H3" s="3187"/>
      <c r="I3" s="3187"/>
    </row>
    <row r="4" spans="1:12" ht="14.25">
      <c r="A4" s="2426" t="s">
        <v>2118</v>
      </c>
      <c r="B4" s="2427" t="s">
        <v>2119</v>
      </c>
      <c r="C4" s="2428" t="s">
        <v>3101</v>
      </c>
      <c r="D4" s="2428" t="s">
        <v>3112</v>
      </c>
      <c r="E4" s="3167" t="s">
        <v>2120</v>
      </c>
      <c r="F4" s="3180"/>
      <c r="G4" s="3180"/>
      <c r="H4" s="3180"/>
      <c r="I4" s="3168"/>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58" t="s">
        <v>2121</v>
      </c>
      <c r="B5" s="3084">
        <v>25</v>
      </c>
      <c r="C5" s="3188"/>
      <c r="D5" s="3176"/>
      <c r="E5" s="140" t="s">
        <v>2122</v>
      </c>
      <c r="F5" s="2430"/>
      <c r="G5" s="2430"/>
      <c r="H5" s="2430"/>
      <c r="I5" s="1834"/>
    </row>
    <row r="6" spans="1:12" ht="12.75">
      <c r="A6" s="3158"/>
      <c r="B6" s="3084"/>
      <c r="C6" s="3190"/>
      <c r="D6" s="3176"/>
      <c r="E6" s="140" t="s">
        <v>2123</v>
      </c>
      <c r="F6" s="2430"/>
      <c r="G6" s="2430"/>
      <c r="H6" s="2430"/>
      <c r="I6" s="1834"/>
    </row>
    <row r="7" spans="1:12" ht="12.75">
      <c r="A7" s="3158"/>
      <c r="B7" s="3084"/>
      <c r="C7" s="3189"/>
      <c r="D7" s="3176"/>
      <c r="E7" s="140" t="s">
        <v>2124</v>
      </c>
      <c r="F7" s="2430"/>
      <c r="G7" s="2430"/>
      <c r="H7" s="2430"/>
      <c r="I7" s="1834"/>
    </row>
    <row r="8" spans="1:12" ht="12.75">
      <c r="A8" s="3158" t="s">
        <v>2125</v>
      </c>
      <c r="B8" s="3084">
        <v>15</v>
      </c>
      <c r="C8" s="3188"/>
      <c r="D8" s="3176"/>
      <c r="E8" s="140" t="s">
        <v>2126</v>
      </c>
      <c r="F8" s="2430"/>
      <c r="G8" s="2430"/>
      <c r="H8" s="2430"/>
      <c r="I8" s="1834"/>
    </row>
    <row r="9" spans="1:12" ht="12.75">
      <c r="A9" s="3158"/>
      <c r="B9" s="3084"/>
      <c r="C9" s="3189"/>
      <c r="D9" s="3176"/>
      <c r="E9" s="140" t="s">
        <v>2127</v>
      </c>
      <c r="F9" s="2430"/>
      <c r="G9" s="2430"/>
      <c r="H9" s="2430"/>
      <c r="I9" s="1834"/>
    </row>
    <row r="10" spans="1:12" ht="12.75">
      <c r="A10" s="3158" t="s">
        <v>2128</v>
      </c>
      <c r="B10" s="3084">
        <v>15</v>
      </c>
      <c r="C10" s="3188"/>
      <c r="D10" s="3176"/>
      <c r="E10" s="140" t="s">
        <v>2129</v>
      </c>
      <c r="F10" s="2430"/>
      <c r="G10" s="2430"/>
      <c r="H10" s="2430"/>
      <c r="I10" s="1834"/>
    </row>
    <row r="11" spans="1:12" ht="12.75">
      <c r="A11" s="3158"/>
      <c r="B11" s="3084"/>
      <c r="C11" s="3189"/>
      <c r="D11" s="3176"/>
      <c r="E11" s="140" t="s">
        <v>2130</v>
      </c>
      <c r="F11" s="2430"/>
      <c r="G11" s="2430"/>
      <c r="H11" s="2430"/>
      <c r="I11" s="1834"/>
    </row>
    <row r="12" spans="1:12" ht="12.75">
      <c r="A12" s="3158" t="s">
        <v>2131</v>
      </c>
      <c r="B12" s="3084">
        <v>15</v>
      </c>
      <c r="C12" s="3188"/>
      <c r="D12" s="3176"/>
      <c r="E12" s="140" t="s">
        <v>2132</v>
      </c>
      <c r="F12" s="2430"/>
      <c r="G12" s="2430"/>
      <c r="H12" s="2430"/>
      <c r="I12" s="1834"/>
    </row>
    <row r="13" spans="1:12" ht="12.75">
      <c r="A13" s="3158"/>
      <c r="B13" s="3084"/>
      <c r="C13" s="3189"/>
      <c r="D13" s="3176"/>
      <c r="E13" s="140" t="s">
        <v>2133</v>
      </c>
      <c r="F13" s="2430"/>
      <c r="G13" s="2430"/>
      <c r="H13" s="2430"/>
      <c r="I13" s="1834"/>
    </row>
    <row r="14" spans="1:12" ht="12.75">
      <c r="A14" s="3158" t="s">
        <v>2134</v>
      </c>
      <c r="B14" s="3084">
        <v>30</v>
      </c>
      <c r="C14" s="3188">
        <v>2</v>
      </c>
      <c r="D14" s="3176">
        <v>8</v>
      </c>
      <c r="E14" s="140" t="s">
        <v>2135</v>
      </c>
      <c r="F14" s="2430"/>
      <c r="G14" s="2430"/>
      <c r="H14" s="2430"/>
      <c r="I14" s="1834"/>
    </row>
    <row r="15" spans="1:12" ht="12.75">
      <c r="A15" s="3158"/>
      <c r="B15" s="3084"/>
      <c r="C15" s="3190"/>
      <c r="D15" s="3176"/>
      <c r="E15" s="140" t="s">
        <v>2136</v>
      </c>
      <c r="F15" s="2430"/>
      <c r="G15" s="2430"/>
      <c r="H15" s="2430"/>
      <c r="I15" s="1834"/>
    </row>
    <row r="16" spans="1:12" ht="12.75">
      <c r="A16" s="3158"/>
      <c r="B16" s="3084"/>
      <c r="C16" s="3189"/>
      <c r="D16" s="3176"/>
      <c r="E16" s="140" t="s">
        <v>2137</v>
      </c>
      <c r="F16" s="2430"/>
      <c r="G16" s="2430"/>
      <c r="H16" s="2430"/>
      <c r="I16" s="1834"/>
    </row>
    <row r="17" spans="1:35" ht="15">
      <c r="A17" s="2431" t="s">
        <v>2138</v>
      </c>
      <c r="B17" s="64"/>
      <c r="C17" s="141">
        <f>SUM(C5:C16)</f>
        <v>2</v>
      </c>
      <c r="D17" s="141">
        <f>SUM(D5:D16)</f>
        <v>8</v>
      </c>
      <c r="E17" s="138"/>
      <c r="F17" s="138"/>
      <c r="G17" s="138"/>
      <c r="H17" s="138"/>
      <c r="I17" s="138"/>
      <c r="K17" s="2429"/>
      <c r="L17" s="2432" t="s">
        <v>2139</v>
      </c>
      <c r="M17" s="2432" t="s">
        <v>2140</v>
      </c>
    </row>
    <row r="18" spans="1:35" ht="15.75" thickBot="1">
      <c r="A18" s="2433" t="s">
        <v>2141</v>
      </c>
      <c r="B18" s="2434"/>
      <c r="C18" s="142">
        <f>ROUND(C17/SUM(C17:D17),2)</f>
        <v>0.2</v>
      </c>
      <c r="D18" s="142">
        <f>1-C18</f>
        <v>0.8</v>
      </c>
      <c r="E18" s="138"/>
      <c r="F18" s="138"/>
      <c r="G18" s="138"/>
      <c r="H18" s="138"/>
      <c r="I18" s="138"/>
      <c r="K18" s="2429" t="s">
        <v>2142</v>
      </c>
      <c r="L18" s="2429">
        <f>IF(C1="",'数据-汇总表'!E3,SUMIF(项目类型,C1,'数据-汇总表'!E17:E26)+SUMIF(项目类型,C1,'数据-汇总表'!I17:I26))</f>
        <v>21214.79</v>
      </c>
      <c r="M18" s="2429">
        <f>IF(C1="",'数据-汇总表'!E3,SUMIF(项目类型,C1,'数据-汇总表'!E17:E26))</f>
        <v>21214.79</v>
      </c>
    </row>
    <row r="19" spans="1:35" ht="15">
      <c r="A19" s="2435" t="s">
        <v>2143</v>
      </c>
      <c r="B19" s="2436" t="s">
        <v>2144</v>
      </c>
      <c r="C19" s="143">
        <f ca="1">SUMIF(INDIRECT("'"&amp;C4&amp;"'"&amp;"!A:A"),结果表!B19,INDIRECT("'"&amp;C4&amp;"'"&amp;"!B:B"))</f>
        <v>13701</v>
      </c>
      <c r="D19" s="144">
        <f ca="1">SUMIF(INDIRECT("'"&amp;D4&amp;"'"&amp;"!A:A"),结果表!B19,INDIRECT("'"&amp;D4&amp;"'"&amp;"!B:B"))</f>
        <v>56533</v>
      </c>
      <c r="E19" s="2435" t="s">
        <v>2145</v>
      </c>
      <c r="F19" s="2436" t="s">
        <v>2144</v>
      </c>
      <c r="G19" s="145">
        <f ca="1">ROUND(C19*$C$18+D19*$D$18,0)</f>
        <v>47967</v>
      </c>
      <c r="H19" s="2437" t="s">
        <v>2146</v>
      </c>
      <c r="I19" s="138"/>
      <c r="K19" s="2429" t="s">
        <v>2147</v>
      </c>
      <c r="L19" s="2429">
        <f>IF(C1="",'数据-汇总表'!D3,SUMIF(项目类型,C1,'数据-汇总表'!D17:D26)+SUMIF(项目类型,C1,'数据-汇总表'!H17:H27))</f>
        <v>11873.13</v>
      </c>
      <c r="M19" s="2429">
        <f>IF(C1="",'数据-汇总表'!D3,SUMIF(项目类型,C1,'数据-汇总表'!D17:D26))</f>
        <v>11873.13</v>
      </c>
    </row>
    <row r="20" spans="1:35" ht="15">
      <c r="A20" s="2438"/>
      <c r="B20" s="1250" t="s">
        <v>2148</v>
      </c>
      <c r="C20" s="146">
        <f ca="1">SUMIF(INDIRECT("'"&amp;C4&amp;"'"&amp;"!A:A"),结果表!B20,INDIRECT("'"&amp;C4&amp;"'"&amp;"!B:B"))</f>
        <v>6458</v>
      </c>
      <c r="D20" s="147">
        <f ca="1">SUMIF(INDIRECT("'"&amp;D4&amp;"'"&amp;"!A:A"),结果表!B20,INDIRECT("'"&amp;D4&amp;"'"&amp;"!B:B"))</f>
        <v>26648</v>
      </c>
      <c r="E20" s="2438"/>
      <c r="F20" s="1250" t="s">
        <v>2148</v>
      </c>
      <c r="G20" s="148">
        <f ca="1">ROUND(C20*$C$18+D20*$D$18,0)</f>
        <v>22610</v>
      </c>
      <c r="H20" s="983" t="s">
        <v>2149</v>
      </c>
      <c r="I20" s="138"/>
    </row>
    <row r="21" spans="1:35" ht="15" customHeight="1" thickBot="1">
      <c r="A21" s="1003"/>
      <c r="B21" s="2439" t="s">
        <v>2150</v>
      </c>
      <c r="C21" s="789">
        <f ca="1">ROUND(C19*10000/L19,0)</f>
        <v>11540</v>
      </c>
      <c r="D21" s="790">
        <f ca="1">ROUND(D19*10000/L19,0)</f>
        <v>47614</v>
      </c>
      <c r="E21" s="1003"/>
      <c r="F21" s="2439" t="s">
        <v>2150</v>
      </c>
      <c r="G21" s="149">
        <f ca="1">ROUND(G19*10000/L19,0)</f>
        <v>40400</v>
      </c>
      <c r="H21" s="2440" t="s">
        <v>2149</v>
      </c>
      <c r="I21" s="138"/>
    </row>
    <row r="22" spans="1:35" ht="15" thickBot="1">
      <c r="A22" s="2283" t="s">
        <v>2151</v>
      </c>
      <c r="B22" s="2441"/>
      <c r="C22" s="2442"/>
      <c r="D22" s="791">
        <f ca="1">IF(C19&lt;D19,D19/C19-1,C19/D19-1)</f>
        <v>3.1261951682358955</v>
      </c>
      <c r="E22" s="138"/>
      <c r="F22" s="138"/>
      <c r="G22" s="138"/>
      <c r="H22" s="138"/>
      <c r="I22" s="138"/>
    </row>
    <row r="23" spans="1:35" ht="13.5" thickBot="1">
      <c r="A23" s="2419"/>
      <c r="B23" s="2419"/>
      <c r="C23" s="2419"/>
      <c r="D23" s="2419"/>
      <c r="E23" s="138"/>
      <c r="F23" s="138"/>
      <c r="G23" s="138"/>
      <c r="H23" s="138"/>
      <c r="I23" s="138"/>
    </row>
    <row r="24" spans="1:35" ht="14.25">
      <c r="A24" s="3197" t="s">
        <v>2152</v>
      </c>
      <c r="B24" s="2436" t="s">
        <v>2144</v>
      </c>
      <c r="C24" s="145">
        <f>IF(B30=0,0,D30)</f>
        <v>0</v>
      </c>
      <c r="D24" s="2443"/>
      <c r="E24" s="138"/>
      <c r="F24" s="138"/>
      <c r="G24" s="138"/>
      <c r="H24" s="138"/>
      <c r="I24" s="138"/>
    </row>
    <row r="25" spans="1:35" ht="14.25">
      <c r="A25" s="3198"/>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3036</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47967</v>
      </c>
      <c r="D32" s="2450" t="s">
        <v>2159</v>
      </c>
      <c r="E32" s="138"/>
      <c r="F32" s="138"/>
      <c r="G32" s="138"/>
      <c r="H32" s="138"/>
      <c r="I32" s="138"/>
    </row>
    <row r="33" spans="1:15" ht="15">
      <c r="A33" s="960" t="s">
        <v>2160</v>
      </c>
      <c r="B33" s="2451"/>
      <c r="C33" s="2452" t="s">
        <v>3325</v>
      </c>
      <c r="D33" s="2453" t="s">
        <v>3101</v>
      </c>
      <c r="E33" s="2454" t="s">
        <v>2161</v>
      </c>
      <c r="F33" s="2455" t="str">
        <f>IF(D32="楼面单价","取值（单价）","取值（总价）")</f>
        <v>取值（总价）</v>
      </c>
      <c r="G33" s="138"/>
      <c r="H33" s="138"/>
      <c r="I33" s="138"/>
    </row>
    <row r="34" spans="1:15" ht="15">
      <c r="A34" s="2456"/>
      <c r="B34" s="2457" t="s">
        <v>2162</v>
      </c>
      <c r="C34" s="157">
        <f ca="1">IF(C33="自定义",F34,C32-C35)</f>
        <v>17556</v>
      </c>
      <c r="D34" s="1058">
        <f ca="1">IF(C33="自定义",ROUND(C34/C32,3),IF(C33="收益比率",SUMIF(INDIRECT("'"&amp;D33&amp;"'"&amp;"!b:b"),"土地收益比率",INDIRECT("'"&amp;D33&amp;"'"&amp;"!c:c")),SUMIF(INDIRECT("'"&amp;D33&amp;"'"&amp;"!b:b"),"土地成本比率",INDIRECT("'"&amp;D33&amp;"'"&amp;"!c:c"))))</f>
        <v>0.36599999999999999</v>
      </c>
      <c r="E34" s="2458" t="s">
        <v>2163</v>
      </c>
      <c r="F34" s="1739"/>
      <c r="G34" s="138"/>
      <c r="H34" s="138"/>
      <c r="I34" s="138"/>
    </row>
    <row r="35" spans="1:15" ht="15.75" thickBot="1">
      <c r="A35" s="2459"/>
      <c r="B35" s="2460" t="s">
        <v>2164</v>
      </c>
      <c r="C35" s="1444">
        <f ca="1">IF(C33="自定义",F35,ROUND(C32*D35,0))</f>
        <v>30411</v>
      </c>
      <c r="D35" s="1445">
        <f ca="1">IF(C33="自定义",ROUND(C35/C32,3),IF(C33="收益比率",SUMIF(INDIRECT("'"&amp;D33&amp;"'"&amp;"!b:b"),"建筑物收益比率",INDIRECT("'"&amp;D33&amp;"'"&amp;"!c:c")),SUMIF(INDIRECT("'"&amp;D33&amp;"'"&amp;"!b:b"),"建筑物成本比率",INDIRECT("'"&amp;D33&amp;"'"&amp;"!c:c"))))</f>
        <v>0.63400000000000001</v>
      </c>
      <c r="E35" s="2461" t="s">
        <v>2165</v>
      </c>
      <c r="F35" s="163"/>
      <c r="G35" s="138"/>
      <c r="H35" s="138"/>
      <c r="I35" s="138"/>
    </row>
    <row r="36" spans="1:15" ht="15.75" thickBot="1">
      <c r="A36" s="3177" t="s">
        <v>2166</v>
      </c>
      <c r="B36" s="2462" t="s">
        <v>2167</v>
      </c>
      <c r="C36" s="154"/>
      <c r="D36" s="2463"/>
      <c r="E36" s="2464"/>
      <c r="F36" s="2465"/>
      <c r="G36" s="138"/>
      <c r="H36" s="138"/>
      <c r="I36" s="138"/>
    </row>
    <row r="37" spans="1:15" ht="15.75" thickBot="1">
      <c r="A37" s="3178"/>
      <c r="B37" s="2269" t="s">
        <v>2168</v>
      </c>
      <c r="C37" s="156"/>
      <c r="D37" s="1395"/>
      <c r="E37" s="1395"/>
      <c r="F37" s="2465"/>
      <c r="G37" s="138"/>
      <c r="H37" s="138"/>
      <c r="I37" s="138"/>
    </row>
    <row r="38" spans="1:15" ht="15.75" thickBot="1">
      <c r="A38" s="3179"/>
      <c r="B38" s="2466" t="s">
        <v>2169</v>
      </c>
      <c r="C38" s="727"/>
      <c r="D38" s="2467" t="s">
        <v>2170</v>
      </c>
      <c r="E38" s="1395"/>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194" t="s">
        <v>2180</v>
      </c>
      <c r="B45" s="3195"/>
      <c r="C45" s="3196"/>
      <c r="D45" s="164">
        <f ca="1">ROUND(H101*F45,0)</f>
        <v>47967</v>
      </c>
      <c r="E45" s="165" t="s">
        <v>2181</v>
      </c>
      <c r="F45" s="166">
        <v>1</v>
      </c>
      <c r="G45" s="167" t="s">
        <v>2182</v>
      </c>
      <c r="H45" s="138"/>
      <c r="I45" s="138"/>
      <c r="J45" s="3113" t="s">
        <v>2183</v>
      </c>
      <c r="K45" s="3113"/>
      <c r="L45" s="3113"/>
      <c r="M45" s="3113"/>
      <c r="N45" s="3113"/>
      <c r="O45" s="3113"/>
    </row>
    <row r="46" spans="1:15" ht="14.25" customHeight="1">
      <c r="A46" s="3191" t="s">
        <v>2184</v>
      </c>
      <c r="B46" s="3192"/>
      <c r="C46" s="3192"/>
      <c r="D46" s="3192"/>
      <c r="E46" s="3192"/>
      <c r="F46" s="3192"/>
      <c r="G46" s="3193"/>
      <c r="H46" s="2481"/>
      <c r="I46" s="168"/>
      <c r="J46" s="1812">
        <v>1</v>
      </c>
      <c r="K46" s="3113" t="s">
        <v>2185</v>
      </c>
      <c r="L46" s="3113"/>
      <c r="M46" s="3114"/>
      <c r="N46" s="3114"/>
      <c r="O46" s="3114"/>
    </row>
    <row r="47" spans="1:15" ht="12" customHeight="1">
      <c r="A47" s="169" t="s">
        <v>2186</v>
      </c>
      <c r="B47" s="170"/>
      <c r="C47" s="171"/>
      <c r="D47" s="172" t="s">
        <v>2187</v>
      </c>
      <c r="E47" s="24" t="s">
        <v>2188</v>
      </c>
      <c r="F47" s="173" t="s">
        <v>2189</v>
      </c>
      <c r="G47" s="174" t="s">
        <v>2190</v>
      </c>
      <c r="H47" s="2481"/>
      <c r="I47" s="168"/>
      <c r="J47" s="1812">
        <v>2</v>
      </c>
      <c r="K47" s="3113" t="s">
        <v>2191</v>
      </c>
      <c r="L47" s="3113"/>
      <c r="M47" s="3115">
        <f>'数据-取费表'!B2</f>
        <v>43100</v>
      </c>
      <c r="N47" s="3115"/>
      <c r="O47" s="3115"/>
    </row>
    <row r="48" spans="1:15" ht="25.5">
      <c r="A48" s="3181" t="s">
        <v>2192</v>
      </c>
      <c r="B48" s="3182"/>
      <c r="C48" s="3182"/>
      <c r="D48" s="140">
        <f>IF(H48="情况1",0,IF(H48="情况2",D52,IF(H48="情况3",D53,IF(H48="情况4",D54))))</f>
        <v>0</v>
      </c>
      <c r="E48" s="1801" t="str">
        <f>IF(H48="情况4","(销售额-原购置价)×税（费）率","销售额×税（费）率")</f>
        <v>销售额×税（费）率</v>
      </c>
      <c r="F48" s="175" t="str">
        <f>IF(H48="情况1","免征",'数据-取费表'!B41)</f>
        <v>免征</v>
      </c>
      <c r="G48" s="2482" t="s">
        <v>2193</v>
      </c>
      <c r="H48" s="2483" t="s">
        <v>2194</v>
      </c>
      <c r="I48" s="2481"/>
      <c r="J48" s="1812">
        <v>3</v>
      </c>
      <c r="K48" s="3113" t="s">
        <v>2195</v>
      </c>
      <c r="L48" s="3113"/>
      <c r="M48" s="3116">
        <f ca="1">H101</f>
        <v>47967</v>
      </c>
      <c r="N48" s="3116"/>
      <c r="O48" s="3116"/>
    </row>
    <row r="49" spans="1:35" ht="25.5" customHeight="1">
      <c r="A49" s="176" t="s">
        <v>2196</v>
      </c>
      <c r="B49" s="3161" t="s">
        <v>2197</v>
      </c>
      <c r="C49" s="3161"/>
      <c r="D49" s="177">
        <v>0</v>
      </c>
      <c r="E49" s="23" t="s">
        <v>2198</v>
      </c>
      <c r="F49" s="28" t="s">
        <v>34</v>
      </c>
      <c r="G49" s="3142"/>
      <c r="H49" s="138"/>
      <c r="I49" s="2484"/>
      <c r="J49" s="1812">
        <v>4</v>
      </c>
      <c r="K49" s="3113" t="str">
        <f>IF(项目基本情况!E8="房地产抵押价值","房地产抵押价值","抵押担保权已注销时的房地产抵押价值")</f>
        <v>抵押担保权已注销时的房地产抵押价值</v>
      </c>
      <c r="L49" s="3113"/>
      <c r="M49" s="3116" t="str">
        <f>IF(项目基本情况!E8="房地产抵押价值",H107,H109)</f>
        <v>——</v>
      </c>
      <c r="N49" s="3116"/>
      <c r="O49" s="3116"/>
    </row>
    <row r="50" spans="1:35" ht="25.5" customHeight="1">
      <c r="A50" s="178"/>
      <c r="B50" s="3161" t="s">
        <v>2199</v>
      </c>
      <c r="C50" s="3161"/>
      <c r="D50" s="179"/>
      <c r="E50" s="31"/>
      <c r="F50" s="180"/>
      <c r="G50" s="3143"/>
      <c r="H50" s="138"/>
      <c r="I50" s="2484"/>
      <c r="J50" s="3113" t="s">
        <v>2200</v>
      </c>
      <c r="K50" s="3113"/>
      <c r="L50" s="3113"/>
      <c r="M50" s="3113"/>
      <c r="N50" s="3113"/>
      <c r="O50" s="3113"/>
    </row>
    <row r="51" spans="1:35" ht="12" customHeight="1">
      <c r="A51" s="181"/>
      <c r="B51" s="3161" t="s">
        <v>2201</v>
      </c>
      <c r="C51" s="3161"/>
      <c r="D51" s="182"/>
      <c r="E51" s="30"/>
      <c r="F51" s="180"/>
      <c r="G51" s="3144"/>
      <c r="H51" s="138"/>
      <c r="I51" s="2484"/>
      <c r="J51" s="2485" t="s">
        <v>2202</v>
      </c>
      <c r="K51" s="3113" t="s">
        <v>2203</v>
      </c>
      <c r="L51" s="3113"/>
      <c r="M51" s="2485" t="s">
        <v>2204</v>
      </c>
      <c r="N51" s="2485" t="s">
        <v>2205</v>
      </c>
      <c r="O51" s="2485" t="s">
        <v>2206</v>
      </c>
    </row>
    <row r="52" spans="1:35" ht="24" customHeight="1">
      <c r="A52" s="183" t="s">
        <v>2207</v>
      </c>
      <c r="B52" s="3161" t="s">
        <v>2208</v>
      </c>
      <c r="C52" s="3161"/>
      <c r="D52" s="182">
        <f ca="1">ROUND(D45*'数据-取费表'!B41/(1+'数据-取费表'!C42),0)</f>
        <v>2513</v>
      </c>
      <c r="E52" s="11" t="s">
        <v>2209</v>
      </c>
      <c r="F52" s="184">
        <f>'数据-取费表'!B41</f>
        <v>5.5000000000000007E-2</v>
      </c>
      <c r="G52" s="2486"/>
      <c r="H52" s="138"/>
      <c r="I52" s="2484"/>
      <c r="J52" s="1812">
        <v>1</v>
      </c>
      <c r="K52" s="3136" t="s">
        <v>2210</v>
      </c>
      <c r="L52" s="3136"/>
      <c r="M52" s="1754">
        <f>D48</f>
        <v>0</v>
      </c>
      <c r="N52" s="1812" t="str">
        <f>E48</f>
        <v>销售额×税（费）率</v>
      </c>
      <c r="O52" s="1755" t="str">
        <f>F48</f>
        <v>免征</v>
      </c>
    </row>
    <row r="53" spans="1:35" ht="12" customHeight="1">
      <c r="A53" s="183" t="s">
        <v>2211</v>
      </c>
      <c r="B53" s="3162" t="s">
        <v>2212</v>
      </c>
      <c r="C53" s="3163"/>
      <c r="D53" s="182">
        <f ca="1">ROUND(D45*'数据-取费表'!B41/(1+'数据-取费表'!C42),0)</f>
        <v>2513</v>
      </c>
      <c r="E53" s="11" t="s">
        <v>2209</v>
      </c>
      <c r="F53" s="184">
        <f>'数据-取费表'!B41</f>
        <v>5.5000000000000007E-2</v>
      </c>
      <c r="G53" s="2486"/>
      <c r="H53" s="138"/>
      <c r="I53" s="2484"/>
      <c r="J53" s="1812">
        <v>2</v>
      </c>
      <c r="K53" s="3136" t="s">
        <v>2213</v>
      </c>
      <c r="L53" s="3136"/>
      <c r="M53" s="1754">
        <f t="shared" ref="M53:O54" ca="1" si="0">D55</f>
        <v>24</v>
      </c>
      <c r="N53" s="1812" t="str">
        <f t="shared" si="0"/>
        <v>销售额×税（费）率</v>
      </c>
      <c r="O53" s="1755">
        <f t="shared" si="0"/>
        <v>5.0000000000000001E-4</v>
      </c>
    </row>
    <row r="54" spans="1:35" ht="12" customHeight="1">
      <c r="A54" s="183" t="s">
        <v>2214</v>
      </c>
      <c r="B54" s="3162" t="s">
        <v>2215</v>
      </c>
      <c r="C54" s="3163"/>
      <c r="D54" s="182">
        <f ca="1">C68</f>
        <v>2513</v>
      </c>
      <c r="E54" s="30" t="s">
        <v>2216</v>
      </c>
      <c r="F54" s="184">
        <f>'数据-取费表'!B41</f>
        <v>5.5000000000000007E-2</v>
      </c>
      <c r="G54" s="2486"/>
      <c r="H54" s="2487"/>
      <c r="I54" s="2484"/>
      <c r="J54" s="1812">
        <v>3</v>
      </c>
      <c r="K54" s="3136" t="s">
        <v>2217</v>
      </c>
      <c r="L54" s="3136"/>
      <c r="M54" s="1754">
        <f t="shared" ca="1" si="0"/>
        <v>27193</v>
      </c>
      <c r="N54" s="1812" t="str">
        <f t="shared" si="0"/>
        <v>增值额×税（费）率</v>
      </c>
      <c r="O54" s="1756" t="str">
        <f t="shared" si="0"/>
        <v>——</v>
      </c>
    </row>
    <row r="55" spans="1:35" ht="24" customHeight="1">
      <c r="A55" s="3200" t="s">
        <v>2218</v>
      </c>
      <c r="B55" s="3182"/>
      <c r="C55" s="3182"/>
      <c r="D55" s="185">
        <f ca="1">IF(H55="个人住宅",0,ROUND(D45*I55,0))</f>
        <v>24</v>
      </c>
      <c r="E55" s="11" t="s">
        <v>2219</v>
      </c>
      <c r="F55" s="184">
        <f>IF(H55="正常",I55,"免征")</f>
        <v>5.0000000000000001E-4</v>
      </c>
      <c r="G55" s="2486"/>
      <c r="H55" s="2483" t="s">
        <v>2220</v>
      </c>
      <c r="I55" s="186">
        <f>'数据-取费表'!B49</f>
        <v>5.0000000000000001E-4</v>
      </c>
      <c r="J55" s="1812" t="str">
        <f>IF(H59="非个人房产","",4)</f>
        <v/>
      </c>
      <c r="K55" s="3136" t="str">
        <f>IF(H59="非个人房产","——","个人所得税")</f>
        <v>——</v>
      </c>
      <c r="L55" s="3136"/>
      <c r="M55" s="1757" t="str">
        <f>D59</f>
        <v>——</v>
      </c>
      <c r="N55" s="1810" t="str">
        <f>E59</f>
        <v>——</v>
      </c>
      <c r="O55" s="1758" t="str">
        <f>F59</f>
        <v>——</v>
      </c>
    </row>
    <row r="56" spans="1:35" ht="24.75">
      <c r="A56" s="3200" t="s">
        <v>2221</v>
      </c>
      <c r="B56" s="3182"/>
      <c r="C56" s="3182"/>
      <c r="D56" s="185">
        <f ca="1">IF(H56="个人住宅",D57,D58)</f>
        <v>27193</v>
      </c>
      <c r="E56" s="11" t="s">
        <v>2222</v>
      </c>
      <c r="F56" s="184" t="str">
        <f>IF(H56="正常",F58,"免征")</f>
        <v>——</v>
      </c>
      <c r="G56" s="2488" t="s">
        <v>2223</v>
      </c>
      <c r="H56" s="2489" t="s">
        <v>2220</v>
      </c>
      <c r="I56" s="2490"/>
      <c r="J56" s="1812" t="str">
        <f>IF(项目基本情况!K6="上海银行",IF(J55="",4,J55+1),"")</f>
        <v/>
      </c>
      <c r="K56" s="3119" t="str">
        <f>IF(项目基本情况!K6="上海银行","其他处置费用","")</f>
        <v/>
      </c>
      <c r="L56" s="3120"/>
      <c r="M56" s="1754" t="str">
        <f>IF(项目基本情况!K6="上海银行",M69,"")</f>
        <v/>
      </c>
      <c r="N56" s="3122" t="str">
        <f>IF(项目基本情况!K6="上海银行","包含处置中涉及的律师、诉讼、拍卖、评估等费用","")</f>
        <v/>
      </c>
      <c r="O56" s="3123"/>
    </row>
    <row r="57" spans="1:35" ht="12.75">
      <c r="A57" s="183" t="s">
        <v>2196</v>
      </c>
      <c r="B57" s="3167" t="s">
        <v>2224</v>
      </c>
      <c r="C57" s="3168"/>
      <c r="D57" s="187">
        <v>0</v>
      </c>
      <c r="E57" s="23" t="s">
        <v>2198</v>
      </c>
      <c r="F57" s="155"/>
      <c r="G57" s="2486"/>
      <c r="H57" s="2490"/>
      <c r="I57" s="2490"/>
      <c r="J57" s="3136">
        <f>IF(AND(J55="",J56=""),4,IF(项目基本情况!K6="上海银行",结果表!J56+1,结果表!J55+1))</f>
        <v>4</v>
      </c>
      <c r="K57" s="3136" t="s">
        <v>2225</v>
      </c>
      <c r="L57" s="2491" t="s">
        <v>2226</v>
      </c>
      <c r="M57" s="1759"/>
      <c r="N57" s="1760">
        <f ca="1">SUMIF(M52:M56,"&lt;9e307")</f>
        <v>27217</v>
      </c>
      <c r="O57" s="2492"/>
      <c r="P57" s="1753" t="e">
        <f ca="1">N57/M49</f>
        <v>#VALUE!</v>
      </c>
    </row>
    <row r="58" spans="1:35" ht="24.75">
      <c r="A58" s="183" t="s">
        <v>2207</v>
      </c>
      <c r="B58" s="3167" t="s">
        <v>2227</v>
      </c>
      <c r="C58" s="3180"/>
      <c r="D58" s="185">
        <f ca="1">IF(H58="转让取得",C81,C97)</f>
        <v>27193</v>
      </c>
      <c r="E58" s="11" t="s">
        <v>2222</v>
      </c>
      <c r="F58" s="24" t="s">
        <v>34</v>
      </c>
      <c r="G58" s="2486"/>
      <c r="H58" s="2489" t="s">
        <v>2228</v>
      </c>
      <c r="I58" s="2490"/>
      <c r="J58" s="3136"/>
      <c r="K58" s="3136"/>
      <c r="L58" s="2491" t="s">
        <v>2229</v>
      </c>
      <c r="M58" s="1761"/>
      <c r="N58" s="2493" t="str">
        <f ca="1">NUMBERSTRING(INT(N57*10000),2)&amp;"元整"</f>
        <v>贰亿柒仟贰佰壹拾柒万元整</v>
      </c>
      <c r="O58" s="2494"/>
    </row>
    <row r="59" spans="1:35" ht="24.75" thickBot="1">
      <c r="A59" s="3140" t="s">
        <v>2230</v>
      </c>
      <c r="B59" s="3141"/>
      <c r="C59" s="3141"/>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38">
        <f>J57+1</f>
        <v>5</v>
      </c>
      <c r="K59" s="3136" t="s">
        <v>2232</v>
      </c>
      <c r="L59" s="1812" t="s">
        <v>2226</v>
      </c>
      <c r="M59" s="1762"/>
      <c r="N59" s="1763" t="e">
        <f ca="1">M49-N57</f>
        <v>#VALUE!</v>
      </c>
      <c r="O59" s="2496"/>
    </row>
    <row r="60" spans="1:35" ht="12" customHeight="1">
      <c r="A60" s="2497"/>
      <c r="B60" s="2419"/>
      <c r="C60" s="2419"/>
      <c r="D60" s="2419"/>
      <c r="E60" s="2168"/>
      <c r="F60" s="2490"/>
      <c r="G60" s="2490"/>
      <c r="H60" s="2498"/>
      <c r="I60" s="138"/>
      <c r="J60" s="3139"/>
      <c r="K60" s="3136"/>
      <c r="L60" s="2491" t="s">
        <v>2229</v>
      </c>
      <c r="M60" s="1761"/>
      <c r="N60" s="2493" t="e">
        <f ca="1">NUMBERSTRING(INT(N59*10000),2)&amp;"元整"</f>
        <v>#VALUE!</v>
      </c>
      <c r="O60" s="2494"/>
    </row>
    <row r="61" spans="1:35" ht="13.5" thickBot="1">
      <c r="A61" s="3199" t="s">
        <v>2233</v>
      </c>
      <c r="B61" s="3199"/>
      <c r="C61" s="3199"/>
      <c r="D61" s="3199"/>
      <c r="E61" s="3199"/>
      <c r="F61" s="2490"/>
      <c r="G61" s="2490"/>
      <c r="H61" s="2498"/>
      <c r="I61" s="138"/>
      <c r="J61" s="1812">
        <f>J59+1</f>
        <v>6</v>
      </c>
      <c r="K61" s="3136" t="s">
        <v>2234</v>
      </c>
      <c r="L61" s="3136"/>
      <c r="M61" s="1764"/>
      <c r="N61" s="1765" t="e">
        <f ca="1">ROUND(N59*10000/'数据-汇总表'!E3,0)</f>
        <v>#VALUE!</v>
      </c>
      <c r="O61" s="2499"/>
    </row>
    <row r="62" spans="1:35" ht="12.75">
      <c r="A62" s="3156" t="s">
        <v>2235</v>
      </c>
      <c r="B62" s="3157"/>
      <c r="C62" s="1804"/>
      <c r="D62" s="1804" t="s">
        <v>2236</v>
      </c>
      <c r="E62" s="192" t="s">
        <v>2237</v>
      </c>
      <c r="F62" s="2490"/>
      <c r="G62" s="2490"/>
      <c r="H62" s="2498"/>
      <c r="I62" s="138"/>
    </row>
    <row r="63" spans="1:35" ht="12.75">
      <c r="A63" s="203" t="s">
        <v>775</v>
      </c>
      <c r="B63" s="193" t="s">
        <v>2238</v>
      </c>
      <c r="C63" s="194">
        <f ca="1">ROUND((C64+C65)/(1+'数据-取费表'!C42),0)</f>
        <v>45683</v>
      </c>
      <c r="D63" s="195"/>
      <c r="E63" s="196"/>
      <c r="F63" s="2490"/>
      <c r="G63" s="2490"/>
      <c r="H63" s="2498"/>
      <c r="I63" s="138"/>
      <c r="J63" s="3121" t="s">
        <v>2239</v>
      </c>
      <c r="K63" s="2500" t="s">
        <v>2240</v>
      </c>
      <c r="L63" s="1752" t="e">
        <f>IF(M49&gt;10000,M49*0.5%,IF(AND(M49&gt;1000,M49&lt;=10000),M49*1%,IF(AND(M49&gt;100,M49&lt;=1000),M49*3%,IF(AND(M49&gt;10,M49&lt;=100),M49*5%,M49*8%))))</f>
        <v>#VALUE!</v>
      </c>
      <c r="M63" s="24" t="e">
        <f>ROUND(L63,1)</f>
        <v>#VALUE!</v>
      </c>
      <c r="Z63" s="2424"/>
      <c r="AI63" s="2425"/>
    </row>
    <row r="64" spans="1:35" ht="14.25" customHeight="1">
      <c r="A64" s="197" t="s">
        <v>770</v>
      </c>
      <c r="B64" s="198" t="s">
        <v>2241</v>
      </c>
      <c r="C64" s="199">
        <f ca="1">D45</f>
        <v>47967</v>
      </c>
      <c r="D64" s="200" t="s">
        <v>32</v>
      </c>
      <c r="E64" s="201"/>
      <c r="F64" s="2490"/>
      <c r="G64" s="2490"/>
      <c r="H64" s="2498"/>
      <c r="I64" s="138"/>
      <c r="J64" s="3121"/>
      <c r="K64" s="2500" t="s">
        <v>2242</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4"/>
      <c r="AI64" s="2425"/>
    </row>
    <row r="65" spans="1:35" ht="14.25" customHeight="1">
      <c r="A65" s="197" t="s">
        <v>771</v>
      </c>
      <c r="B65" s="198" t="s">
        <v>2244</v>
      </c>
      <c r="C65" s="202"/>
      <c r="D65" s="200"/>
      <c r="E65" s="201"/>
      <c r="F65" s="2490"/>
      <c r="G65" s="2490"/>
      <c r="H65" s="2498"/>
      <c r="I65" s="138"/>
      <c r="J65" s="3121"/>
      <c r="K65" s="2500" t="s">
        <v>2245</v>
      </c>
      <c r="L65" s="1752" t="e">
        <f>IF(M49&gt;1000,M49*0.1%,IF(AND(M49&gt;500,M49&lt;=1000),M49*0.5%,IF(AND(M49&gt;50,M49&lt;=500),M49*1%,IF(AND(M49&gt;1,M49&lt;=50),M49*1.5%))))</f>
        <v>#VALUE!</v>
      </c>
      <c r="M65" s="24" t="e">
        <f t="shared" si="1"/>
        <v>#VALUE!</v>
      </c>
      <c r="N65" s="138" t="s">
        <v>2243</v>
      </c>
      <c r="Z65" s="2424"/>
      <c r="AI65" s="2425"/>
    </row>
    <row r="66" spans="1:35" ht="14.25" customHeight="1">
      <c r="A66" s="203" t="s">
        <v>772</v>
      </c>
      <c r="B66" s="204" t="s">
        <v>2246</v>
      </c>
      <c r="C66" s="205"/>
      <c r="D66" s="206" t="s">
        <v>32</v>
      </c>
      <c r="E66" s="1776" t="s">
        <v>1371</v>
      </c>
      <c r="F66" s="2490"/>
      <c r="G66" s="2490"/>
      <c r="H66" s="2498"/>
      <c r="I66" s="138"/>
      <c r="J66" s="3121"/>
      <c r="K66" s="2500" t="s">
        <v>2247</v>
      </c>
      <c r="L66" s="1752" t="e">
        <f>M49*0.5%</f>
        <v>#VALUE!</v>
      </c>
      <c r="M66" s="24" t="e">
        <f>IF(L66&gt;0.5,0.5,ROUND(L66,0))</f>
        <v>#VALUE!</v>
      </c>
      <c r="N66" s="138" t="s">
        <v>2248</v>
      </c>
      <c r="Z66" s="2424"/>
      <c r="AI66" s="2425"/>
    </row>
    <row r="67" spans="1:35" ht="14.25" customHeight="1">
      <c r="A67" s="203" t="s">
        <v>773</v>
      </c>
      <c r="B67" s="204" t="s">
        <v>2249</v>
      </c>
      <c r="C67" s="207">
        <f ca="1">C63-C66</f>
        <v>45683</v>
      </c>
      <c r="D67" s="200" t="s">
        <v>32</v>
      </c>
      <c r="E67" s="201"/>
      <c r="F67" s="2490"/>
      <c r="G67" s="2490"/>
      <c r="H67" s="2498"/>
      <c r="I67" s="138"/>
      <c r="J67" s="3121"/>
      <c r="K67" s="2500"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2251</v>
      </c>
      <c r="C68" s="210">
        <f ca="1">IF(C67&lt;=0,0,ROUND(C67*D68,0))</f>
        <v>2513</v>
      </c>
      <c r="D68" s="211">
        <f>'数据-取费表'!B41</f>
        <v>5.5000000000000007E-2</v>
      </c>
      <c r="E68" s="212"/>
      <c r="F68" s="2490"/>
      <c r="G68" s="2490"/>
      <c r="H68" s="2498"/>
      <c r="I68" s="138"/>
      <c r="J68" s="3121"/>
      <c r="K68" s="2500" t="s">
        <v>2252</v>
      </c>
      <c r="L68" s="1752"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8"/>
      <c r="G69" s="2168"/>
      <c r="H69" s="2167"/>
      <c r="I69" s="2419"/>
      <c r="J69" s="3121"/>
      <c r="K69" s="2500" t="s">
        <v>2253</v>
      </c>
      <c r="L69" s="2506"/>
      <c r="M69" s="24" t="e">
        <f>ROUND(SUM(M63:M68),0)</f>
        <v>#VALUE!</v>
      </c>
      <c r="N69" s="1753"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65" t="s">
        <v>2254</v>
      </c>
      <c r="B70" s="3166"/>
      <c r="C70" s="3166"/>
      <c r="D70" s="3166"/>
      <c r="E70" s="3166"/>
      <c r="F70" s="3166"/>
      <c r="G70" s="3166"/>
      <c r="H70" s="316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56" t="s">
        <v>2235</v>
      </c>
      <c r="B71" s="3157"/>
      <c r="C71" s="1804"/>
      <c r="D71" s="1804"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45683</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228</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62" t="s">
        <v>2263</v>
      </c>
      <c r="F76" s="3161"/>
      <c r="G76" s="3161"/>
      <c r="H76" s="316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4" t="s">
        <v>2266</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228</v>
      </c>
      <c r="D78" s="226">
        <f>'数据-取费表'!B43</f>
        <v>5.000000000000001E-3</v>
      </c>
      <c r="E78" s="3153" t="s">
        <v>2268</v>
      </c>
      <c r="F78" s="3154"/>
      <c r="G78" s="3154"/>
      <c r="H78" s="315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2269</v>
      </c>
      <c r="C79" s="207">
        <f ca="1">C72-C73</f>
        <v>45455</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199.36403508771929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27193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65" t="s">
        <v>2272</v>
      </c>
      <c r="B83" s="3166"/>
      <c r="C83" s="3166"/>
      <c r="D83" s="3166"/>
      <c r="E83" s="3166"/>
      <c r="F83" s="3166"/>
      <c r="G83" s="3166"/>
      <c r="H83" s="316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56" t="s">
        <v>2235</v>
      </c>
      <c r="B84" s="3157"/>
      <c r="C84" s="1804"/>
      <c r="D84" s="1804"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45683</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228</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1800"/>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153" t="s">
        <v>2281</v>
      </c>
      <c r="F91" s="3154"/>
      <c r="G91" s="3154"/>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153" t="s">
        <v>2285</v>
      </c>
      <c r="F92" s="3154"/>
      <c r="G92" s="3154"/>
      <c r="H92" s="315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228</v>
      </c>
      <c r="D93" s="226">
        <f>'数据-取费表'!B43</f>
        <v>5.000000000000001E-3</v>
      </c>
      <c r="E93" s="3153" t="s">
        <v>2268</v>
      </c>
      <c r="F93" s="3154"/>
      <c r="G93" s="3154"/>
      <c r="H93" s="315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201" t="s">
        <v>2289</v>
      </c>
      <c r="F94" s="3202"/>
      <c r="G94" s="3202"/>
      <c r="H94" s="320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2269</v>
      </c>
      <c r="C95" s="207">
        <f ca="1">ROUND(C85-C86,0)</f>
        <v>45455</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199.36403508771929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27193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2290</v>
      </c>
      <c r="B99" s="2419"/>
      <c r="C99" s="2419"/>
      <c r="D99" s="2419"/>
      <c r="E99" s="2168"/>
      <c r="F99" s="2168"/>
      <c r="G99" s="2168"/>
      <c r="H99" s="2167"/>
      <c r="I99" s="138"/>
    </row>
    <row r="100" spans="1:35" ht="18.75" customHeight="1">
      <c r="A100" s="3105" t="s">
        <v>2291</v>
      </c>
      <c r="B100" s="3106"/>
      <c r="C100" s="3106"/>
      <c r="D100" s="3137"/>
      <c r="E100" s="3106" t="s">
        <v>2292</v>
      </c>
      <c r="F100" s="3106"/>
      <c r="G100" s="3106"/>
      <c r="H100" s="3137"/>
      <c r="I100" s="138"/>
    </row>
    <row r="101" spans="1:35" ht="18.75" customHeight="1">
      <c r="A101" s="3145" t="s">
        <v>2293</v>
      </c>
      <c r="B101" s="3146"/>
      <c r="C101" s="736" t="str">
        <f>C4</f>
        <v>成本法</v>
      </c>
      <c r="D101" s="737" t="str">
        <f>D4</f>
        <v>收益法</v>
      </c>
      <c r="E101" s="3117" t="s">
        <v>2294</v>
      </c>
      <c r="F101" s="3118"/>
      <c r="G101" s="2521" t="s">
        <v>2295</v>
      </c>
      <c r="H101" s="1048">
        <f ca="1">H118</f>
        <v>47967</v>
      </c>
      <c r="I101" s="138"/>
    </row>
    <row r="102" spans="1:35" ht="18.75" customHeight="1">
      <c r="A102" s="3147" t="s">
        <v>2296</v>
      </c>
      <c r="B102" s="2521" t="s">
        <v>2295</v>
      </c>
      <c r="C102" s="736">
        <f ca="1">C19</f>
        <v>13701</v>
      </c>
      <c r="D102" s="737">
        <f ca="1">D19</f>
        <v>56533</v>
      </c>
      <c r="E102" s="3117"/>
      <c r="F102" s="3118"/>
      <c r="G102" s="2521" t="s">
        <v>2297</v>
      </c>
      <c r="H102" s="371">
        <f ca="1">I118</f>
        <v>22610</v>
      </c>
      <c r="I102" s="138"/>
    </row>
    <row r="103" spans="1:35" ht="42.75" customHeight="1">
      <c r="A103" s="3147"/>
      <c r="B103" s="2521" t="s">
        <v>2297</v>
      </c>
      <c r="C103" s="738">
        <f ca="1">C20</f>
        <v>6458</v>
      </c>
      <c r="D103" s="739">
        <f ca="1">D20</f>
        <v>26648</v>
      </c>
      <c r="E103" s="3111" t="s">
        <v>2298</v>
      </c>
      <c r="F103" s="3112"/>
      <c r="G103" s="2522" t="s">
        <v>2299</v>
      </c>
      <c r="H103" s="1048">
        <f>IF(D36="正常操作",H104+H105+H106,H105+H106)</f>
        <v>0</v>
      </c>
      <c r="I103" s="138"/>
    </row>
    <row r="104" spans="1:35" ht="18.75" customHeight="1">
      <c r="A104" s="3147" t="s">
        <v>2300</v>
      </c>
      <c r="B104" s="2523" t="s">
        <v>2295</v>
      </c>
      <c r="C104" s="740">
        <f ca="1">H118</f>
        <v>47967</v>
      </c>
      <c r="D104" s="741"/>
      <c r="E104" s="2269" t="s">
        <v>2301</v>
      </c>
      <c r="F104" s="2260"/>
      <c r="G104" s="2522" t="s">
        <v>2299</v>
      </c>
      <c r="H104" s="1049">
        <f>IF(D36="同一抵押权人同一抵押物续贷",C36&amp;"（未扣减，详见特别提示）",C36)</f>
        <v>0</v>
      </c>
      <c r="I104" s="138"/>
    </row>
    <row r="105" spans="1:35" ht="18.75" customHeight="1" thickBot="1">
      <c r="A105" s="3159"/>
      <c r="B105" s="2524" t="s">
        <v>2297</v>
      </c>
      <c r="C105" s="742">
        <f ca="1">I118</f>
        <v>22610</v>
      </c>
      <c r="D105" s="743"/>
      <c r="E105" s="2269" t="s">
        <v>2302</v>
      </c>
      <c r="F105" s="2260"/>
      <c r="G105" s="2522" t="s">
        <v>2299</v>
      </c>
      <c r="H105" s="1049">
        <f>C37</f>
        <v>0</v>
      </c>
      <c r="I105" s="138"/>
    </row>
    <row r="106" spans="1:35" ht="18.75" customHeight="1">
      <c r="A106" s="2419" t="s">
        <v>2303</v>
      </c>
      <c r="B106" s="2419"/>
      <c r="C106" s="2419"/>
      <c r="D106" s="2419"/>
      <c r="E106" s="2525" t="s">
        <v>2304</v>
      </c>
      <c r="F106" s="2260"/>
      <c r="G106" s="2522" t="s">
        <v>2299</v>
      </c>
      <c r="H106" s="1049">
        <f>C38</f>
        <v>0</v>
      </c>
      <c r="I106" s="138"/>
    </row>
    <row r="107" spans="1:35" ht="18.75" customHeight="1">
      <c r="A107" s="138"/>
      <c r="B107" s="138"/>
      <c r="C107" s="138"/>
      <c r="D107" s="138"/>
      <c r="E107" s="3148" t="str">
        <f>IF(项目基本情况!E8="已注销","——","3.房地产抵押价值")</f>
        <v>3.房地产抵押价值</v>
      </c>
      <c r="F107" s="3118"/>
      <c r="G107" s="2521" t="s">
        <v>2295</v>
      </c>
      <c r="H107" s="1048">
        <f ca="1">IF(E107="——","——",H101-H103)</f>
        <v>47967</v>
      </c>
      <c r="I107" s="138"/>
    </row>
    <row r="108" spans="1:35" ht="18.75" customHeight="1">
      <c r="A108" s="138"/>
      <c r="B108" s="138"/>
      <c r="C108" s="138"/>
      <c r="D108" s="138"/>
      <c r="E108" s="3148"/>
      <c r="F108" s="3118"/>
      <c r="G108" s="2521" t="s">
        <v>2297</v>
      </c>
      <c r="H108" s="371">
        <f ca="1">ROUND(H107*10000/'数据-汇总表'!E3,0)</f>
        <v>22610</v>
      </c>
      <c r="I108" s="138"/>
    </row>
    <row r="109" spans="1:35" ht="18.75" customHeight="1">
      <c r="A109" s="138"/>
      <c r="B109" s="138"/>
      <c r="C109" s="138"/>
      <c r="D109" s="138"/>
      <c r="E109" s="3148" t="str">
        <f>IF(项目基本情况!E8="已注销及未注销","4.抵押担保权已注销时的房地产抵押价值",IF(项目基本情况!E8="已注销","3.抵押担保权已注销时的房地产抵押价值","——"))</f>
        <v>——</v>
      </c>
      <c r="F109" s="3118"/>
      <c r="G109" s="2521" t="s">
        <v>2295</v>
      </c>
      <c r="H109" s="348" t="str">
        <f>IF(E109="——","——",H101-H105-H106)</f>
        <v>——</v>
      </c>
      <c r="I109" s="138"/>
    </row>
    <row r="110" spans="1:35" ht="18.75" customHeight="1">
      <c r="A110" s="138"/>
      <c r="B110" s="138"/>
      <c r="C110" s="138"/>
      <c r="D110" s="138"/>
      <c r="E110" s="3148"/>
      <c r="F110" s="3118"/>
      <c r="G110" s="2521" t="s">
        <v>2297</v>
      </c>
      <c r="H110" s="371"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v>
      </c>
      <c r="F111" s="3150"/>
      <c r="G111" s="2521" t="s">
        <v>2295</v>
      </c>
      <c r="H111" s="1048" t="str">
        <f>IF(E111="——","——",N59)</f>
        <v>——</v>
      </c>
      <c r="I111" s="138"/>
    </row>
    <row r="112" spans="1:35" ht="18.75" customHeight="1" thickBot="1">
      <c r="A112" s="138"/>
      <c r="B112" s="138"/>
      <c r="C112" s="138"/>
      <c r="D112" s="138"/>
      <c r="E112" s="3151"/>
      <c r="F112" s="3152"/>
      <c r="G112" s="2526" t="s">
        <v>2297</v>
      </c>
      <c r="H112" s="790" t="str">
        <f>IF(E111="——","——",N61)</f>
        <v>——</v>
      </c>
      <c r="I112" s="138"/>
    </row>
    <row r="113" spans="1:11" ht="18.75" customHeight="1">
      <c r="A113" s="138"/>
      <c r="B113" s="138"/>
      <c r="C113" s="138"/>
      <c r="D113" s="138"/>
      <c r="E113" s="3160" t="s">
        <v>2303</v>
      </c>
      <c r="F113" s="3160"/>
      <c r="G113" s="3160"/>
      <c r="H113" s="3160"/>
      <c r="I113" s="138"/>
    </row>
    <row r="114" spans="1:11" ht="3.75" customHeight="1">
      <c r="A114" s="2419"/>
      <c r="B114" s="2419"/>
      <c r="C114" s="2419"/>
      <c r="D114" s="2419"/>
      <c r="E114" s="2497"/>
      <c r="F114" s="2497"/>
      <c r="G114" s="2497"/>
      <c r="H114" s="2497"/>
      <c r="I114" s="2419"/>
    </row>
    <row r="115" spans="1:11" ht="18.75" customHeight="1">
      <c r="A115" s="3173" t="s">
        <v>2305</v>
      </c>
      <c r="B115" s="3174"/>
      <c r="C115" s="3174"/>
      <c r="D115" s="3174"/>
      <c r="E115" s="3174"/>
      <c r="F115" s="3174"/>
      <c r="G115" s="3174"/>
      <c r="H115" s="3174"/>
      <c r="I115" s="3175"/>
    </row>
    <row r="116" spans="1:11" ht="27" customHeight="1">
      <c r="A116" s="3084" t="s">
        <v>2306</v>
      </c>
      <c r="B116" s="3127" t="s">
        <v>2307</v>
      </c>
      <c r="C116" s="3127" t="s">
        <v>2308</v>
      </c>
      <c r="D116" s="3133" t="s">
        <v>2309</v>
      </c>
      <c r="E116" s="3134"/>
      <c r="F116" s="3169" t="s">
        <v>3329</v>
      </c>
      <c r="G116" s="3169"/>
      <c r="H116" s="3084" t="s">
        <v>2310</v>
      </c>
      <c r="I116" s="3084"/>
    </row>
    <row r="117" spans="1:11" ht="18.75" customHeight="1">
      <c r="A117" s="3084"/>
      <c r="B117" s="3128"/>
      <c r="C117" s="3128"/>
      <c r="D117" s="1798" t="s">
        <v>2311</v>
      </c>
      <c r="E117" s="1798" t="s">
        <v>2312</v>
      </c>
      <c r="F117" s="1798" t="s">
        <v>2311</v>
      </c>
      <c r="G117" s="1798" t="s">
        <v>2313</v>
      </c>
      <c r="H117" s="1798" t="s">
        <v>2311</v>
      </c>
      <c r="I117" s="1798" t="s">
        <v>2313</v>
      </c>
    </row>
    <row r="118" spans="1:11" ht="24.75" customHeight="1">
      <c r="A118" s="2527" t="str">
        <f>项目基本情况!S2</f>
        <v>北京市昌平区昌盛路12号院房地产</v>
      </c>
      <c r="B118" s="1798">
        <f>M18</f>
        <v>21214.79</v>
      </c>
      <c r="C118" s="1798">
        <f>M19</f>
        <v>11873.13</v>
      </c>
      <c r="D118" s="1798">
        <f ca="1">ROUND(IF(D32="总价",C34,E118*B118/10000),0)</f>
        <v>17556</v>
      </c>
      <c r="E118" s="1798">
        <f ca="1">ROUND(IF(C33="自定义",IF(D32="楼面单价",C34,D118*10000/B118),I118-G118),0)</f>
        <v>8275</v>
      </c>
      <c r="F118" s="1798">
        <f ca="1">ROUND(IF(D32="总价",C35,G118*B118/10000),0)</f>
        <v>30411</v>
      </c>
      <c r="G118" s="1798">
        <f ca="1">ROUND(IF(D32="楼面单价",C35,F118*10000/B118),0)</f>
        <v>14335</v>
      </c>
      <c r="H118" s="1798">
        <f ca="1">ROUND(IF(D32="总价",C32,I118*B118/10000),0)</f>
        <v>47967</v>
      </c>
      <c r="I118" s="1798">
        <f ca="1">ROUND(IF(D32="楼面单价",C32,H118*10000/B118),0)</f>
        <v>22610</v>
      </c>
    </row>
    <row r="119" spans="1:11" ht="18.75" customHeight="1">
      <c r="A119" s="3084" t="s">
        <v>2314</v>
      </c>
      <c r="B119" s="3084"/>
      <c r="C119" s="3084"/>
      <c r="D119" s="3129" t="str">
        <f ca="1">NUMBERSTRING(INT(D118*10000),2)&amp;"元整"</f>
        <v>壹亿柒仟伍佰伍拾陆万元整</v>
      </c>
      <c r="E119" s="3130"/>
      <c r="F119" s="3129" t="str">
        <f ca="1">NUMBERSTRING(INT(F118*10000),2)&amp;"元整"</f>
        <v>叁亿零肆佰壹拾壹万元整</v>
      </c>
      <c r="G119" s="3130"/>
      <c r="H119" s="3129" t="str">
        <f ca="1">NUMBERSTRING(INT(H118*10000),2)&amp;"元整"</f>
        <v>肆亿柒仟玖佰陆拾柒万元整</v>
      </c>
      <c r="I119" s="3130"/>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4" t="str">
        <f>IF(D120=0,"故，本次评估不存在"&amp;A120,"故，本次评估"&amp;A120&amp;"为人民币"&amp;D120&amp;"万元整。")</f>
        <v>故，本次评估不存在估价师知悉的法定优先受偿款</v>
      </c>
    </row>
    <row r="121" spans="1:11" ht="18.75" customHeight="1">
      <c r="A121" s="3170" t="s">
        <v>2314</v>
      </c>
      <c r="B121" s="3171"/>
      <c r="C121" s="3172"/>
      <c r="D121" s="3129" t="str">
        <f>IF(D120=0,"零元整",NUMBERSTRING(INT(D120*10000),2)&amp;"元整")</f>
        <v>零元整</v>
      </c>
      <c r="E121" s="3131"/>
      <c r="F121" s="3131"/>
      <c r="G121" s="3131"/>
      <c r="H121" s="3131"/>
      <c r="I121" s="3130"/>
    </row>
    <row r="122" spans="1:11" ht="18.75" customHeight="1">
      <c r="A122" s="3135" t="str">
        <f>IF(项目基本情况!B9="房地产市场价值","",MID(E107,3,LEN(E107)-2))</f>
        <v>房地产抵押价值</v>
      </c>
      <c r="B122" s="3135"/>
      <c r="C122" s="3135"/>
      <c r="D122" s="3124">
        <f ca="1">H107</f>
        <v>47967</v>
      </c>
      <c r="E122" s="3125"/>
      <c r="F122" s="3125"/>
      <c r="G122" s="3125"/>
      <c r="H122" s="3125"/>
      <c r="I122" s="3126"/>
    </row>
    <row r="123" spans="1:11" ht="18.75" customHeight="1">
      <c r="A123" s="3084" t="s">
        <v>2314</v>
      </c>
      <c r="B123" s="3084"/>
      <c r="C123" s="3084"/>
      <c r="D123" s="3129" t="str">
        <f ca="1">NUMBERSTRING(INT(D122*10000),2)&amp;"元整"</f>
        <v>肆亿柒仟玖佰陆拾柒万元整</v>
      </c>
      <c r="E123" s="3131"/>
      <c r="F123" s="3131"/>
      <c r="G123" s="3131"/>
      <c r="H123" s="3131"/>
      <c r="I123" s="3130"/>
    </row>
    <row r="124" spans="1:11" ht="18.75" customHeight="1">
      <c r="A124" s="3135" t="str">
        <f>IF(项目基本情况!B9="房地产市场价值","",MID(E109,3,LEN(E109)-2))</f>
        <v/>
      </c>
      <c r="B124" s="3135"/>
      <c r="C124" s="3135"/>
      <c r="D124" s="3124" t="str">
        <f>H109</f>
        <v>——</v>
      </c>
      <c r="E124" s="3125"/>
      <c r="F124" s="3125"/>
      <c r="G124" s="3125"/>
      <c r="H124" s="3125"/>
      <c r="I124" s="3126"/>
    </row>
    <row r="125" spans="1:11" ht="18.75" customHeight="1">
      <c r="A125" s="3084" t="s">
        <v>2314</v>
      </c>
      <c r="B125" s="3084"/>
      <c r="C125" s="3084"/>
      <c r="D125" s="3129" t="e">
        <f>NUMBERSTRING(INT(D124*10000),2)&amp;"元整"</f>
        <v>#VALUE!</v>
      </c>
      <c r="E125" s="3131"/>
      <c r="F125" s="3131"/>
      <c r="G125" s="3131"/>
      <c r="H125" s="3131"/>
      <c r="I125" s="3130"/>
    </row>
    <row r="126" spans="1:11" ht="18.75" customHeight="1">
      <c r="A126" s="3135" t="str">
        <f>IF(项目基本情况!B9="房地产市场价值","",MID(E111,3,LEN(E111)-2))</f>
        <v/>
      </c>
      <c r="B126" s="3135"/>
      <c r="C126" s="3135"/>
      <c r="D126" s="3124" t="str">
        <f>H111</f>
        <v>——</v>
      </c>
      <c r="E126" s="3125"/>
      <c r="F126" s="3125"/>
      <c r="G126" s="3125"/>
      <c r="H126" s="3125"/>
      <c r="I126" s="3126"/>
    </row>
    <row r="127" spans="1:11" ht="18.75" customHeight="1">
      <c r="A127" s="3084" t="s">
        <v>2314</v>
      </c>
      <c r="B127" s="3084"/>
      <c r="C127" s="3084"/>
      <c r="D127" s="3129" t="e">
        <f>NUMBERSTRING(INT(D126*10000),2)&amp;"元整"</f>
        <v>#VALUE!</v>
      </c>
      <c r="E127" s="3131"/>
      <c r="F127" s="3131"/>
      <c r="G127" s="3131"/>
      <c r="H127" s="3131"/>
      <c r="I127" s="3130"/>
    </row>
    <row r="128" spans="1:11" ht="21.75" customHeight="1">
      <c r="A128" s="3132" t="s">
        <v>2315</v>
      </c>
      <c r="B128" s="3132"/>
      <c r="C128" s="3132"/>
      <c r="D128" s="3132"/>
      <c r="E128" s="3132"/>
      <c r="F128" s="3132"/>
      <c r="G128" s="3132"/>
      <c r="H128" s="3132"/>
      <c r="I128" s="3132"/>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topLeftCell="B31"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13701</v>
      </c>
      <c r="C2" s="243" t="s">
        <v>2325</v>
      </c>
      <c r="D2" s="2550" t="s">
        <v>70</v>
      </c>
      <c r="E2" s="1443"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6458</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3496</v>
      </c>
      <c r="D5" s="255" t="s">
        <v>2331</v>
      </c>
      <c r="E5" s="256" t="s">
        <v>2332</v>
      </c>
      <c r="F5" s="256" t="s">
        <v>2333</v>
      </c>
      <c r="G5" s="257"/>
    </row>
    <row r="6" spans="1:9" s="258" customFormat="1" ht="13.5" customHeight="1">
      <c r="A6" s="952" t="s">
        <v>2334</v>
      </c>
      <c r="B6" s="259" t="s">
        <v>2335</v>
      </c>
      <c r="C6" s="260">
        <f ca="1">基准地价修正!B2</f>
        <v>3001</v>
      </c>
      <c r="D6" s="261"/>
      <c r="E6" s="262"/>
      <c r="F6" s="262"/>
      <c r="G6" s="263"/>
    </row>
    <row r="7" spans="1:9" s="258" customFormat="1" ht="13.5" customHeight="1">
      <c r="A7" s="952" t="s">
        <v>2336</v>
      </c>
      <c r="B7" s="259" t="s">
        <v>2337</v>
      </c>
      <c r="C7" s="264">
        <f ca="1">ROUND(C6*F7,0)</f>
        <v>92</v>
      </c>
      <c r="D7" s="264"/>
      <c r="E7" s="262"/>
      <c r="F7" s="265">
        <f>'数据-取费表'!B48+'数据-取费表'!B49</f>
        <v>3.0499999999999999E-2</v>
      </c>
      <c r="G7" s="263"/>
    </row>
    <row r="8" spans="1:9" s="267" customFormat="1">
      <c r="A8" s="952" t="s">
        <v>2338</v>
      </c>
      <c r="B8" s="259" t="s">
        <v>2339</v>
      </c>
      <c r="C8" s="264">
        <f ca="1">IF(G8="已包含在土地购买价格中","0",IF(B1="",'数据-取费表'!B29,IF(G9="全部缴纳",C9+C10,H9)))</f>
        <v>403</v>
      </c>
      <c r="D8" s="266"/>
      <c r="E8" s="264"/>
      <c r="F8" s="265"/>
      <c r="G8" s="2553" t="s">
        <v>3081</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150</v>
      </c>
      <c r="F9" s="265"/>
      <c r="G9" s="2554"/>
      <c r="H9" s="1393"/>
      <c r="I9" s="2555" t="s">
        <v>2341</v>
      </c>
    </row>
    <row r="10" spans="1:9" s="258" customFormat="1" ht="13.5" customHeight="1">
      <c r="A10" s="953" t="s">
        <v>801</v>
      </c>
      <c r="B10" s="268" t="s">
        <v>2342</v>
      </c>
      <c r="C10" s="269">
        <f ca="1">ROUND(D10*E10/10000,0)</f>
        <v>403</v>
      </c>
      <c r="D10" s="1035">
        <f ca="1">IF(B1="",'数据-汇总表'!E6,IF(INDIRECT("'数据-取费表'!c"&amp;$G$1)="住宅",INDIRECT("'数据-取费表'!s"&amp;$G$1),INDIRECT("'数据-取费表'!k"&amp;$G$1)+INDIRECT("'数据-取费表'!s"&amp;$G$1)))</f>
        <v>21214.79</v>
      </c>
      <c r="E10" s="269">
        <f>'数据-取费表'!B28</f>
        <v>190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21214.79</v>
      </c>
      <c r="E19" s="255">
        <f>'数据-取费表'!B31</f>
        <v>200</v>
      </c>
      <c r="F19" s="275"/>
      <c r="G19" s="2553" t="s">
        <v>3082</v>
      </c>
    </row>
    <row r="20" spans="1:7" s="258" customFormat="1" ht="13.5" customHeight="1">
      <c r="A20" s="299" t="s">
        <v>2355</v>
      </c>
      <c r="B20" s="254" t="s">
        <v>2356</v>
      </c>
      <c r="C20" s="276">
        <f ca="1">ROUND((C5+C19)*F20,0)</f>
        <v>70</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343</v>
      </c>
      <c r="D22" s="279">
        <f ca="1">C26</f>
        <v>1E-3</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8">
        <f ca="1">ROUND(IF('数据-取费表'!B22&lt;=1,C5*F22*'数据-取费表'!B23,C5*(POWER((1+F22),'数据-取费表'!B23)-1)),0)</f>
        <v>340</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3</v>
      </c>
      <c r="D25" s="282"/>
      <c r="E25" s="285"/>
      <c r="F25" s="283"/>
      <c r="G25" s="286" t="s">
        <v>2372</v>
      </c>
    </row>
    <row r="26" spans="1:7" s="258" customFormat="1">
      <c r="A26" s="954"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713</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ROUND((C5+C19+C20)*F27*'数据-取费表'!B21/'数据-取费表'!B20,0)</f>
        <v>713</v>
      </c>
      <c r="D28" s="279"/>
      <c r="E28" s="280"/>
      <c r="F28" s="290"/>
      <c r="G28" s="291"/>
    </row>
    <row r="29" spans="1:7" s="258" customFormat="1" ht="13.5" customHeight="1">
      <c r="A29" s="954"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5010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6524</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5728</v>
      </c>
      <c r="D34" s="261"/>
      <c r="E34" s="264"/>
      <c r="F34" s="301">
        <f ca="1">IF('数据-取费表'!B24=0,1,IF(B1="",'数据-取费表'!N16,INDIRECT("'数据-取费表'!n"&amp;$G$1)))</f>
        <v>1</v>
      </c>
      <c r="G34" s="263" t="s">
        <v>2388</v>
      </c>
    </row>
    <row r="35" spans="1:7" ht="13.5" customHeight="1">
      <c r="A35" s="954" t="s">
        <v>796</v>
      </c>
      <c r="B35" s="259" t="s">
        <v>2389</v>
      </c>
      <c r="C35" s="264">
        <f ca="1">ROUND(C34*F35,0)</f>
        <v>286</v>
      </c>
      <c r="D35" s="264"/>
      <c r="E35" s="264"/>
      <c r="F35" s="303">
        <f>'数据-取费表'!B33</f>
        <v>0.05</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424</v>
      </c>
      <c r="D37" s="261">
        <f ca="1">D19</f>
        <v>21214.79</v>
      </c>
      <c r="E37" s="293">
        <f>'数据-取费表'!B35</f>
        <v>200</v>
      </c>
      <c r="F37" s="303"/>
      <c r="G37" s="305" t="s">
        <v>2394</v>
      </c>
    </row>
    <row r="38" spans="1:7" ht="13.5" customHeight="1">
      <c r="A38" s="954" t="s">
        <v>799</v>
      </c>
      <c r="B38" s="259" t="s">
        <v>2395</v>
      </c>
      <c r="C38" s="264">
        <f ca="1">ROUND(C34*F38,0)</f>
        <v>86</v>
      </c>
      <c r="D38" s="264"/>
      <c r="E38" s="264"/>
      <c r="F38" s="303">
        <f>'数据-取费表'!B36</f>
        <v>1.4999999999999999E-2</v>
      </c>
      <c r="G38" s="263" t="s">
        <v>2390</v>
      </c>
    </row>
    <row r="39" spans="1:7" s="258" customFormat="1" ht="13.5" customHeight="1">
      <c r="A39" s="299" t="s">
        <v>2396</v>
      </c>
      <c r="B39" s="254" t="s">
        <v>2397</v>
      </c>
      <c r="C39" s="276">
        <f ca="1">ROUND(C33*F20,0)</f>
        <v>130</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316</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310</v>
      </c>
      <c r="D42" s="282"/>
      <c r="E42" s="282"/>
      <c r="F42" s="283"/>
      <c r="G42" s="3204" t="s">
        <v>2406</v>
      </c>
    </row>
    <row r="43" spans="1:7" ht="13.5" customHeight="1">
      <c r="A43" s="954" t="s">
        <v>792</v>
      </c>
      <c r="B43" s="259" t="s">
        <v>2407</v>
      </c>
      <c r="C43" s="282">
        <f ca="1">ROUND(IF('数据-取费表'!B22&lt;=1,C39*F22*'数据-取费表'!B21/2,C39*(POWER((1+F22),'数据-取费表'!B21/2)-1)),0)</f>
        <v>6</v>
      </c>
      <c r="D43" s="282"/>
      <c r="E43" s="282"/>
      <c r="F43" s="283"/>
      <c r="G43" s="3205"/>
    </row>
    <row r="44" spans="1:7" ht="13.5" customHeight="1">
      <c r="A44" s="954" t="s">
        <v>793</v>
      </c>
      <c r="B44" s="259" t="s">
        <v>2408</v>
      </c>
      <c r="C44" s="282">
        <f ca="1">ROUND(IF('数据-取费表'!B22&lt;=1,C40*F22*'数据-取费表'!B21/2,C40*(POWER((1+F22),'数据-取费表'!B21/2)-1)),4)</f>
        <v>1E-3</v>
      </c>
      <c r="D44" s="282"/>
      <c r="E44" s="282"/>
      <c r="F44" s="283"/>
      <c r="G44" s="3206"/>
    </row>
    <row r="45" spans="1:7" s="258" customFormat="1" ht="13.5" customHeight="1">
      <c r="A45" s="299" t="s">
        <v>2409</v>
      </c>
      <c r="B45" s="288" t="s">
        <v>2375</v>
      </c>
      <c r="C45" s="289">
        <f ca="1">C46</f>
        <v>1331</v>
      </c>
      <c r="D45" s="279">
        <f ca="1">C47</f>
        <v>4.0000000000000001E-3</v>
      </c>
      <c r="E45" s="280" t="s">
        <v>2401</v>
      </c>
      <c r="F45" s="290"/>
      <c r="G45" s="291" t="s">
        <v>2410</v>
      </c>
    </row>
    <row r="46" spans="1:7" s="258" customFormat="1" ht="13.5" customHeight="1">
      <c r="A46" s="954" t="s">
        <v>791</v>
      </c>
      <c r="B46" s="292" t="s">
        <v>2411</v>
      </c>
      <c r="C46" s="293">
        <f ca="1">ROUND((C33+C39)*F27,0)</f>
        <v>1331</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8997</v>
      </c>
      <c r="D49" s="276"/>
      <c r="E49" s="276"/>
      <c r="F49" s="308"/>
      <c r="G49" s="278" t="s">
        <v>2416</v>
      </c>
    </row>
    <row r="50" spans="1:7" s="302" customFormat="1" ht="24">
      <c r="A50" s="299" t="s">
        <v>2417</v>
      </c>
      <c r="B50" s="254" t="s">
        <v>2418</v>
      </c>
      <c r="C50" s="276"/>
      <c r="D50" s="276"/>
      <c r="E50" s="276"/>
      <c r="F50" s="308">
        <f>IF('数据-取费表'!B24=0,'数据-取费表'!N16,1)</f>
        <v>0.96599999999999997</v>
      </c>
      <c r="G50" s="291" t="s">
        <v>2419</v>
      </c>
    </row>
    <row r="51" spans="1:7" ht="16.5" customHeight="1">
      <c r="A51" s="299" t="s">
        <v>2420</v>
      </c>
      <c r="B51" s="254" t="s">
        <v>2421</v>
      </c>
      <c r="C51" s="276">
        <f ca="1">ROUND(C49*F50,0)</f>
        <v>8691</v>
      </c>
      <c r="D51" s="276"/>
      <c r="E51" s="276"/>
      <c r="F51" s="308"/>
      <c r="G51" s="278" t="s">
        <v>2422</v>
      </c>
    </row>
    <row r="52" spans="1:7" s="252" customFormat="1" ht="16.5" thickBot="1">
      <c r="A52" s="309" t="s">
        <v>2423</v>
      </c>
      <c r="B52" s="310"/>
      <c r="C52" s="311">
        <f ca="1">C31+C51</f>
        <v>13701</v>
      </c>
      <c r="D52" s="310"/>
      <c r="E52" s="310"/>
      <c r="F52" s="310"/>
      <c r="G52" s="312"/>
    </row>
    <row r="55" spans="1:7" ht="15">
      <c r="B55" s="314" t="s">
        <v>2424</v>
      </c>
      <c r="C55" s="315"/>
    </row>
    <row r="56" spans="1:7">
      <c r="B56" s="317" t="s">
        <v>1514</v>
      </c>
      <c r="C56" s="319">
        <f ca="1">1-C57</f>
        <v>0.36599999999999999</v>
      </c>
    </row>
    <row r="57" spans="1:7">
      <c r="B57" s="317" t="s">
        <v>1515</v>
      </c>
      <c r="C57" s="318">
        <f ca="1">ROUND(C51/C52,3)</f>
        <v>0.63400000000000001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18" t="str">
        <f>项目基本情况!B1</f>
        <v>北京市昌平区昌盛路12号院预评估</v>
      </c>
      <c r="C37" s="3018"/>
      <c r="D37" s="3018"/>
      <c r="E37" s="3018"/>
      <c r="F37" s="3018"/>
      <c r="G37" s="3018"/>
      <c r="H37" s="3018"/>
      <c r="I37" s="3018"/>
    </row>
    <row r="38" spans="1:9">
      <c r="A38" s="1019"/>
      <c r="B38" s="1019"/>
    </row>
    <row r="39" spans="1:9">
      <c r="A39" s="1017" t="s">
        <v>818</v>
      </c>
      <c r="B39" s="1017" t="s">
        <v>820</v>
      </c>
    </row>
    <row r="40" spans="1:9">
      <c r="A40" s="1017"/>
      <c r="B40" s="1945" t="str">
        <f>项目基本情况!B5</f>
        <v>北京昌平科技园发展有限公司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6"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9879</v>
      </c>
      <c r="C2" s="243" t="s">
        <v>2325</v>
      </c>
      <c r="D2" s="2550" t="s">
        <v>70</v>
      </c>
      <c r="E2" s="1443"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4657</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4030810</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4030810</v>
      </c>
      <c r="D8" s="266"/>
      <c r="E8" s="264"/>
      <c r="F8" s="265"/>
      <c r="G8" s="2553"/>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2342</v>
      </c>
      <c r="C10" s="269">
        <f ca="1">ROUND(D10*E10,0)</f>
        <v>4030810</v>
      </c>
      <c r="D10" s="1035">
        <f ca="1">IF(B1="",'数据-汇总表'!E6,IF(INDIRECT("'数据-取费表'!c"&amp;$G$1)="住宅",INDIRECT("'数据-取费表'!s"&amp;$G$1),INDIRECT("'数据-取费表'!k"&amp;$G$1)+INDIRECT("'数据-取费表'!s"&amp;$G$1)))</f>
        <v>21214.79</v>
      </c>
      <c r="E10" s="269">
        <f>'数据-取费表'!B28</f>
        <v>190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4242958</v>
      </c>
      <c r="D19" s="1039">
        <f ca="1">D9+D10</f>
        <v>21214.79</v>
      </c>
      <c r="E19" s="255">
        <f>'数据-取费表'!B31</f>
        <v>200</v>
      </c>
      <c r="F19" s="275"/>
      <c r="G19" s="2553"/>
    </row>
    <row r="20" spans="1:7" s="258" customFormat="1" ht="13.5" customHeight="1">
      <c r="A20" s="299" t="s">
        <v>2436</v>
      </c>
      <c r="B20" s="254" t="s">
        <v>2437</v>
      </c>
      <c r="C20" s="276">
        <f ca="1">ROUND((C5+C19)*F20,0)</f>
        <v>165475</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812535</v>
      </c>
      <c r="D22" s="279">
        <f ca="1">C26</f>
        <v>1E-3</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4">
        <f ca="1">ROUND(IF('数据-取费表'!B22&lt;=1,C5*F22*'数据-取费表'!B22,C5*(POWER((1+F22),'数据-取费表'!B22)-1)),0)</f>
        <v>392021</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412654</v>
      </c>
      <c r="D24" s="282"/>
      <c r="E24" s="282"/>
      <c r="F24" s="283"/>
      <c r="G24" s="284" t="s">
        <v>2448</v>
      </c>
    </row>
    <row r="25" spans="1:7" s="258" customFormat="1" ht="24">
      <c r="A25" s="954" t="s">
        <v>2338</v>
      </c>
      <c r="B25" s="259" t="s">
        <v>2449</v>
      </c>
      <c r="C25" s="1384">
        <f ca="1">ROUND(IF('数据-取费表'!B22&lt;=1,C20*F22*'数据-取费表'!B22/2,C20*(POWER((1+F22),'数据-取费表'!B22/2)-1)),0)</f>
        <v>7860</v>
      </c>
      <c r="D25" s="282"/>
      <c r="E25" s="285"/>
      <c r="F25" s="283"/>
      <c r="G25" s="286" t="s">
        <v>2450</v>
      </c>
    </row>
    <row r="26" spans="1:7" s="258" customFormat="1">
      <c r="A26" s="954"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1687849</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ROUND((C5+C19+C20)*F27,0)</f>
        <v>1687849</v>
      </c>
      <c r="D28" s="279"/>
      <c r="E28" s="280"/>
      <c r="F28" s="290"/>
      <c r="G28" s="291"/>
    </row>
    <row r="29" spans="1:7" s="258" customFormat="1" ht="13.5" customHeight="1">
      <c r="A29" s="954"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11857389</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65246087</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57279933</v>
      </c>
      <c r="D34" s="261"/>
      <c r="E34" s="264"/>
      <c r="F34" s="301"/>
      <c r="G34" s="263"/>
    </row>
    <row r="35" spans="1:7" ht="13.5" customHeight="1">
      <c r="A35" s="954" t="s">
        <v>796</v>
      </c>
      <c r="B35" s="259" t="s">
        <v>2389</v>
      </c>
      <c r="C35" s="264">
        <f ca="1">ROUND(C34*F35,0)</f>
        <v>2863997</v>
      </c>
      <c r="D35" s="264"/>
      <c r="E35" s="264"/>
      <c r="F35" s="303">
        <f>'数据-取费表'!B33</f>
        <v>0.05</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4242958</v>
      </c>
      <c r="D37" s="261">
        <f ca="1">D19</f>
        <v>21214.79</v>
      </c>
      <c r="E37" s="293">
        <f>'数据-取费表'!B35</f>
        <v>200</v>
      </c>
      <c r="F37" s="303"/>
      <c r="G37" s="305"/>
    </row>
    <row r="38" spans="1:7" ht="13.5" customHeight="1">
      <c r="A38" s="954" t="s">
        <v>799</v>
      </c>
      <c r="B38" s="259" t="s">
        <v>2395</v>
      </c>
      <c r="C38" s="264">
        <f ca="1">ROUND(C34*F38,0)</f>
        <v>859199</v>
      </c>
      <c r="D38" s="264"/>
      <c r="E38" s="264"/>
      <c r="F38" s="303">
        <f>'数据-取费表'!B36</f>
        <v>1.4999999999999999E-2</v>
      </c>
      <c r="G38" s="263" t="s">
        <v>2390</v>
      </c>
    </row>
    <row r="39" spans="1:7" s="258" customFormat="1" ht="13.5" customHeight="1">
      <c r="A39" s="299" t="s">
        <v>2396</v>
      </c>
      <c r="B39" s="254" t="s">
        <v>2397</v>
      </c>
      <c r="C39" s="276">
        <f ca="1">ROUND(C33*F20,0)</f>
        <v>1304922</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3161173</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3099189</v>
      </c>
      <c r="D42" s="282"/>
      <c r="E42" s="282"/>
      <c r="F42" s="283"/>
      <c r="G42" s="3204" t="s">
        <v>2453</v>
      </c>
    </row>
    <row r="43" spans="1:7" ht="13.5" customHeight="1">
      <c r="A43" s="954" t="s">
        <v>792</v>
      </c>
      <c r="B43" s="259" t="s">
        <v>2407</v>
      </c>
      <c r="C43" s="282">
        <f ca="1">ROUND(IF('数据-取费表'!B22&lt;=1,C39*F22*'数据-取费表'!B20/2,C39*(POWER((1+F22),'数据-取费表'!B20/2)-1)),0)</f>
        <v>61984</v>
      </c>
      <c r="D43" s="282"/>
      <c r="E43" s="282"/>
      <c r="F43" s="283"/>
      <c r="G43" s="3205"/>
    </row>
    <row r="44" spans="1:7" ht="13.5" customHeight="1">
      <c r="A44" s="954" t="s">
        <v>793</v>
      </c>
      <c r="B44" s="259" t="s">
        <v>2408</v>
      </c>
      <c r="C44" s="282">
        <f ca="1">ROUND(IF('数据-取费表'!B22&lt;=1,C40*F22*'数据-取费表'!B20/2,C40*(POWER((1+F22),'数据-取费表'!B20/2)-1)),4)</f>
        <v>1E-3</v>
      </c>
      <c r="D44" s="282"/>
      <c r="E44" s="282"/>
      <c r="F44" s="283"/>
      <c r="G44" s="3206"/>
    </row>
    <row r="45" spans="1:7" s="258" customFormat="1" ht="13.5" customHeight="1">
      <c r="A45" s="299" t="s">
        <v>2409</v>
      </c>
      <c r="B45" s="288" t="s">
        <v>2375</v>
      </c>
      <c r="C45" s="289">
        <f ca="1">C46</f>
        <v>13310202</v>
      </c>
      <c r="D45" s="279">
        <f ca="1">C47</f>
        <v>4.0000000000000001E-3</v>
      </c>
      <c r="E45" s="280" t="s">
        <v>2401</v>
      </c>
      <c r="F45" s="290"/>
      <c r="G45" s="291" t="s">
        <v>2410</v>
      </c>
    </row>
    <row r="46" spans="1:7" s="258" customFormat="1" ht="13.5" customHeight="1">
      <c r="A46" s="954" t="s">
        <v>791</v>
      </c>
      <c r="B46" s="292" t="s">
        <v>2411</v>
      </c>
      <c r="C46" s="293">
        <f ca="1">ROUND((C33+C39)*F27,0)</f>
        <v>13310202</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89987409</v>
      </c>
      <c r="D49" s="276"/>
      <c r="E49" s="276"/>
      <c r="F49" s="308"/>
      <c r="G49" s="278" t="s">
        <v>2416</v>
      </c>
    </row>
    <row r="50" spans="1:7" s="302" customFormat="1">
      <c r="A50" s="299" t="s">
        <v>2417</v>
      </c>
      <c r="B50" s="254" t="s">
        <v>2418</v>
      </c>
      <c r="C50" s="276"/>
      <c r="D50" s="276"/>
      <c r="E50" s="276"/>
      <c r="F50" s="308">
        <f>IF('数据-取费表'!B24=0,'数据-取费表'!N16,1)</f>
        <v>0.96599999999999997</v>
      </c>
      <c r="G50" s="291"/>
    </row>
    <row r="51" spans="1:7" ht="16.5" customHeight="1">
      <c r="A51" s="299" t="s">
        <v>2420</v>
      </c>
      <c r="B51" s="254" t="s">
        <v>2455</v>
      </c>
      <c r="C51" s="276">
        <f ca="1">ROUND(C49*F50,0)</f>
        <v>86927837</v>
      </c>
      <c r="D51" s="276"/>
      <c r="E51" s="276"/>
      <c r="F51" s="308"/>
      <c r="G51" s="278" t="s">
        <v>2422</v>
      </c>
    </row>
    <row r="52" spans="1:7" s="252" customFormat="1" ht="16.5" thickBot="1">
      <c r="A52" s="309" t="s">
        <v>2423</v>
      </c>
      <c r="B52" s="310"/>
      <c r="C52" s="311">
        <f ca="1">C31+C51</f>
        <v>98785226</v>
      </c>
      <c r="D52" s="310"/>
      <c r="E52" s="310"/>
      <c r="F52" s="310"/>
      <c r="G52" s="312"/>
    </row>
    <row r="55" spans="1:7" ht="15">
      <c r="B55" s="314" t="s">
        <v>2424</v>
      </c>
      <c r="C55" s="315"/>
    </row>
    <row r="56" spans="1:7">
      <c r="B56" s="317" t="s">
        <v>1514</v>
      </c>
      <c r="C56" s="319">
        <f ca="1">1-C57</f>
        <v>0.12</v>
      </c>
    </row>
    <row r="57" spans="1:7">
      <c r="B57" s="317" t="s">
        <v>1515</v>
      </c>
      <c r="C57" s="318">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7" t="s">
        <v>2462</v>
      </c>
      <c r="D5" s="2557" t="s">
        <v>2463</v>
      </c>
      <c r="E5" s="2557" t="s">
        <v>2464</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2478</v>
      </c>
      <c r="C12" s="24">
        <f ca="1">ROUND(C11*F12,0)</f>
        <v>0</v>
      </c>
      <c r="D12" s="976"/>
      <c r="E12" s="375"/>
      <c r="F12" s="979">
        <f>'数据-取费表'!B33</f>
        <v>0.05</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ROUND(D14*E14*F11/10000,0)</f>
        <v>0</v>
      </c>
      <c r="D14" s="1036">
        <f ca="1">IF(C1="",'数据-汇总表'!E3,INDIRECT("'数据-取费表'!K"&amp;$K$1)+INDIRECT("'数据-取费表'!S"&amp;$K$1))</f>
        <v>21214.79</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21214.79</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0</v>
      </c>
      <c r="D18" s="1036"/>
      <c r="E18" s="24"/>
      <c r="F18" s="979"/>
      <c r="G18" s="2559"/>
      <c r="H18" s="1580"/>
      <c r="I18" s="2560"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150</v>
      </c>
      <c r="F19" s="979"/>
      <c r="G19" s="15"/>
      <c r="H19" s="1582"/>
      <c r="I19" s="984"/>
      <c r="J19" s="984"/>
      <c r="K19" s="985"/>
    </row>
    <row r="20" spans="1:33" s="978" customFormat="1" ht="13.5" customHeight="1">
      <c r="A20" s="974" t="s">
        <v>806</v>
      </c>
      <c r="B20" s="975" t="s">
        <v>2492</v>
      </c>
      <c r="C20" s="24">
        <f ca="1">ROUND(D20*E20/10000,0)</f>
        <v>403</v>
      </c>
      <c r="D20" s="1036">
        <f ca="1">IF(C1="",'数据-汇总表'!E6,IF(INDIRECT("'数据-取费表'!c"&amp;$K$1)="住宅",INDIRECT("'数据-取费表'!s"&amp;$K$1),INDIRECT("'数据-取费表'!k"&amp;$K$1)+INDIRECT("'数据-取费表'!s"&amp;$K$1)))</f>
        <v>21214.79</v>
      </c>
      <c r="E20" s="24">
        <f>'数据-取费表'!B28</f>
        <v>190</v>
      </c>
      <c r="F20" s="979"/>
      <c r="G20" s="15"/>
      <c r="H20" s="984"/>
      <c r="I20" s="984"/>
      <c r="J20" s="984"/>
      <c r="K20" s="985"/>
    </row>
    <row r="21" spans="1:33" s="978" customFormat="1" ht="13.5" customHeight="1">
      <c r="A21" s="964" t="s">
        <v>802</v>
      </c>
      <c r="B21" s="988" t="s">
        <v>2493</v>
      </c>
      <c r="C21" s="989">
        <f ca="1">C16+C17+C18</f>
        <v>0</v>
      </c>
      <c r="D21" s="990"/>
      <c r="E21" s="325"/>
      <c r="F21" s="325"/>
      <c r="G21" s="140" t="s">
        <v>2494</v>
      </c>
      <c r="H21" s="982"/>
      <c r="I21" s="982"/>
      <c r="J21" s="982"/>
      <c r="K21" s="983"/>
    </row>
    <row r="22" spans="1:33" s="978" customFormat="1" ht="13.5" customHeight="1">
      <c r="A22" s="964" t="s">
        <v>2466</v>
      </c>
      <c r="B22" s="988" t="s">
        <v>2495</v>
      </c>
      <c r="C22" s="989">
        <f ca="1">ROUND(C21*F22,0)</f>
        <v>0</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2506</v>
      </c>
      <c r="B28" s="2562" t="s">
        <v>2507</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0</v>
      </c>
      <c r="D30" s="328"/>
      <c r="E30" s="329"/>
      <c r="F30" s="334"/>
      <c r="G30" s="140"/>
      <c r="H30" s="982"/>
      <c r="I30" s="982"/>
      <c r="J30" s="982"/>
      <c r="K30" s="983"/>
    </row>
    <row r="31" spans="1:33" s="978" customFormat="1" ht="13.5" customHeight="1" thickBot="1">
      <c r="A31" s="2563"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0</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118"/>
  <sheetViews>
    <sheetView zoomScale="80" zoomScaleNormal="80" zoomScaleSheetLayoutView="96" workbookViewId="0">
      <selection activeCell="C85" sqref="C85"/>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2801</v>
      </c>
      <c r="B1" s="241"/>
      <c r="C1" s="245" t="s">
        <v>2802</v>
      </c>
      <c r="D1" s="388">
        <f>SUM(D29:D30,D33:D39)</f>
        <v>21214.79</v>
      </c>
      <c r="E1" s="2720"/>
      <c r="F1" s="2720"/>
      <c r="G1" s="2720"/>
      <c r="H1" s="2720"/>
      <c r="I1" s="2720"/>
      <c r="J1" s="2720"/>
      <c r="K1" s="1373"/>
      <c r="L1" s="2721" t="s">
        <v>2803</v>
      </c>
      <c r="M1" s="1083">
        <f>SUMPRODUCT((区片价!B5:B9=I2)*(区片价!C3:F3=E2)*(区片价!C5:F9))</f>
        <v>0</v>
      </c>
      <c r="N1" s="1086">
        <f>SUMPRODUCT((因素修正幅度!B5:B9=I2)*(因素修正幅度!C3:F3=E2)*(因素修正幅度!C5:F9))</f>
        <v>0</v>
      </c>
      <c r="O1" s="2722"/>
      <c r="P1" s="2722"/>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34.5" customHeight="1">
      <c r="A2" s="245" t="s">
        <v>2809</v>
      </c>
      <c r="B2" s="248">
        <f ca="1">C26</f>
        <v>3001</v>
      </c>
      <c r="C2" s="2724" t="s">
        <v>2810</v>
      </c>
      <c r="D2" s="2725" t="s">
        <v>2811</v>
      </c>
      <c r="E2" s="2726" t="s">
        <v>6</v>
      </c>
      <c r="F2" s="2725" t="s">
        <v>2812</v>
      </c>
      <c r="G2" s="2727" t="str">
        <f>IF(E2="商业",项目基本情况!B37,IF(E2="办公",项目基本情况!C37,IF(E2="住宅",项目基本情况!D37,项目基本情况!E37)))</f>
        <v>七级</v>
      </c>
      <c r="H2" s="2725" t="s">
        <v>2813</v>
      </c>
      <c r="I2" s="2727" t="str">
        <f>IF(E2="商业",项目基本情况!B38,IF(E2="办公",项目基本情况!C38,IF(E2="住宅",项目基本情况!D38,项目基本情况!E38)))</f>
        <v>Ⅶ-昌平园北Ⅰ</v>
      </c>
      <c r="J2" s="2728"/>
      <c r="K2" s="1373"/>
      <c r="L2" s="2729"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3290</v>
      </c>
      <c r="U2" s="1606"/>
      <c r="V2" s="1605">
        <f ca="1">ROUND(T2*U2/10000,0)</f>
        <v>0</v>
      </c>
      <c r="W2" s="1609"/>
      <c r="X2" s="1609"/>
      <c r="Y2" s="1609"/>
      <c r="Z2" s="1609"/>
      <c r="AA2" s="1609"/>
      <c r="AB2" s="1609"/>
      <c r="AC2" s="1610"/>
      <c r="AD2" s="1611"/>
      <c r="AE2" s="1611"/>
      <c r="AF2" s="1611"/>
      <c r="AG2" s="1611"/>
      <c r="AH2" s="1611"/>
      <c r="AI2" s="1611"/>
      <c r="AJ2" s="1612"/>
    </row>
    <row r="3" spans="1:36" ht="15.75">
      <c r="A3" s="247" t="s">
        <v>2815</v>
      </c>
      <c r="B3" s="248">
        <f ca="1">ROUND(B2*10000/D1,0)</f>
        <v>1415</v>
      </c>
      <c r="C3" s="2724" t="s">
        <v>2816</v>
      </c>
      <c r="D3" s="2725" t="s">
        <v>2817</v>
      </c>
      <c r="E3" s="2730" t="s">
        <v>3073</v>
      </c>
      <c r="F3" s="2731" t="s">
        <v>2818</v>
      </c>
      <c r="G3" s="916">
        <f>IF(F3="宗地容积率",'数据-汇总表'!I4,IF(F3="估价对象容积率",'数据-汇总表'!I6,'数据-汇总表'!I7))</f>
        <v>1.5</v>
      </c>
      <c r="H3" s="198" t="s">
        <v>2819</v>
      </c>
      <c r="I3" s="947"/>
      <c r="J3" s="2728" t="s">
        <v>2820</v>
      </c>
      <c r="K3" s="1373"/>
      <c r="L3" s="2729"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2362</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21"/>
      <c r="B4" s="3222"/>
      <c r="C4" s="3222"/>
      <c r="D4" s="3223"/>
      <c r="E4" s="3223"/>
      <c r="F4" s="3223"/>
      <c r="G4" s="3223"/>
      <c r="H4" s="3223"/>
      <c r="I4" s="3223"/>
      <c r="J4" s="3224"/>
      <c r="K4" s="1373"/>
      <c r="L4" s="2729"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1905</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2823</v>
      </c>
      <c r="C5" s="917">
        <f>ROUND(IF(E2="商业",IF(F16="增加",C6*C7+C16,C6*C7-C16),IF(E2="住宅",IF(F16="增加",C6*C12+C16,C6*C12-C16),IF(F16="增加",C6+C16,C6-C16))),0)</f>
        <v>1465</v>
      </c>
      <c r="D5" s="1790">
        <f>ROUND(IF(E2="商业",IF(F16="增加",C6+C16,C6-C16)),0)</f>
        <v>0</v>
      </c>
      <c r="E5" s="2734"/>
      <c r="F5" s="2734"/>
      <c r="G5" s="2735"/>
      <c r="H5" s="2735"/>
      <c r="I5" s="2735"/>
      <c r="J5" s="2736"/>
      <c r="K5" s="2737"/>
      <c r="L5" s="2729"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1529</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2825</v>
      </c>
      <c r="B6" s="2743" t="s">
        <v>2826</v>
      </c>
      <c r="C6" s="918">
        <f>SUMIF(L1:L12,G2,M1:M12)</f>
        <v>1540</v>
      </c>
      <c r="D6" s="2744" t="s">
        <v>2827</v>
      </c>
      <c r="E6" s="2745"/>
      <c r="F6" s="2745"/>
      <c r="G6" s="2746"/>
      <c r="H6" s="2746"/>
      <c r="I6" s="2746"/>
      <c r="J6" s="2747"/>
      <c r="K6" s="1845"/>
      <c r="L6" s="2729"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1302</v>
      </c>
      <c r="U6" s="1606"/>
      <c r="V6" s="1605">
        <f t="shared" ca="1" si="1"/>
        <v>0</v>
      </c>
      <c r="W6" s="1609"/>
      <c r="X6" s="1609"/>
      <c r="Y6" s="1609"/>
      <c r="Z6" s="1609"/>
      <c r="AA6" s="1609"/>
      <c r="AB6" s="1609"/>
      <c r="AC6" s="2738"/>
      <c r="AD6" s="2739"/>
      <c r="AE6" s="2739"/>
      <c r="AF6" s="2739"/>
      <c r="AG6" s="2739"/>
      <c r="AH6" s="2739"/>
      <c r="AI6" s="2739"/>
      <c r="AJ6" s="2740"/>
    </row>
    <row r="7" spans="1:36" ht="24">
      <c r="A7" s="3207" t="str">
        <f>IF(E2="商业",IF(C8="不临58条商业街","",2),"")</f>
        <v/>
      </c>
      <c r="B7" s="2748" t="s">
        <v>2829</v>
      </c>
      <c r="C7" s="919" t="e">
        <f>IF(C8="不临58条商业街",1,ROUND(1+(1.6*E8+1.2*E9+0.8*E10+0.4*E11)*C9,4))</f>
        <v>#DIV/0!</v>
      </c>
      <c r="D7" s="2749" t="s">
        <v>2830</v>
      </c>
      <c r="E7" s="948"/>
      <c r="F7" s="2750"/>
      <c r="G7" s="2751"/>
      <c r="H7" s="2751"/>
      <c r="I7" s="2751"/>
      <c r="J7" s="2752"/>
      <c r="K7" s="1845"/>
      <c r="L7" s="2729" t="s">
        <v>2831</v>
      </c>
      <c r="M7" s="1084">
        <f>SUMPRODUCT((区片价!B158:B205=I2)*(区片价!C3:F3=E2)*(区片价!C158:F205))</f>
        <v>1540</v>
      </c>
      <c r="N7" s="1086">
        <f>SUMPRODUCT((因素修正幅度!B158:B205=I2)*(因素修正幅度!C3:F3=E2)*(因素修正幅度!C158:F205))</f>
        <v>0.05</v>
      </c>
      <c r="O7" s="1373"/>
      <c r="P7" s="1373"/>
      <c r="Q7" s="1373"/>
      <c r="R7" s="1605">
        <v>6</v>
      </c>
      <c r="S7" s="1605">
        <f>ROUND(IF(G3&gt;1,IF(R7&lt;7,SUMPRODUCT((B93:B98=R7)*(C92:N92=G2)*(C93:N98)),SUMIF(C92:N92,G2,C100:N100)),IF(R7&lt;7,SUMPRODUCT((B102:B107=R7)*(C92:N92=G2)*(C102:N107)),SUMIF(C92:N92,G2,C109:N109))),4)</f>
        <v>0.6482</v>
      </c>
      <c r="T7" s="1605">
        <f t="shared" ca="1" si="0"/>
        <v>1145</v>
      </c>
      <c r="U7" s="1606"/>
      <c r="V7" s="1605">
        <f t="shared" ca="1" si="1"/>
        <v>0</v>
      </c>
      <c r="W7" s="1819" t="s">
        <v>2832</v>
      </c>
      <c r="X7" s="1607" t="str">
        <f>G2</f>
        <v>七级</v>
      </c>
      <c r="Y7" s="1607" t="s">
        <v>2833</v>
      </c>
      <c r="Z7" s="1608">
        <f>G3</f>
        <v>1.5</v>
      </c>
      <c r="AA7" s="1609"/>
      <c r="AB7" s="1609"/>
      <c r="AC7" s="1610"/>
      <c r="AD7" s="1611"/>
      <c r="AE7" s="1611"/>
      <c r="AF7" s="1611"/>
      <c r="AG7" s="1611"/>
      <c r="AH7" s="1611"/>
      <c r="AI7" s="1611"/>
      <c r="AJ7" s="1612"/>
    </row>
    <row r="8" spans="1:36" ht="15">
      <c r="A8" s="3208"/>
      <c r="B8" s="198" t="s">
        <v>2834</v>
      </c>
      <c r="C8" s="2753"/>
      <c r="D8" s="920" t="s">
        <v>139</v>
      </c>
      <c r="E8" s="921" t="e">
        <f>ROUND(C11/E7,4)</f>
        <v>#DIV/0!</v>
      </c>
      <c r="F8" s="2754" t="s">
        <v>2835</v>
      </c>
      <c r="G8" s="2755"/>
      <c r="H8" s="2755"/>
      <c r="I8" s="2755"/>
      <c r="J8" s="2756"/>
      <c r="K8" s="1373"/>
      <c r="L8" s="2729"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18" t="s">
        <v>2837</v>
      </c>
      <c r="X8" s="3219"/>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08"/>
      <c r="B9" s="198" t="s">
        <v>2850</v>
      </c>
      <c r="C9" s="922">
        <f>SUMIF(修正!C59:C119,C8,修正!E59:E119)</f>
        <v>0</v>
      </c>
      <c r="D9" s="200" t="s">
        <v>140</v>
      </c>
      <c r="E9" s="200" t="e">
        <f>ROUND(C11/E7,4)</f>
        <v>#DIV/0!</v>
      </c>
      <c r="F9" s="2754" t="s">
        <v>2851</v>
      </c>
      <c r="G9" s="2755"/>
      <c r="H9" s="2755"/>
      <c r="I9" s="2755"/>
      <c r="J9" s="2756"/>
      <c r="K9" s="1373"/>
      <c r="L9" s="2729"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20"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08"/>
      <c r="B10" s="198" t="s">
        <v>2855</v>
      </c>
      <c r="C10" s="200">
        <f>SUMIF(修正!C59:C119,C8,修正!F59:F119)</f>
        <v>0</v>
      </c>
      <c r="D10" s="200" t="s">
        <v>141</v>
      </c>
      <c r="E10" s="200" t="e">
        <f>ROUND(C11/E7,4)</f>
        <v>#DIV/0!</v>
      </c>
      <c r="F10" s="2754" t="s">
        <v>2856</v>
      </c>
      <c r="G10" s="2755"/>
      <c r="H10" s="2755"/>
      <c r="I10" s="2755"/>
      <c r="J10" s="2756"/>
      <c r="K10" s="1373"/>
      <c r="L10" s="2729"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2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08"/>
      <c r="B11" s="2757" t="s">
        <v>2858</v>
      </c>
      <c r="C11" s="923">
        <f>C10/4</f>
        <v>0</v>
      </c>
      <c r="D11" s="923" t="s">
        <v>142</v>
      </c>
      <c r="E11" s="923" t="e">
        <f>ROUND(C11/E7,4)</f>
        <v>#DIV/0!</v>
      </c>
      <c r="F11" s="2758" t="s">
        <v>2859</v>
      </c>
      <c r="G11" s="2759"/>
      <c r="H11" s="2759"/>
      <c r="I11" s="2759"/>
      <c r="J11" s="2760"/>
      <c r="K11" s="1373"/>
      <c r="L11" s="2729"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20" t="s">
        <v>2861</v>
      </c>
      <c r="X11" s="1617" t="s">
        <v>2862</v>
      </c>
      <c r="Y11" s="1618">
        <f>$G$3</f>
        <v>1.5</v>
      </c>
      <c r="Z11" s="1618">
        <f t="shared" ref="Z11:AJ11" si="3">$G$3</f>
        <v>1.5</v>
      </c>
      <c r="AA11" s="1618">
        <f t="shared" si="3"/>
        <v>1.5</v>
      </c>
      <c r="AB11" s="1618">
        <f t="shared" si="3"/>
        <v>1.5</v>
      </c>
      <c r="AC11" s="1618">
        <f t="shared" si="3"/>
        <v>1.5</v>
      </c>
      <c r="AD11" s="1618">
        <f t="shared" si="3"/>
        <v>1.5</v>
      </c>
      <c r="AE11" s="1618">
        <f t="shared" si="3"/>
        <v>1.5</v>
      </c>
      <c r="AF11" s="1618">
        <f t="shared" si="3"/>
        <v>1.5</v>
      </c>
      <c r="AG11" s="1618">
        <f t="shared" si="3"/>
        <v>1.5</v>
      </c>
      <c r="AH11" s="1618">
        <f t="shared" si="3"/>
        <v>1.5</v>
      </c>
      <c r="AI11" s="1618">
        <f t="shared" si="3"/>
        <v>1.5</v>
      </c>
      <c r="AJ11" s="1618">
        <f t="shared" si="3"/>
        <v>1.5</v>
      </c>
    </row>
    <row r="12" spans="1:36" ht="25.5" thickBot="1">
      <c r="A12" s="3207" t="s">
        <v>2863</v>
      </c>
      <c r="B12" s="2761" t="s">
        <v>2864</v>
      </c>
      <c r="C12" s="919">
        <f>ROUND(C15*D15*E15*F15*G15*H15*I15*J15,4)</f>
        <v>1</v>
      </c>
      <c r="D12" s="2762" t="s">
        <v>2865</v>
      </c>
      <c r="E12" s="2763"/>
      <c r="F12" s="2763"/>
      <c r="G12" s="2764"/>
      <c r="H12" s="2764"/>
      <c r="I12" s="2764"/>
      <c r="J12" s="2765"/>
      <c r="K12" s="1373"/>
      <c r="L12" s="2766"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20"/>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25"/>
      <c r="B13" s="2767" t="s">
        <v>2868</v>
      </c>
      <c r="C13" s="2768" t="s">
        <v>2869</v>
      </c>
      <c r="D13" s="1811" t="s">
        <v>2870</v>
      </c>
      <c r="E13" s="1811" t="s">
        <v>2871</v>
      </c>
      <c r="F13" s="30" t="s">
        <v>2872</v>
      </c>
      <c r="G13" s="2769" t="s">
        <v>2873</v>
      </c>
      <c r="H13" s="2769" t="s">
        <v>2873</v>
      </c>
      <c r="I13" s="2769" t="s">
        <v>2873</v>
      </c>
      <c r="J13" s="2770" t="s">
        <v>2873</v>
      </c>
      <c r="K13" s="1373"/>
      <c r="L13" s="1373"/>
      <c r="M13" s="1373"/>
      <c r="N13" s="1373"/>
      <c r="O13" s="1373"/>
      <c r="P13" s="1373"/>
      <c r="Q13" s="1373"/>
      <c r="R13" s="1605">
        <v>12</v>
      </c>
      <c r="S13" s="1606"/>
      <c r="T13" s="1605">
        <f t="shared" ca="1" si="0"/>
        <v>0</v>
      </c>
      <c r="U13" s="1606"/>
      <c r="V13" s="1605">
        <f t="shared" ca="1" si="1"/>
        <v>0</v>
      </c>
      <c r="W13" s="3220"/>
      <c r="X13" s="1619"/>
      <c r="Y13" s="1616">
        <f>(-0.163*(Y12^2)-0.59*Y12+7617)*(10^(-4))/Y11</f>
        <v>0.50780000000000003</v>
      </c>
      <c r="Z13" s="1616">
        <f t="shared" ref="Z13:AJ13" si="5">(-0.163*(Z12^2)-0.59*Z12+7617)*(10^(-4))/Z11</f>
        <v>0.50780000000000003</v>
      </c>
      <c r="AA13" s="1616">
        <f t="shared" si="5"/>
        <v>0.50780000000000003</v>
      </c>
      <c r="AB13" s="1616">
        <f t="shared" si="5"/>
        <v>0.50780000000000003</v>
      </c>
      <c r="AC13" s="1616">
        <f t="shared" si="5"/>
        <v>0.50780000000000003</v>
      </c>
      <c r="AD13" s="1616">
        <f t="shared" si="5"/>
        <v>0.50780000000000003</v>
      </c>
      <c r="AE13" s="1616">
        <f t="shared" si="5"/>
        <v>0.50780000000000003</v>
      </c>
      <c r="AF13" s="1616">
        <f t="shared" si="5"/>
        <v>0.50780000000000003</v>
      </c>
      <c r="AG13" s="1616">
        <f t="shared" si="5"/>
        <v>0.50780000000000003</v>
      </c>
      <c r="AH13" s="1616">
        <f t="shared" si="5"/>
        <v>0.50780000000000003</v>
      </c>
      <c r="AI13" s="1616">
        <f t="shared" si="5"/>
        <v>0.50780000000000003</v>
      </c>
      <c r="AJ13" s="1616">
        <f t="shared" si="5"/>
        <v>0.50780000000000003</v>
      </c>
    </row>
    <row r="14" spans="1:36" ht="15">
      <c r="A14" s="3225"/>
      <c r="B14" s="2771"/>
      <c r="C14" s="2772"/>
      <c r="D14" s="2773"/>
      <c r="E14" s="2773"/>
      <c r="F14" s="2774"/>
      <c r="G14" s="2775" t="s">
        <v>2874</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26"/>
      <c r="B15" s="2779" t="s">
        <v>2875</v>
      </c>
      <c r="C15" s="229">
        <f>IF(C14="有",1.1,1)</f>
        <v>1</v>
      </c>
      <c r="D15" s="229">
        <f>IF(D14="有",1.1,1)</f>
        <v>1</v>
      </c>
      <c r="E15" s="229">
        <f>IF(E14="有",1.1,1)</f>
        <v>1</v>
      </c>
      <c r="F15" s="229">
        <f>IF(F14="500米范围内",1.2,IF(F14="500-1000米",1.1,1))</f>
        <v>1</v>
      </c>
      <c r="G15" s="949">
        <v>1</v>
      </c>
      <c r="H15" s="949">
        <v>1</v>
      </c>
      <c r="I15" s="949">
        <v>1</v>
      </c>
      <c r="J15" s="950">
        <v>1</v>
      </c>
      <c r="K15" s="1373"/>
      <c r="L15" s="2780" t="s">
        <v>2811</v>
      </c>
      <c r="M15" s="920" t="s">
        <v>2876</v>
      </c>
      <c r="N15" s="920" t="s">
        <v>2877</v>
      </c>
      <c r="O15" s="920" t="s">
        <v>2878</v>
      </c>
      <c r="P15" s="2781" t="s">
        <v>2879</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07" t="s">
        <v>2880</v>
      </c>
      <c r="B16" s="2748" t="s">
        <v>2881</v>
      </c>
      <c r="C16" s="1804">
        <f>ROUND(SUM(G17:J17)/C17,0)</f>
        <v>75</v>
      </c>
      <c r="D16" s="2782" t="s">
        <v>2882</v>
      </c>
      <c r="E16" s="2783" t="s">
        <v>3077</v>
      </c>
      <c r="F16" s="2784" t="s">
        <v>3078</v>
      </c>
      <c r="G16" s="2785" t="s">
        <v>3079</v>
      </c>
      <c r="H16" s="2785" t="s">
        <v>3080</v>
      </c>
      <c r="I16" s="2785"/>
      <c r="J16" s="2786"/>
      <c r="K16" s="1373"/>
      <c r="L16" s="2787" t="s">
        <v>2883</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08"/>
      <c r="B17" s="2788" t="s">
        <v>2884</v>
      </c>
      <c r="C17" s="924">
        <f>SUMPRODUCT((修正!A2:A5=E2)*(修正!B1:M1=G2)*(修正!B2:M5))</f>
        <v>1.2</v>
      </c>
      <c r="D17" s="2789" t="s">
        <v>2885</v>
      </c>
      <c r="E17" s="923" t="str">
        <f>IF(OR(G2="八级",G2="九级",G2="十级",G2="十一级",G2="十二级"),"五通一平","七通一平")</f>
        <v>七通一平</v>
      </c>
      <c r="F17" s="924" t="s">
        <v>2886</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0"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2888</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2889</v>
      </c>
      <c r="C19" s="927">
        <f>ROUND(IF(H19="按公示增长率计算",SUMPRODUCT((地价!A3:A21=YEAR(G19)&amp;"-"&amp;ROUNDUP(MONTH(G19)/3,0))*(地价!X2:AB2=E2)*(地价!X3:AB21)),IF(H19="地价指数",M20/M19,(1+I19)^O19)),4)</f>
        <v>1.2309000000000001</v>
      </c>
      <c r="D19" s="2800" t="s">
        <v>2890</v>
      </c>
      <c r="E19" s="928">
        <v>41640</v>
      </c>
      <c r="F19" s="2800" t="s">
        <v>2891</v>
      </c>
      <c r="G19" s="929">
        <f>'数据-取费表'!B2</f>
        <v>43100</v>
      </c>
      <c r="H19" s="2801" t="s">
        <v>3075</v>
      </c>
      <c r="I19" s="930" t="str">
        <f>IF(H19="季度增幅（自定义）",SUMIF(N21:N24,E2,O21:O24),"")</f>
        <v/>
      </c>
      <c r="J19" s="2798"/>
      <c r="K19" s="1380"/>
      <c r="L19" s="2802" t="s">
        <v>2892</v>
      </c>
      <c r="M19" s="1737">
        <f>ROUND(SUMIF(地价!B2:F2,E2,地价!B21:F21),0)</f>
        <v>230</v>
      </c>
      <c r="N19" s="2803" t="s">
        <v>2893</v>
      </c>
      <c r="O19" s="931">
        <f>ROUNDDOWN(DATEDIF(E19,G19,"M")/3,0)</f>
        <v>15</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2894</v>
      </c>
      <c r="C20" s="932">
        <f ca="1">ROUND(POWER(1+G20,J20-I20)*(POWER(1+G20,I20)-1)/(POWER(1+G20,J20)-1),4)</f>
        <v>0.96940000000000004</v>
      </c>
      <c r="D20" s="2809" t="s">
        <v>2895</v>
      </c>
      <c r="E20" s="1771">
        <f ca="1">存贷款利率!D4/100</f>
        <v>4.3499999999999997E-2</v>
      </c>
      <c r="F20" s="2809" t="s">
        <v>2887</v>
      </c>
      <c r="G20" s="937">
        <f ca="1">SUMIF(M15:P15,E2,M17:P17)</f>
        <v>4.8000000000000001E-2</v>
      </c>
      <c r="H20" s="2809" t="s">
        <v>2896</v>
      </c>
      <c r="I20" s="938">
        <f>SUMIF('数据-取费表'!C6:C15,E2,'数据-取费表'!F6:F15)/COUNTIF('数据-取费表'!C6:C15,E2)</f>
        <v>44.59</v>
      </c>
      <c r="J20" s="939">
        <f>IF(E2="住宅",70,IF(E2="商业",40,50))</f>
        <v>50</v>
      </c>
      <c r="K20" s="1380"/>
      <c r="L20" s="2810" t="s">
        <v>2897</v>
      </c>
      <c r="M20" s="1738">
        <f>ROUND(SUMPRODUCT((地价!A4:A21=YEAR(G19)&amp;"-"&amp;ROUNDUP(MONTH(G19)/3,0))*(地价!B2:F2=E2)*(地价!B4:F21)),0)</f>
        <v>283</v>
      </c>
      <c r="N20" s="2811" t="s">
        <v>2898</v>
      </c>
      <c r="O20" s="2812" t="s">
        <v>2899</v>
      </c>
      <c r="P20" s="2813" t="s">
        <v>2900</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3074</v>
      </c>
      <c r="C21" s="940">
        <f>IF(B21="容积率修正",IF(G3&lt;=10,D22,J22),C23)</f>
        <v>0.90559999999999996</v>
      </c>
      <c r="D21" s="2816"/>
      <c r="E21" s="2816"/>
      <c r="F21" s="2816"/>
      <c r="G21" s="2816"/>
      <c r="H21" s="2816"/>
      <c r="I21" s="2816"/>
      <c r="J21" s="2817"/>
      <c r="K21" s="1380"/>
      <c r="N21" s="2818" t="s">
        <v>2901</v>
      </c>
      <c r="O21" s="1564"/>
      <c r="P21" s="1565">
        <f>SUMPRODUCT((地价!A3:A21=YEAR(G19)&amp;"-"&amp;ROUNDUP(MONTH(G19)/3,0))*(地价!AD2:AH2=N21)*(地价!AD3:AH21))</f>
        <v>1.6500000000000001E-2</v>
      </c>
      <c r="R21" s="1379"/>
      <c r="S21" s="1379"/>
      <c r="T21" s="1374"/>
      <c r="U21" s="1374"/>
      <c r="V21" s="1374"/>
      <c r="W21" s="1373"/>
      <c r="X21" s="1373"/>
      <c r="Y21" s="1373"/>
      <c r="Z21" s="1380"/>
      <c r="AA21" s="1381"/>
      <c r="AB21" s="1381"/>
      <c r="AC21" s="1381"/>
      <c r="AD21" s="1381"/>
      <c r="AE21" s="1381"/>
      <c r="AF21" s="1381"/>
    </row>
    <row r="22" spans="1:37" s="2741" customFormat="1" ht="14.25">
      <c r="A22" s="2667" t="s">
        <v>2902</v>
      </c>
      <c r="B22" s="2819" t="s">
        <v>2903</v>
      </c>
      <c r="C22" s="1813" t="s">
        <v>2904</v>
      </c>
      <c r="D22" s="1813">
        <f>IF(E22=G22,F22,IF(G3&lt;=10,ROUND(F22+(H22-F22)*(G3-E22)/(G22-E22),4),"——"))</f>
        <v>0.90559999999999996</v>
      </c>
      <c r="E22" s="916">
        <f>ROUNDDOWN(G3,1)</f>
        <v>1.5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16">
        <f>ROUNDUP(G3,1)</f>
        <v>1.5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813" t="s">
        <v>155</v>
      </c>
      <c r="J22" s="941" t="str">
        <f>IF(G3&gt;10,D113,"——")</f>
        <v>——</v>
      </c>
      <c r="K22" s="1380"/>
      <c r="N22" s="2818" t="s">
        <v>2905</v>
      </c>
      <c r="O22" s="1564"/>
      <c r="P22" s="1565">
        <f>SUMPRODUCT((地价!A3:A21=YEAR(G19)&amp;"-"&amp;ROUNDUP(MONTH(G19)/3,0))*(地价!AD2:AH2=N22)*(地价!AD3:AH21))</f>
        <v>1.6500000000000001E-2</v>
      </c>
      <c r="R22" s="1379"/>
      <c r="S22" s="1379"/>
      <c r="T22" s="1374"/>
      <c r="U22" s="1374"/>
      <c r="V22" s="1374"/>
      <c r="W22" s="1373"/>
      <c r="X22" s="1373"/>
      <c r="Y22" s="1373"/>
      <c r="Z22" s="1380"/>
      <c r="AA22" s="1381"/>
      <c r="AB22" s="1381"/>
      <c r="AC22" s="1381"/>
      <c r="AD22" s="1381"/>
      <c r="AE22" s="1381"/>
      <c r="AF22" s="1381"/>
    </row>
    <row r="23" spans="1:37" ht="27.75" thickBot="1">
      <c r="A23" s="2667" t="s">
        <v>2906</v>
      </c>
      <c r="B23" s="2820" t="s">
        <v>2907</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2908</v>
      </c>
      <c r="O23" s="1564"/>
      <c r="P23" s="1565">
        <f>SUMPRODUCT((地价!A3:A21=YEAR(G19)&amp;"-"&amp;ROUNDUP(MONTH(G19)/3,0))*(地价!AD2:AH2=N23)*(地价!AD3:AH21))</f>
        <v>2.7099999999999999E-2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2909</v>
      </c>
      <c r="C24" s="927">
        <f>SUMIF(A45:A88,E2,B45:B88)</f>
        <v>1.0104</v>
      </c>
      <c r="D24" s="2796"/>
      <c r="E24" s="2826"/>
      <c r="F24" s="2826"/>
      <c r="G24" s="2826"/>
      <c r="H24" s="2826"/>
      <c r="I24" s="2826"/>
      <c r="J24" s="2827"/>
      <c r="K24" s="1380"/>
      <c r="N24" s="2828" t="s">
        <v>2910</v>
      </c>
      <c r="O24" s="1566"/>
      <c r="P24" s="1567">
        <f>SUMPRODUCT((地价!A3:A21=YEAR(G19)&amp;"-"&amp;ROUNDUP(MONTH(G19)/3,0))*(地价!AD2:AH2=N24)*(地价!AD3:AH21))</f>
        <v>1.3899999999999999E-2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2911</v>
      </c>
      <c r="C25" s="933"/>
      <c r="D25" s="2751"/>
      <c r="E25" s="2751"/>
      <c r="F25" s="2830"/>
      <c r="G25" s="2751"/>
      <c r="H25" s="2751"/>
      <c r="I25" s="2751"/>
      <c r="J25" s="2752"/>
      <c r="K25" s="1373"/>
      <c r="N25" s="2831" t="s">
        <v>2912</v>
      </c>
      <c r="O25" s="1568"/>
      <c r="P25" s="1567">
        <f>SUMPRODUCT((地价!A3:A21=YEAR(G19)&amp;"-"&amp;ROUNDUP(MONTH(G19)/3,0))*(地价!AD2:AH2=N25)*(地价!AD3:AH21))</f>
        <v>2.4500000000000001E-2</v>
      </c>
      <c r="R25" s="1379"/>
      <c r="S25" s="1379"/>
      <c r="T25" s="1374"/>
      <c r="U25" s="1374"/>
      <c r="V25" s="1374"/>
      <c r="W25" s="1373"/>
      <c r="X25" s="1373"/>
      <c r="Y25" s="1373"/>
      <c r="Z25" s="1380"/>
      <c r="AA25" s="1381"/>
      <c r="AB25" s="1381"/>
      <c r="AC25" s="1381"/>
      <c r="AD25" s="1381"/>
    </row>
    <row r="26" spans="1:37" ht="15">
      <c r="A26" s="2832"/>
      <c r="B26" s="2819" t="s">
        <v>2913</v>
      </c>
      <c r="C26" s="206">
        <f ca="1">E29+SUM(E33:E39)</f>
        <v>3001</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2914</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2915</v>
      </c>
      <c r="C28" s="2843" t="s">
        <v>2916</v>
      </c>
      <c r="D28" s="2843" t="s">
        <v>2917</v>
      </c>
      <c r="E28" s="2844" t="s">
        <v>2918</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2919</v>
      </c>
      <c r="C29" s="206">
        <f ca="1">ROUND(C5*C18*C19*C20*C21*C24,0)</f>
        <v>1600</v>
      </c>
      <c r="D29" s="2848">
        <f>'数据-汇总表'!F19</f>
        <v>17809.45</v>
      </c>
      <c r="E29" s="945">
        <f ca="1">ROUND(C29*D29/10000,0)</f>
        <v>2850</v>
      </c>
      <c r="F29" s="2849" t="s">
        <v>2920</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2921</v>
      </c>
      <c r="C30" s="229">
        <f ca="1">ROUND(IF(E2="工业",C29*M39,C29*M38),0)</f>
        <v>240</v>
      </c>
      <c r="D30" s="2854"/>
      <c r="E30" s="945">
        <f ca="1">ROUND(C30*D30/10000,0)</f>
        <v>0</v>
      </c>
      <c r="F30" s="2855" t="s">
        <v>2922</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2923</v>
      </c>
      <c r="C31" s="2860" t="s">
        <v>2924</v>
      </c>
      <c r="D31" s="2764"/>
      <c r="E31" s="2860"/>
      <c r="F31" s="2860"/>
      <c r="G31" s="2762" t="s">
        <v>2925</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2916</v>
      </c>
      <c r="D32" s="498" t="s">
        <v>2917</v>
      </c>
      <c r="E32" s="498" t="s">
        <v>2918</v>
      </c>
      <c r="F32" s="388" t="s">
        <v>2926</v>
      </c>
      <c r="G32" s="2863" t="s">
        <v>2916</v>
      </c>
      <c r="H32" s="2863" t="s">
        <v>2917</v>
      </c>
      <c r="I32" s="2863" t="s">
        <v>2918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15" t="s">
        <v>2927</v>
      </c>
      <c r="B33" s="2864" t="s">
        <v>2928</v>
      </c>
      <c r="C33" s="206">
        <f ca="1">ROUND(D5*C19*C20*C24*F33,0)</f>
        <v>0</v>
      </c>
      <c r="D33" s="2848"/>
      <c r="E33" s="200">
        <f ca="1">ROUND(C33*D33/10000,0)</f>
        <v>0</v>
      </c>
      <c r="F33" s="200">
        <f>SUMIF(修正!A45:A56,G2,修正!B45:B56)</f>
        <v>0.7</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16"/>
      <c r="B34" s="2768" t="s">
        <v>2929</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16"/>
      <c r="B35" s="2768" t="s">
        <v>2930</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217"/>
      <c r="B36" s="2768" t="s">
        <v>2931</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2932</v>
      </c>
      <c r="C37" s="200">
        <f ca="1">ROUND(C5*C19*C20*C24*F37,0)</f>
        <v>442</v>
      </c>
      <c r="D37" s="2848"/>
      <c r="E37" s="200">
        <f t="shared" ca="1" si="7"/>
        <v>0</v>
      </c>
      <c r="F37" s="206">
        <f>SUMIF(修正!A45:A56,G2,修正!F45:F56)</f>
        <v>0.25</v>
      </c>
      <c r="G37" s="200">
        <f t="shared" ca="1" si="6"/>
        <v>111</v>
      </c>
      <c r="H37" s="200">
        <f t="shared" si="8"/>
        <v>0</v>
      </c>
      <c r="I37" s="200">
        <f t="shared" ca="1" si="9"/>
        <v>0</v>
      </c>
      <c r="J37" s="2865"/>
      <c r="K37" s="1373"/>
      <c r="L37" s="2867" t="s">
        <v>2933</v>
      </c>
      <c r="M37" s="2868"/>
      <c r="N37" s="1373"/>
      <c r="O37" s="1373"/>
      <c r="P37" s="1373"/>
      <c r="Q37" s="1373"/>
      <c r="R37" s="1373"/>
      <c r="S37" s="1373"/>
      <c r="T37" s="1373"/>
      <c r="U37" s="1373"/>
      <c r="V37" s="1373"/>
      <c r="W37" s="1373"/>
      <c r="X37" s="1373"/>
      <c r="Y37" s="1373"/>
      <c r="Z37" s="1374"/>
    </row>
    <row r="38" spans="1:37">
      <c r="A38" s="2866"/>
      <c r="B38" s="2768" t="s">
        <v>2934</v>
      </c>
      <c r="C38" s="200">
        <f ca="1">ROUND(C5*C19*C20*C24*F38,0)</f>
        <v>442</v>
      </c>
      <c r="D38" s="2848">
        <f>'数据-汇总表'!G19</f>
        <v>3405.3399999999992</v>
      </c>
      <c r="E38" s="200">
        <f t="shared" ca="1" si="7"/>
        <v>151</v>
      </c>
      <c r="F38" s="206">
        <f>SUMIF(修正!A45:A56,G2,修正!G45:G56)</f>
        <v>0.25</v>
      </c>
      <c r="G38" s="200">
        <f t="shared" ca="1" si="6"/>
        <v>111</v>
      </c>
      <c r="H38" s="200">
        <f t="shared" si="8"/>
        <v>3405.3399999999992</v>
      </c>
      <c r="I38" s="200">
        <f t="shared" ca="1" si="9"/>
        <v>38</v>
      </c>
      <c r="J38" s="2865"/>
      <c r="K38" s="1373"/>
      <c r="L38" s="1890" t="s">
        <v>2935</v>
      </c>
      <c r="M38" s="2869">
        <v>0.25</v>
      </c>
      <c r="N38" s="1373"/>
      <c r="O38" s="1373"/>
      <c r="P38" s="1373"/>
      <c r="Q38" s="1373"/>
      <c r="R38" s="1373"/>
      <c r="S38" s="1373"/>
      <c r="T38" s="1373"/>
      <c r="U38" s="1373"/>
      <c r="V38" s="1373"/>
      <c r="W38" s="1373"/>
      <c r="X38" s="1373"/>
      <c r="Y38" s="1373"/>
      <c r="Z38" s="1374"/>
    </row>
    <row r="39" spans="1:37" ht="13.5" thickBot="1">
      <c r="A39" s="2852"/>
      <c r="B39" s="2870" t="s">
        <v>2936</v>
      </c>
      <c r="C39" s="229">
        <f ca="1">ROUND(C5*C19*C20*C24*F39,0)</f>
        <v>353</v>
      </c>
      <c r="D39" s="2854"/>
      <c r="E39" s="229">
        <f t="shared" ca="1" si="7"/>
        <v>0</v>
      </c>
      <c r="F39" s="935">
        <f>SUMIF(修正!A45:A56,G2,修正!H45:H56)</f>
        <v>0.2</v>
      </c>
      <c r="G39" s="229" t="e">
        <f t="shared" si="6"/>
        <v>#DIV/0!</v>
      </c>
      <c r="H39" s="229">
        <f t="shared" si="8"/>
        <v>0</v>
      </c>
      <c r="I39" s="229" t="e">
        <f t="shared" si="9"/>
        <v>#DIV/0!</v>
      </c>
      <c r="J39" s="2871"/>
      <c r="K39" s="1373"/>
      <c r="L39" s="2872" t="s">
        <v>2879</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2937</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2938</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2939</v>
      </c>
      <c r="B47" s="1812" t="s">
        <v>2940</v>
      </c>
      <c r="C47" s="1812" t="s">
        <v>2941</v>
      </c>
      <c r="D47" s="1812" t="s">
        <v>2942</v>
      </c>
      <c r="E47" s="819" t="s">
        <v>2943</v>
      </c>
      <c r="F47" s="2882" t="s">
        <v>2944</v>
      </c>
      <c r="G47" s="1812" t="s">
        <v>754</v>
      </c>
      <c r="H47" s="2883" t="s">
        <v>2945</v>
      </c>
      <c r="I47" s="1812" t="s">
        <v>2946</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1" t="s">
        <v>2947</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2948</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2949</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2950</v>
      </c>
      <c r="B51" s="2886" t="s">
        <v>2951</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2952</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2953</v>
      </c>
      <c r="B53" s="2887" t="s">
        <v>2954</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2955</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2956</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2957</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2958</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2939</v>
      </c>
      <c r="B58" s="1812"/>
      <c r="C58" s="1812" t="s">
        <v>2941</v>
      </c>
      <c r="D58" s="1812" t="s">
        <v>2942</v>
      </c>
      <c r="E58" s="819" t="s">
        <v>2943</v>
      </c>
      <c r="F58" s="2882" t="s">
        <v>2959</v>
      </c>
      <c r="G58" s="1812" t="s">
        <v>754</v>
      </c>
      <c r="H58" s="2883" t="s">
        <v>2945</v>
      </c>
      <c r="I58" s="1812" t="s">
        <v>2946</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1" t="s">
        <v>2960</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2948</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2949</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2950</v>
      </c>
      <c r="B62" s="2886" t="s">
        <v>2951</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2952</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2953</v>
      </c>
      <c r="B64" s="2887" t="s">
        <v>2954</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2955</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2956</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2957</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2961</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2939</v>
      </c>
      <c r="B69" s="1812"/>
      <c r="C69" s="1812" t="s">
        <v>2941</v>
      </c>
      <c r="D69" s="1812" t="s">
        <v>2942</v>
      </c>
      <c r="E69" s="819" t="s">
        <v>2943</v>
      </c>
      <c r="F69" s="2882" t="s">
        <v>2959</v>
      </c>
      <c r="G69" s="1812" t="s">
        <v>754</v>
      </c>
      <c r="H69" s="2883" t="s">
        <v>2945</v>
      </c>
      <c r="I69" s="1812" t="s">
        <v>2946</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1" t="s">
        <v>2962</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2948</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2949</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2963</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2955</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2956</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2953</v>
      </c>
      <c r="B76" s="2887" t="s">
        <v>2954</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2957</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2964</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2965</v>
      </c>
      <c r="B79" s="2878">
        <f>1+E81</f>
        <v>1.0104</v>
      </c>
      <c r="C79" s="814"/>
      <c r="D79" s="814"/>
      <c r="E79" s="815"/>
      <c r="F79" s="2880"/>
      <c r="G79" s="6"/>
      <c r="H79" s="6"/>
      <c r="I79" s="6"/>
      <c r="J79" s="7"/>
      <c r="K79" s="7"/>
      <c r="L79" s="7"/>
      <c r="M79" s="7"/>
      <c r="N79" s="7"/>
      <c r="Z79" s="2723"/>
      <c r="AA79" s="2799"/>
      <c r="AG79" s="1375"/>
      <c r="AK79" s="2799"/>
    </row>
    <row r="80" spans="1:37" ht="24.75">
      <c r="A80" s="2881" t="s">
        <v>2939</v>
      </c>
      <c r="B80" s="1812"/>
      <c r="C80" s="1812" t="s">
        <v>2941</v>
      </c>
      <c r="D80" s="1812" t="s">
        <v>2942</v>
      </c>
      <c r="E80" s="819" t="s">
        <v>2943</v>
      </c>
      <c r="F80" s="2882" t="s">
        <v>2959</v>
      </c>
      <c r="G80" s="1812" t="s">
        <v>754</v>
      </c>
      <c r="H80" s="2883" t="s">
        <v>2945</v>
      </c>
      <c r="I80" s="1812" t="s">
        <v>2946</v>
      </c>
      <c r="J80" s="603" t="s">
        <v>2594</v>
      </c>
      <c r="K80" s="603" t="s">
        <v>2595</v>
      </c>
      <c r="L80" s="603" t="s">
        <v>2596</v>
      </c>
      <c r="M80" s="603" t="s">
        <v>2597</v>
      </c>
      <c r="N80" s="603" t="s">
        <v>2598</v>
      </c>
      <c r="Z80" s="2723"/>
      <c r="AA80" s="2799"/>
      <c r="AG80" s="1375"/>
      <c r="AK80" s="2799"/>
    </row>
    <row r="81" spans="1:37" ht="63.75">
      <c r="A81" s="2881" t="s">
        <v>2966</v>
      </c>
      <c r="B81" s="2885" t="str">
        <f>估价对象房地状况!G15</f>
        <v>估价对象位于乐华仕健康产业园，园区建设成熟度较好，周边有中国电子产品科技园等项目，产业集聚程度较好。</v>
      </c>
      <c r="C81" s="2773" t="s">
        <v>3105</v>
      </c>
      <c r="D81" s="1289">
        <f t="shared" ref="D81:D88" si="25">SUMIF($J$80:$N$80,C81,J81:N81)</f>
        <v>0</v>
      </c>
      <c r="E81" s="821">
        <f>ROUND(SUM(D81:D88),4)</f>
        <v>1.04E-2</v>
      </c>
      <c r="F81" s="2504">
        <f>IF(E2="工业",SUMIF(L1:L12,G2,N1:N12),"——")</f>
        <v>0.05</v>
      </c>
      <c r="G81" s="1287">
        <f t="shared" ref="G81:G88" si="26">H81</f>
        <v>6.4999999999999997E-3</v>
      </c>
      <c r="H81" s="1291">
        <f t="shared" ref="H81:H88" si="27">IFERROR(ROUNDDOWN($F$81*I81/2,4),"——")</f>
        <v>6.4999999999999997E-3</v>
      </c>
      <c r="I81" s="820">
        <v>0.26</v>
      </c>
      <c r="J81" s="1288">
        <f t="shared" ref="J81:J88" si="28">K81+$G81</f>
        <v>1.2999999999999999E-2</v>
      </c>
      <c r="K81" s="1288">
        <f t="shared" ref="K81:K88" si="29">$L81+$G81</f>
        <v>6.4999999999999997E-3</v>
      </c>
      <c r="L81" s="1288">
        <v>0</v>
      </c>
      <c r="M81" s="1288">
        <f t="shared" ref="M81:N88" si="30">L81-$G81</f>
        <v>-6.4999999999999997E-3</v>
      </c>
      <c r="N81" s="1288">
        <f t="shared" si="30"/>
        <v>-1.2999999999999999E-2</v>
      </c>
      <c r="Z81" s="2723"/>
      <c r="AA81" s="2799"/>
      <c r="AG81" s="1375"/>
      <c r="AK81" s="2799"/>
    </row>
    <row r="82" spans="1:37" ht="76.5">
      <c r="A82" s="2881" t="s">
        <v>2948</v>
      </c>
      <c r="B82" s="2885" t="str">
        <f>估价对象房地状况!G16</f>
        <v>估价对象周边路网较密集，公共交通通达情况较好，有889路、昌1路等公共交通，停车便捷程度较好，综合评价交通便捷度较好。</v>
      </c>
      <c r="C82" s="2773" t="s">
        <v>3105</v>
      </c>
      <c r="D82" s="1289">
        <f t="shared" si="25"/>
        <v>0</v>
      </c>
      <c r="E82" s="826"/>
      <c r="F82" s="2504"/>
      <c r="G82" s="1287">
        <f t="shared" si="26"/>
        <v>8.2000000000000007E-3</v>
      </c>
      <c r="H82" s="1291">
        <f t="shared" si="27"/>
        <v>8.2000000000000007E-3</v>
      </c>
      <c r="I82" s="820">
        <v>0.33</v>
      </c>
      <c r="J82" s="1288">
        <f t="shared" si="28"/>
        <v>1.6400000000000001E-2</v>
      </c>
      <c r="K82" s="1288">
        <f t="shared" si="29"/>
        <v>8.2000000000000007E-3</v>
      </c>
      <c r="L82" s="1288">
        <v>0</v>
      </c>
      <c r="M82" s="1288">
        <f t="shared" si="30"/>
        <v>-8.2000000000000007E-3</v>
      </c>
      <c r="N82" s="1288">
        <f t="shared" si="30"/>
        <v>-1.6400000000000001E-2</v>
      </c>
      <c r="Z82" s="2723"/>
      <c r="AA82" s="2799"/>
      <c r="AG82" s="1375"/>
      <c r="AK82" s="2799"/>
    </row>
    <row r="83" spans="1:37" ht="38.25">
      <c r="A83" s="2881" t="s">
        <v>2949</v>
      </c>
      <c r="B83" s="2885" t="str">
        <f>估价对象房地状况!G17</f>
        <v>周边工业用地比例适当，区域土地利用方向较一致。</v>
      </c>
      <c r="C83" s="2773" t="s">
        <v>3105</v>
      </c>
      <c r="D83" s="1289">
        <f t="shared" si="25"/>
        <v>0</v>
      </c>
      <c r="E83" s="826"/>
      <c r="F83" s="2504"/>
      <c r="G83" s="1287">
        <f t="shared" si="26"/>
        <v>1.1999999999999999E-3</v>
      </c>
      <c r="H83" s="1291">
        <f t="shared" si="27"/>
        <v>1.1999999999999999E-3</v>
      </c>
      <c r="I83" s="820">
        <v>0.05</v>
      </c>
      <c r="J83" s="1288">
        <f t="shared" si="28"/>
        <v>2.3999999999999998E-3</v>
      </c>
      <c r="K83" s="1288">
        <f t="shared" si="29"/>
        <v>1.1999999999999999E-3</v>
      </c>
      <c r="L83" s="1288">
        <v>0</v>
      </c>
      <c r="M83" s="1288">
        <f t="shared" si="30"/>
        <v>-1.1999999999999999E-3</v>
      </c>
      <c r="N83" s="1288">
        <f t="shared" si="30"/>
        <v>-2.3999999999999998E-3</v>
      </c>
      <c r="Z83" s="2723"/>
      <c r="AA83" s="2799"/>
      <c r="AG83" s="1375"/>
      <c r="AK83" s="2799"/>
    </row>
    <row r="84" spans="1:37" ht="14.25">
      <c r="A84" s="2881" t="s">
        <v>2963</v>
      </c>
      <c r="B84" s="2885" t="str">
        <f>估价对象房地状况!G22</f>
        <v>城市次干道——昌盛路</v>
      </c>
      <c r="C84" s="2773" t="s">
        <v>3105</v>
      </c>
      <c r="D84" s="1289">
        <f t="shared" si="25"/>
        <v>0</v>
      </c>
      <c r="E84" s="826"/>
      <c r="F84" s="2504"/>
      <c r="G84" s="1287">
        <f t="shared" si="26"/>
        <v>1E-3</v>
      </c>
      <c r="H84" s="1291">
        <f t="shared" si="27"/>
        <v>1E-3</v>
      </c>
      <c r="I84" s="820">
        <v>0.04</v>
      </c>
      <c r="J84" s="1288">
        <f t="shared" si="28"/>
        <v>2E-3</v>
      </c>
      <c r="K84" s="1288">
        <f t="shared" si="29"/>
        <v>1E-3</v>
      </c>
      <c r="L84" s="1288">
        <v>0</v>
      </c>
      <c r="M84" s="1288">
        <f t="shared" si="30"/>
        <v>-1E-3</v>
      </c>
      <c r="N84" s="1288">
        <f t="shared" si="30"/>
        <v>-2E-3</v>
      </c>
      <c r="Z84" s="2723"/>
      <c r="AA84" s="2799"/>
      <c r="AG84" s="1375"/>
      <c r="AK84" s="2799"/>
    </row>
    <row r="85" spans="1:37" ht="114.75">
      <c r="A85" s="2881" t="s">
        <v>2955</v>
      </c>
      <c r="B85" s="1728" t="str">
        <f>估价对象房地状况!G19</f>
        <v>估价对象所在区域2公里范围内有：银行（中国银行、中国民生银行），购物（金隅万科购物中心，菓岭假日广场），医院（北京龙山中医医院），学校（中国石油大学附属小学、附属中学）公共配套设施齐备情况较好。</v>
      </c>
      <c r="C85" s="2773" t="s">
        <v>3104</v>
      </c>
      <c r="D85" s="1289">
        <f t="shared" si="25"/>
        <v>1.5E-3</v>
      </c>
      <c r="E85" s="826"/>
      <c r="F85" s="2504"/>
      <c r="G85" s="1287">
        <f t="shared" si="26"/>
        <v>1.5E-3</v>
      </c>
      <c r="H85" s="1291">
        <f t="shared" si="27"/>
        <v>1.5E-3</v>
      </c>
      <c r="I85" s="820">
        <v>0.06</v>
      </c>
      <c r="J85" s="1288">
        <f t="shared" si="28"/>
        <v>3.0000000000000001E-3</v>
      </c>
      <c r="K85" s="1288">
        <f t="shared" si="29"/>
        <v>1.5E-3</v>
      </c>
      <c r="L85" s="1288">
        <v>0</v>
      </c>
      <c r="M85" s="1288">
        <f t="shared" si="30"/>
        <v>-1.5E-3</v>
      </c>
      <c r="N85" s="1288">
        <f t="shared" si="30"/>
        <v>-3.0000000000000001E-3</v>
      </c>
      <c r="Z85" s="2723"/>
      <c r="AA85" s="2799"/>
      <c r="AG85" s="1375"/>
      <c r="AK85" s="2799"/>
    </row>
    <row r="86" spans="1:37" ht="25.5">
      <c r="A86" s="2881" t="s">
        <v>2956</v>
      </c>
      <c r="B86" s="1728" t="str">
        <f>估价对象房地状况!G20</f>
        <v>估价对象所在区域基础设施水平达到“七通”。</v>
      </c>
      <c r="C86" s="2773" t="s">
        <v>3103</v>
      </c>
      <c r="D86" s="1289">
        <f t="shared" si="25"/>
        <v>7.4000000000000003E-3</v>
      </c>
      <c r="E86" s="826"/>
      <c r="F86" s="2504"/>
      <c r="G86" s="1287">
        <f t="shared" si="26"/>
        <v>3.7000000000000002E-3</v>
      </c>
      <c r="H86" s="1291">
        <f t="shared" si="27"/>
        <v>3.7000000000000002E-3</v>
      </c>
      <c r="I86" s="820">
        <v>0.15</v>
      </c>
      <c r="J86" s="1288">
        <f t="shared" si="28"/>
        <v>7.4000000000000003E-3</v>
      </c>
      <c r="K86" s="1288">
        <f t="shared" si="29"/>
        <v>3.7000000000000002E-3</v>
      </c>
      <c r="L86" s="1288">
        <v>0</v>
      </c>
      <c r="M86" s="1288">
        <f t="shared" si="30"/>
        <v>-3.7000000000000002E-3</v>
      </c>
      <c r="N86" s="1288">
        <f t="shared" si="30"/>
        <v>-7.4000000000000003E-3</v>
      </c>
      <c r="Z86" s="2723"/>
      <c r="AA86" s="2799"/>
      <c r="AG86" s="1375"/>
      <c r="AK86" s="2799"/>
    </row>
    <row r="87" spans="1:37" ht="24">
      <c r="A87" s="2881" t="s">
        <v>2953</v>
      </c>
      <c r="B87" s="2959" t="s">
        <v>3106</v>
      </c>
      <c r="C87" s="2773" t="s">
        <v>3105</v>
      </c>
      <c r="D87" s="1289">
        <f t="shared" si="25"/>
        <v>0</v>
      </c>
      <c r="E87" s="826"/>
      <c r="F87" s="2504"/>
      <c r="G87" s="1287">
        <f t="shared" si="26"/>
        <v>1.1999999999999999E-3</v>
      </c>
      <c r="H87" s="1291">
        <f t="shared" si="27"/>
        <v>1.1999999999999999E-3</v>
      </c>
      <c r="I87" s="820">
        <v>0.05</v>
      </c>
      <c r="J87" s="1288">
        <f t="shared" si="28"/>
        <v>2.3999999999999998E-3</v>
      </c>
      <c r="K87" s="1288">
        <f t="shared" si="29"/>
        <v>1.1999999999999999E-3</v>
      </c>
      <c r="L87" s="1288">
        <v>0</v>
      </c>
      <c r="M87" s="1288">
        <f t="shared" si="30"/>
        <v>-1.1999999999999999E-3</v>
      </c>
      <c r="N87" s="1288">
        <f t="shared" si="30"/>
        <v>-2.3999999999999998E-3</v>
      </c>
      <c r="Z87" s="2723"/>
      <c r="AA87" s="2799"/>
      <c r="AG87" s="1375"/>
      <c r="AK87" s="2799"/>
    </row>
    <row r="88" spans="1:37" ht="51.75" thickBot="1">
      <c r="A88" s="2889" t="s">
        <v>2967</v>
      </c>
      <c r="B88" s="2894" t="str">
        <f>估价对象房地状况!G18</f>
        <v>该园区内是无污染型企业，绿化情况较好，卫生条件较好，整体环境状况较好。</v>
      </c>
      <c r="C88" s="2773" t="s">
        <v>3104</v>
      </c>
      <c r="D88" s="1289">
        <f t="shared" si="25"/>
        <v>1.5E-3</v>
      </c>
      <c r="E88" s="827"/>
      <c r="F88" s="2504"/>
      <c r="G88" s="1287">
        <f t="shared" si="26"/>
        <v>1.5E-3</v>
      </c>
      <c r="H88" s="1291">
        <f t="shared" si="27"/>
        <v>1.5E-3</v>
      </c>
      <c r="I88" s="824">
        <v>0.06</v>
      </c>
      <c r="J88" s="1288">
        <f t="shared" si="28"/>
        <v>3.0000000000000001E-3</v>
      </c>
      <c r="K88" s="1288">
        <f t="shared" si="29"/>
        <v>1.5E-3</v>
      </c>
      <c r="L88" s="1288">
        <v>0</v>
      </c>
      <c r="M88" s="1288">
        <f t="shared" si="30"/>
        <v>-1.5E-3</v>
      </c>
      <c r="N88" s="1288">
        <f t="shared" si="30"/>
        <v>-3.0000000000000001E-3</v>
      </c>
      <c r="Z88" s="2723"/>
      <c r="AA88" s="2799"/>
      <c r="AG88" s="1375"/>
      <c r="AK88" s="2799"/>
    </row>
    <row r="90" spans="1:37">
      <c r="A90" s="3209" t="s">
        <v>2968</v>
      </c>
      <c r="B90" s="3209"/>
      <c r="C90" s="3209"/>
      <c r="D90" s="3209"/>
      <c r="E90" s="3209"/>
      <c r="F90" s="3209"/>
      <c r="G90" s="3209"/>
      <c r="H90" s="3209"/>
      <c r="I90" s="3209"/>
      <c r="J90" s="3209"/>
      <c r="K90" s="2895"/>
      <c r="L90" s="2895"/>
      <c r="M90" s="2895"/>
      <c r="N90" s="2895"/>
    </row>
    <row r="91" spans="1:37">
      <c r="A91" s="3211" t="s">
        <v>2969</v>
      </c>
      <c r="B91" s="3211" t="s">
        <v>2970</v>
      </c>
      <c r="C91" s="2849" t="s">
        <v>2971</v>
      </c>
      <c r="D91" s="2850"/>
      <c r="E91" s="2850"/>
      <c r="F91" s="2850"/>
      <c r="G91" s="2850"/>
      <c r="H91" s="2850"/>
      <c r="I91" s="2850"/>
      <c r="J91" s="2896"/>
      <c r="K91" s="2897"/>
      <c r="L91" s="2897"/>
      <c r="M91" s="2897"/>
      <c r="N91" s="2897"/>
    </row>
    <row r="92" spans="1:37">
      <c r="A92" s="3211"/>
      <c r="B92" s="3211"/>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12" t="s">
        <v>2972</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13"/>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13"/>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13"/>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13"/>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13"/>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13"/>
      <c r="B99" s="2898" t="s">
        <v>2854</v>
      </c>
      <c r="C99" s="2900">
        <f>$I$3</f>
        <v>0</v>
      </c>
      <c r="D99" s="2900">
        <f t="shared" ref="D99:M99" si="31">$I$3</f>
        <v>0</v>
      </c>
      <c r="E99" s="2900">
        <f t="shared" si="31"/>
        <v>0</v>
      </c>
      <c r="F99" s="2900">
        <f t="shared" si="31"/>
        <v>0</v>
      </c>
      <c r="G99" s="2900">
        <f t="shared" si="31"/>
        <v>0</v>
      </c>
      <c r="H99" s="2900">
        <f t="shared" si="31"/>
        <v>0</v>
      </c>
      <c r="I99" s="2900">
        <f t="shared" si="31"/>
        <v>0</v>
      </c>
      <c r="J99" s="2900">
        <f t="shared" si="31"/>
        <v>0</v>
      </c>
      <c r="K99" s="2900">
        <f t="shared" si="31"/>
        <v>0</v>
      </c>
      <c r="L99" s="2900">
        <f t="shared" si="31"/>
        <v>0</v>
      </c>
      <c r="M99" s="2900">
        <f t="shared" si="31"/>
        <v>0</v>
      </c>
      <c r="N99" s="2900">
        <f>$I$3</f>
        <v>0</v>
      </c>
    </row>
    <row r="100" spans="1:14">
      <c r="A100" s="3214"/>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12" t="s">
        <v>2973</v>
      </c>
      <c r="B101" s="2902" t="s">
        <v>2974</v>
      </c>
      <c r="C101" s="2903">
        <f>$G$3</f>
        <v>1.5</v>
      </c>
      <c r="D101" s="2903">
        <f t="shared" ref="D101:N101" si="32">$G$3</f>
        <v>1.5</v>
      </c>
      <c r="E101" s="2903">
        <f t="shared" si="32"/>
        <v>1.5</v>
      </c>
      <c r="F101" s="2903">
        <f t="shared" si="32"/>
        <v>1.5</v>
      </c>
      <c r="G101" s="2903">
        <f t="shared" si="32"/>
        <v>1.5</v>
      </c>
      <c r="H101" s="2903">
        <f t="shared" si="32"/>
        <v>1.5</v>
      </c>
      <c r="I101" s="2903">
        <f t="shared" si="32"/>
        <v>1.5</v>
      </c>
      <c r="J101" s="2903">
        <f t="shared" si="32"/>
        <v>1.5</v>
      </c>
      <c r="K101" s="2903">
        <f t="shared" si="32"/>
        <v>1.5</v>
      </c>
      <c r="L101" s="2903">
        <f t="shared" si="32"/>
        <v>1.5</v>
      </c>
      <c r="M101" s="2903">
        <f t="shared" si="32"/>
        <v>1.5</v>
      </c>
      <c r="N101" s="2903">
        <f t="shared" si="32"/>
        <v>1.5</v>
      </c>
    </row>
    <row r="102" spans="1:14">
      <c r="A102" s="3213"/>
      <c r="B102" s="2898">
        <v>1</v>
      </c>
      <c r="C102" s="2899">
        <f>1.9362/C101</f>
        <v>1.2907999999999999</v>
      </c>
      <c r="D102" s="2899">
        <f>1.9362/D101</f>
        <v>1.2907999999999999</v>
      </c>
      <c r="E102" s="2899">
        <f>1.8629/E101</f>
        <v>1.2419333333333333</v>
      </c>
      <c r="F102" s="2899">
        <f>1.8629/F101</f>
        <v>1.2419333333333333</v>
      </c>
      <c r="G102" s="2899">
        <f>1.8629/G101</f>
        <v>1.2419333333333333</v>
      </c>
      <c r="H102" s="2899">
        <f>1.8629/H101</f>
        <v>1.2419333333333333</v>
      </c>
      <c r="I102" s="2899">
        <f>1.8629/I101</f>
        <v>1.2419333333333333</v>
      </c>
      <c r="J102" s="2899">
        <f>1.942/J101</f>
        <v>1.2946666666666666</v>
      </c>
      <c r="K102" s="2899">
        <f>1.942/K101</f>
        <v>1.2946666666666666</v>
      </c>
      <c r="L102" s="2899">
        <f>1.942/L101</f>
        <v>1.2946666666666666</v>
      </c>
      <c r="M102" s="2899">
        <f>1.942/M101</f>
        <v>1.2946666666666666</v>
      </c>
      <c r="N102" s="2899">
        <f>1.942/N101</f>
        <v>1.2946666666666666</v>
      </c>
    </row>
    <row r="103" spans="1:14">
      <c r="A103" s="3213"/>
      <c r="B103" s="2898">
        <v>2</v>
      </c>
      <c r="C103" s="2899">
        <f>1.4198/C101</f>
        <v>0.94653333333333334</v>
      </c>
      <c r="D103" s="2899">
        <f>1.4198/D101</f>
        <v>0.94653333333333334</v>
      </c>
      <c r="E103" s="2899">
        <f>1.3372/E101</f>
        <v>0.89146666666666663</v>
      </c>
      <c r="F103" s="2899">
        <f>1.3372/F101</f>
        <v>0.89146666666666663</v>
      </c>
      <c r="G103" s="2899">
        <f>1.3372/G101</f>
        <v>0.89146666666666663</v>
      </c>
      <c r="H103" s="2899">
        <f>1.3372/H101</f>
        <v>0.89146666666666663</v>
      </c>
      <c r="I103" s="2899">
        <f>1.3372/I101</f>
        <v>0.89146666666666663</v>
      </c>
      <c r="J103" s="2899">
        <f>1.2799/J101</f>
        <v>0.85326666666666673</v>
      </c>
      <c r="K103" s="2899">
        <f>1.2799/K101</f>
        <v>0.85326666666666673</v>
      </c>
      <c r="L103" s="2899">
        <f>1.2799/L101</f>
        <v>0.85326666666666673</v>
      </c>
      <c r="M103" s="2899">
        <f>1.2799/M101</f>
        <v>0.85326666666666673</v>
      </c>
      <c r="N103" s="2899">
        <f>1.2799/N101</f>
        <v>0.85326666666666673</v>
      </c>
    </row>
    <row r="104" spans="1:14">
      <c r="A104" s="3213"/>
      <c r="B104" s="2898">
        <v>3</v>
      </c>
      <c r="C104" s="2899">
        <f>1.1594/C101</f>
        <v>0.77293333333333336</v>
      </c>
      <c r="D104" s="2899">
        <f>1.1594/D101</f>
        <v>0.77293333333333336</v>
      </c>
      <c r="E104" s="2899">
        <f>1.0788/E101</f>
        <v>0.71919999999999995</v>
      </c>
      <c r="F104" s="2899">
        <f>1.0788/F101</f>
        <v>0.71919999999999995</v>
      </c>
      <c r="G104" s="2899">
        <f>1.0788/G101</f>
        <v>0.71919999999999995</v>
      </c>
      <c r="H104" s="2899">
        <f>1.0788/H101</f>
        <v>0.71919999999999995</v>
      </c>
      <c r="I104" s="2899">
        <f>1.0788/I101</f>
        <v>0.71919999999999995</v>
      </c>
      <c r="J104" s="2899">
        <f>1.0072/J101</f>
        <v>0.67146666666666677</v>
      </c>
      <c r="K104" s="2899">
        <f>1.0072/K101</f>
        <v>0.67146666666666677</v>
      </c>
      <c r="L104" s="2899">
        <f>1.0072/L101</f>
        <v>0.67146666666666677</v>
      </c>
      <c r="M104" s="2899">
        <f>1.0072/M101</f>
        <v>0.67146666666666677</v>
      </c>
      <c r="N104" s="2899">
        <f>1.0072/N101</f>
        <v>0.67146666666666677</v>
      </c>
    </row>
    <row r="105" spans="1:14">
      <c r="A105" s="3213"/>
      <c r="B105" s="2898">
        <v>4</v>
      </c>
      <c r="C105" s="2899">
        <f>0.9622/C101</f>
        <v>0.64146666666666674</v>
      </c>
      <c r="D105" s="2899">
        <f>0.9622/D101</f>
        <v>0.64146666666666674</v>
      </c>
      <c r="E105" s="2899">
        <f>0.8656/E101</f>
        <v>0.57706666666666673</v>
      </c>
      <c r="F105" s="2899">
        <f>0.8656/F101</f>
        <v>0.57706666666666673</v>
      </c>
      <c r="G105" s="2899">
        <f>0.8656/G101</f>
        <v>0.57706666666666673</v>
      </c>
      <c r="H105" s="2899">
        <f>0.8656/H101</f>
        <v>0.57706666666666673</v>
      </c>
      <c r="I105" s="2899">
        <f>0.8656/I101</f>
        <v>0.57706666666666673</v>
      </c>
      <c r="J105" s="2899">
        <f>0.7525/J101</f>
        <v>0.50166666666666659</v>
      </c>
      <c r="K105" s="2899">
        <f>0.7525/K101</f>
        <v>0.50166666666666659</v>
      </c>
      <c r="L105" s="2899">
        <f>0.7525/L101</f>
        <v>0.50166666666666659</v>
      </c>
      <c r="M105" s="2899">
        <f>0.7525/M101</f>
        <v>0.50166666666666659</v>
      </c>
      <c r="N105" s="2899">
        <f>0.7525/N101</f>
        <v>0.50166666666666659</v>
      </c>
    </row>
    <row r="106" spans="1:14">
      <c r="A106" s="3213"/>
      <c r="B106" s="2898">
        <v>5</v>
      </c>
      <c r="C106" s="2899">
        <f>0.8417/C101</f>
        <v>0.56113333333333337</v>
      </c>
      <c r="D106" s="2899">
        <f>0.8417/D101</f>
        <v>0.56113333333333337</v>
      </c>
      <c r="E106" s="2899">
        <f>0.7371/E101</f>
        <v>0.4914</v>
      </c>
      <c r="F106" s="2899">
        <f>0.7371/F101</f>
        <v>0.4914</v>
      </c>
      <c r="G106" s="2899">
        <f>0.7371/G101</f>
        <v>0.4914</v>
      </c>
      <c r="H106" s="2899">
        <f>0.7371/H101</f>
        <v>0.4914</v>
      </c>
      <c r="I106" s="2899">
        <f>0.7371/I101</f>
        <v>0.4914</v>
      </c>
      <c r="J106" s="2899">
        <f>0.5659/J101</f>
        <v>0.37726666666666664</v>
      </c>
      <c r="K106" s="2899">
        <f>0.5659/K101</f>
        <v>0.37726666666666664</v>
      </c>
      <c r="L106" s="2899">
        <f>0.5659/L101</f>
        <v>0.37726666666666664</v>
      </c>
      <c r="M106" s="2899">
        <f>0.5659/M101</f>
        <v>0.37726666666666664</v>
      </c>
      <c r="N106" s="2899">
        <f>0.5659/N101</f>
        <v>0.37726666666666664</v>
      </c>
    </row>
    <row r="107" spans="1:14">
      <c r="A107" s="3213"/>
      <c r="B107" s="2898">
        <v>6</v>
      </c>
      <c r="C107" s="2899">
        <f>0.7608/C101</f>
        <v>0.50719999999999998</v>
      </c>
      <c r="D107" s="2899">
        <f>0.7608/D101</f>
        <v>0.50719999999999998</v>
      </c>
      <c r="E107" s="2899">
        <f>0.6482/E101</f>
        <v>0.43213333333333331</v>
      </c>
      <c r="F107" s="2899">
        <f>0.6482/F101</f>
        <v>0.43213333333333331</v>
      </c>
      <c r="G107" s="2899">
        <f>0.6482/G101</f>
        <v>0.43213333333333331</v>
      </c>
      <c r="H107" s="2899">
        <f>0.6482/H101</f>
        <v>0.43213333333333331</v>
      </c>
      <c r="I107" s="2899">
        <f>0.6482/I101</f>
        <v>0.43213333333333331</v>
      </c>
      <c r="J107" s="2899">
        <f>0.4525/J101</f>
        <v>0.30166666666666669</v>
      </c>
      <c r="K107" s="2899">
        <f>0.4525/K101</f>
        <v>0.30166666666666669</v>
      </c>
      <c r="L107" s="2899">
        <f>0.4525/L101</f>
        <v>0.30166666666666669</v>
      </c>
      <c r="M107" s="2899">
        <f>0.4525/M101</f>
        <v>0.30166666666666669</v>
      </c>
      <c r="N107" s="2899">
        <f>0.4525/N101</f>
        <v>0.30166666666666669</v>
      </c>
    </row>
    <row r="108" spans="1:14">
      <c r="A108" s="3213"/>
      <c r="B108" s="3138" t="s">
        <v>2975</v>
      </c>
      <c r="C108" s="2900">
        <f>C99</f>
        <v>0</v>
      </c>
      <c r="D108" s="2900">
        <f t="shared" ref="D108:N108" si="33">D99</f>
        <v>0</v>
      </c>
      <c r="E108" s="2900">
        <f t="shared" si="33"/>
        <v>0</v>
      </c>
      <c r="F108" s="2900">
        <f t="shared" si="33"/>
        <v>0</v>
      </c>
      <c r="G108" s="2900">
        <f t="shared" si="33"/>
        <v>0</v>
      </c>
      <c r="H108" s="2900">
        <f t="shared" si="33"/>
        <v>0</v>
      </c>
      <c r="I108" s="2900">
        <f t="shared" si="33"/>
        <v>0</v>
      </c>
      <c r="J108" s="2900">
        <f t="shared" si="33"/>
        <v>0</v>
      </c>
      <c r="K108" s="2900">
        <f t="shared" si="33"/>
        <v>0</v>
      </c>
      <c r="L108" s="2900">
        <f t="shared" si="33"/>
        <v>0</v>
      </c>
      <c r="M108" s="2900">
        <f t="shared" si="33"/>
        <v>0</v>
      </c>
      <c r="N108" s="2900">
        <f t="shared" si="33"/>
        <v>0</v>
      </c>
    </row>
    <row r="109" spans="1:14">
      <c r="A109" s="3214"/>
      <c r="B109" s="3139"/>
      <c r="C109" s="2901">
        <f>(-0.163*(C108^2)-0.59*C108+7617)*(10^(-4))/C101</f>
        <v>0.50780000000000003</v>
      </c>
      <c r="D109" s="2901">
        <f>(-0.163*(D108^2)-0.59*D108+7617)*(10^(-4))/D101</f>
        <v>0.50780000000000003</v>
      </c>
      <c r="E109" s="2901">
        <f>(-0.161*(E108^2)-7.509*E108+6533)*(10^(-4))/E101</f>
        <v>0.43553333333333333</v>
      </c>
      <c r="F109" s="2901">
        <f>(-0.161*(F108^2)-7.509*F108+6533)*(10^(-4))/F101</f>
        <v>0.43553333333333333</v>
      </c>
      <c r="G109" s="2901">
        <f>(-0.161*(G108^2)-7.509*G108+6533)*(10^(-4))/G101</f>
        <v>0.43553333333333333</v>
      </c>
      <c r="H109" s="2901">
        <f>(-0.161*(H108^2)-7.509*H108+6533)*(10^(-4))/H101</f>
        <v>0.43553333333333333</v>
      </c>
      <c r="I109" s="2901">
        <f>(-0.161*(I108^2)-7.509*I108+6533)*(10^(-4))/I101</f>
        <v>0.43553333333333333</v>
      </c>
      <c r="J109" s="2901">
        <f>(-0.214*(J108^2)-21.991*J108+4665)*(10^(-4))/J101</f>
        <v>0.311</v>
      </c>
      <c r="K109" s="2901">
        <f>(-0.214*(K108^2)-21.991*K108+4665)*(10^(-4))/K101</f>
        <v>0.311</v>
      </c>
      <c r="L109" s="2901">
        <f>(-0.214*(L108^2)-21.991*L108+4665)*(10^(-4))/L101</f>
        <v>0.311</v>
      </c>
      <c r="M109" s="2901">
        <f>(-0.214*(M108^2)-21.991*M108+4665)*(10^(-4))/M101</f>
        <v>0.311</v>
      </c>
      <c r="N109" s="2901">
        <f>(-0.214*(N108^2)-21.991*N108+4665)*(10^(-4))/N101</f>
        <v>0.311</v>
      </c>
    </row>
    <row r="110" spans="1:14">
      <c r="A110" s="3210" t="s">
        <v>2976</v>
      </c>
      <c r="B110" s="3210"/>
      <c r="C110" s="3210"/>
      <c r="D110" s="3210"/>
      <c r="E110" s="3210"/>
      <c r="F110" s="3210"/>
      <c r="G110" s="3210"/>
      <c r="H110" s="3210"/>
      <c r="I110" s="3210"/>
      <c r="J110" s="3210"/>
      <c r="K110" s="2904"/>
      <c r="L110" s="2904"/>
      <c r="M110" s="2904"/>
      <c r="N110" s="2904"/>
    </row>
    <row r="112" spans="1:14" ht="13.5" thickBot="1"/>
    <row r="113" spans="1:13" ht="25.5" thickBot="1">
      <c r="A113" s="903" t="s">
        <v>2977</v>
      </c>
      <c r="B113" s="1290">
        <f>G3</f>
        <v>1.5</v>
      </c>
      <c r="C113" s="904" t="s">
        <v>2978</v>
      </c>
      <c r="D113" s="905">
        <f>SUMPRODUCT((A115:A118=F113)*(B114:M114=H113)*B115:M118)</f>
        <v>0.61160000000000003</v>
      </c>
      <c r="E113" s="2727" t="s">
        <v>2811</v>
      </c>
      <c r="F113" s="2906" t="str">
        <f>E2</f>
        <v>工业</v>
      </c>
      <c r="G113" s="2727" t="s">
        <v>2812</v>
      </c>
      <c r="H113" s="2906" t="str">
        <f>G2</f>
        <v>七级</v>
      </c>
      <c r="I113" s="2727"/>
      <c r="J113" s="2907"/>
      <c r="K113" s="2907"/>
      <c r="L113" s="2907"/>
      <c r="M113" s="2907"/>
    </row>
    <row r="114" spans="1:13">
      <c r="A114" s="908"/>
      <c r="B114" s="2908" t="s">
        <v>2979</v>
      </c>
      <c r="C114" s="2908" t="s">
        <v>2980</v>
      </c>
      <c r="D114" s="2908" t="s">
        <v>2981</v>
      </c>
      <c r="E114" s="2909" t="s">
        <v>2982</v>
      </c>
      <c r="F114" s="2909" t="s">
        <v>2983</v>
      </c>
      <c r="G114" s="2909" t="s">
        <v>2984</v>
      </c>
      <c r="H114" s="2910" t="s">
        <v>2985</v>
      </c>
      <c r="I114" s="2910" t="s">
        <v>2986</v>
      </c>
      <c r="J114" s="2911" t="s">
        <v>2987</v>
      </c>
      <c r="K114" s="2911" t="s">
        <v>2988</v>
      </c>
      <c r="L114" s="2911" t="s">
        <v>2989</v>
      </c>
      <c r="M114" s="2912" t="s">
        <v>2990</v>
      </c>
    </row>
    <row r="115" spans="1:13">
      <c r="A115" s="909" t="s">
        <v>2876</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4">I115</f>
        <v>0.66579999999999995</v>
      </c>
      <c r="K115" s="910">
        <f t="shared" si="34"/>
        <v>0.66579999999999995</v>
      </c>
      <c r="L115" s="910">
        <f t="shared" si="34"/>
        <v>0.66579999999999995</v>
      </c>
      <c r="M115" s="911">
        <f t="shared" si="34"/>
        <v>0.66579999999999995</v>
      </c>
    </row>
    <row r="116" spans="1:13">
      <c r="A116" s="909" t="s">
        <v>2877</v>
      </c>
      <c r="B116" s="910">
        <f>ROUND(0.949-0.012*B113,4)</f>
        <v>0.93100000000000005</v>
      </c>
      <c r="C116" s="910">
        <f>B116</f>
        <v>0.93100000000000005</v>
      </c>
      <c r="D116" s="910">
        <f>ROUND(0.8567-0.013*B113,4)</f>
        <v>0.83720000000000006</v>
      </c>
      <c r="E116" s="910">
        <f t="shared" ref="E116:H117" si="35">D116</f>
        <v>0.83720000000000006</v>
      </c>
      <c r="F116" s="910">
        <f t="shared" si="35"/>
        <v>0.83720000000000006</v>
      </c>
      <c r="G116" s="910">
        <f t="shared" si="35"/>
        <v>0.83720000000000006</v>
      </c>
      <c r="H116" s="910">
        <f t="shared" si="35"/>
        <v>0.83720000000000006</v>
      </c>
      <c r="I116" s="910">
        <f>ROUND(0.7694-0.014*B113,4)</f>
        <v>0.74839999999999995</v>
      </c>
      <c r="J116" s="910">
        <f t="shared" si="34"/>
        <v>0.74839999999999995</v>
      </c>
      <c r="K116" s="910">
        <f t="shared" si="34"/>
        <v>0.74839999999999995</v>
      </c>
      <c r="L116" s="910">
        <f t="shared" si="34"/>
        <v>0.74839999999999995</v>
      </c>
      <c r="M116" s="911">
        <f t="shared" si="34"/>
        <v>0.74839999999999995</v>
      </c>
    </row>
    <row r="117" spans="1:13">
      <c r="A117" s="909" t="s">
        <v>2878</v>
      </c>
      <c r="B117" s="910">
        <f>ROUND(0.8808-0.006*B113,4)</f>
        <v>0.87180000000000002</v>
      </c>
      <c r="C117" s="910">
        <f>B117</f>
        <v>0.87180000000000002</v>
      </c>
      <c r="D117" s="910">
        <f>ROUND(0.8748-0.008*B113,4)</f>
        <v>0.86280000000000001</v>
      </c>
      <c r="E117" s="910">
        <f t="shared" si="35"/>
        <v>0.86280000000000001</v>
      </c>
      <c r="F117" s="910">
        <f t="shared" si="35"/>
        <v>0.86280000000000001</v>
      </c>
      <c r="G117" s="910">
        <f t="shared" si="35"/>
        <v>0.86280000000000001</v>
      </c>
      <c r="H117" s="910">
        <f t="shared" si="35"/>
        <v>0.86280000000000001</v>
      </c>
      <c r="I117" s="910">
        <f>ROUND(0.7412-0.0095*B113,4)</f>
        <v>0.72699999999999998</v>
      </c>
      <c r="J117" s="910">
        <f t="shared" si="34"/>
        <v>0.72699999999999998</v>
      </c>
      <c r="K117" s="910">
        <f t="shared" si="34"/>
        <v>0.72699999999999998</v>
      </c>
      <c r="L117" s="910">
        <f t="shared" si="34"/>
        <v>0.72699999999999998</v>
      </c>
      <c r="M117" s="911">
        <f t="shared" si="34"/>
        <v>0.72699999999999998</v>
      </c>
    </row>
    <row r="118" spans="1:13" ht="13.5" thickBot="1">
      <c r="A118" s="714" t="s">
        <v>2879</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4"/>
        <v>0.54630000000000001</v>
      </c>
      <c r="K118" s="912">
        <f t="shared" si="34"/>
        <v>0.54630000000000001</v>
      </c>
      <c r="L118" s="912">
        <f t="shared" si="34"/>
        <v>0.54630000000000001</v>
      </c>
      <c r="M118" s="913">
        <f t="shared" si="34"/>
        <v>0.54630000000000001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I33" sqref="I3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2523</v>
      </c>
      <c r="B1" s="2565"/>
      <c r="C1" s="2565"/>
      <c r="D1" s="2565"/>
      <c r="E1" s="2566"/>
    </row>
    <row r="2" spans="1:6" ht="15.75">
      <c r="A2" s="2567" t="s">
        <v>2324</v>
      </c>
      <c r="B2" s="2568">
        <f ca="1">SUMIF(B6:B13,"&lt;&gt;#ref!",B6:B13)</f>
        <v>56533</v>
      </c>
      <c r="C2" s="2569" t="s">
        <v>2516</v>
      </c>
      <c r="D2" s="2570" t="s">
        <v>2517</v>
      </c>
      <c r="E2" s="2571">
        <f>SUM(E6:E13)</f>
        <v>21214.79</v>
      </c>
    </row>
    <row r="3" spans="1:6" ht="15.75">
      <c r="A3" s="2567" t="s">
        <v>1395</v>
      </c>
      <c r="B3" s="2568">
        <f ca="1">ROUND(B2*10000/E2,0)</f>
        <v>26648</v>
      </c>
      <c r="C3" s="2569" t="s">
        <v>2524</v>
      </c>
      <c r="D3" s="2572"/>
      <c r="E3" s="2573"/>
    </row>
    <row r="4" spans="1:6" ht="15.75">
      <c r="A4" s="2574"/>
      <c r="B4" s="2572"/>
      <c r="C4" s="2572"/>
      <c r="D4" s="2572"/>
      <c r="E4" s="2573"/>
    </row>
    <row r="5" spans="1:6" ht="15">
      <c r="A5" s="2575" t="s">
        <v>2518</v>
      </c>
      <c r="B5" s="3227" t="s">
        <v>2519</v>
      </c>
      <c r="C5" s="3227"/>
      <c r="D5" s="2576"/>
      <c r="E5" s="2577" t="s">
        <v>2520</v>
      </c>
      <c r="F5" s="2578" t="s">
        <v>2521</v>
      </c>
    </row>
    <row r="6" spans="1:6">
      <c r="A6" s="2579" t="str">
        <f>'数据-取费表'!AN6</f>
        <v>收益法</v>
      </c>
      <c r="B6" s="2578">
        <f ca="1">IF(F6="是",'数据-取费表'!AO6,0)</f>
        <v>56533</v>
      </c>
      <c r="C6" s="2569" t="s">
        <v>2516</v>
      </c>
      <c r="D6" s="2572"/>
      <c r="E6" s="2580">
        <f>IF(OR(A6=0,F6="否"),0,'数据-取费表'!K6+'数据-取费表'!S6)</f>
        <v>21214.79</v>
      </c>
      <c r="F6" s="2581" t="s">
        <v>2522</v>
      </c>
    </row>
    <row r="7" spans="1:6">
      <c r="A7" s="2579">
        <f>'数据-取费表'!AN7</f>
        <v>0</v>
      </c>
      <c r="B7" s="2578" t="e">
        <f ca="1">IF(F7="是",'数据-取费表'!AO7,0)</f>
        <v>#REF!</v>
      </c>
      <c r="C7" s="2569" t="s">
        <v>2516</v>
      </c>
      <c r="D7" s="2572"/>
      <c r="E7" s="2580">
        <f>IF(OR(A7=0,F7="否"),0,'数据-取费表'!K7+'数据-取费表'!S7)</f>
        <v>0</v>
      </c>
      <c r="F7" s="2581" t="s">
        <v>2522</v>
      </c>
    </row>
    <row r="8" spans="1:6">
      <c r="A8" s="2579">
        <f>'数据-取费表'!AN8</f>
        <v>0</v>
      </c>
      <c r="B8" s="2578">
        <f>IF(F8="是",'数据-取费表'!AO8,0)</f>
        <v>0</v>
      </c>
      <c r="C8" s="2569" t="s">
        <v>2516</v>
      </c>
      <c r="D8" s="2572"/>
      <c r="E8" s="2580">
        <f>IF(OR(A8=0,F8="否"),0,'数据-取费表'!K8+'数据-取费表'!S8)</f>
        <v>0</v>
      </c>
      <c r="F8" s="2581" t="s">
        <v>3047</v>
      </c>
    </row>
    <row r="9" spans="1:6">
      <c r="A9" s="2579">
        <f>'数据-取费表'!AN9</f>
        <v>0</v>
      </c>
      <c r="B9" s="2578">
        <f>IF(F9="是",'数据-取费表'!AO9,0)</f>
        <v>0</v>
      </c>
      <c r="C9" s="2569" t="s">
        <v>2516</v>
      </c>
      <c r="D9" s="2572"/>
      <c r="E9" s="2580">
        <f>IF(OR(A9=0,F9="否"),0,'数据-取费表'!K9+'数据-取费表'!S9)</f>
        <v>0</v>
      </c>
      <c r="F9" s="2581" t="s">
        <v>3047</v>
      </c>
    </row>
    <row r="10" spans="1:6">
      <c r="A10" s="2579">
        <f>'数据-取费表'!AN10</f>
        <v>0</v>
      </c>
      <c r="B10" s="2578">
        <f>IF(F10="是",'数据-取费表'!AO10,0)</f>
        <v>0</v>
      </c>
      <c r="C10" s="2569" t="s">
        <v>2516</v>
      </c>
      <c r="D10" s="2572"/>
      <c r="E10" s="2580">
        <f>IF(OR(A10=0,F10="否"),0,'数据-取费表'!K10+'数据-取费表'!S10)</f>
        <v>0</v>
      </c>
      <c r="F10" s="2581" t="s">
        <v>3047</v>
      </c>
    </row>
    <row r="11" spans="1:6">
      <c r="A11" s="2579">
        <f>'数据-取费表'!AN11</f>
        <v>0</v>
      </c>
      <c r="B11" s="2578">
        <f>IF(F11="是",'数据-取费表'!AO11,0)</f>
        <v>0</v>
      </c>
      <c r="C11" s="2569" t="s">
        <v>2516</v>
      </c>
      <c r="D11" s="2572"/>
      <c r="E11" s="2580">
        <f>IF(OR(A11=0,F11="否"),0,'数据-取费表'!K11+'数据-取费表'!S11)</f>
        <v>0</v>
      </c>
      <c r="F11" s="2581" t="s">
        <v>3047</v>
      </c>
    </row>
    <row r="12" spans="1:6">
      <c r="A12" s="2579">
        <f>'数据-取费表'!AN12</f>
        <v>0</v>
      </c>
      <c r="B12" s="2578">
        <f>IF(F12="是",'数据-取费表'!AO12,0)</f>
        <v>0</v>
      </c>
      <c r="C12" s="2569" t="s">
        <v>2516</v>
      </c>
      <c r="D12" s="2572"/>
      <c r="E12" s="2580">
        <f>IF(OR(A12=0,F12="否"),0,'数据-取费表'!K12+'数据-取费表'!S12)</f>
        <v>0</v>
      </c>
      <c r="F12" s="2581" t="s">
        <v>3047</v>
      </c>
    </row>
    <row r="13" spans="1:6" ht="15" thickBot="1">
      <c r="A13" s="2582">
        <f>'数据-取费表'!AN13</f>
        <v>0</v>
      </c>
      <c r="B13" s="2578">
        <f>IF(F13="是",'数据-取费表'!AO13,0)</f>
        <v>0</v>
      </c>
      <c r="C13" s="2583" t="s">
        <v>2516</v>
      </c>
      <c r="D13" s="2584"/>
      <c r="E13" s="2580">
        <f>IF(OR(A13=0,F13="否"),0,'数据-取费表'!K13+'数据-取费表'!S13)</f>
        <v>0</v>
      </c>
      <c r="F13" s="2581" t="s">
        <v>3047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90" zoomScaleNormal="90" zoomScaleSheetLayoutView="90" workbookViewId="0">
      <selection activeCell="C10" sqref="C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3110</v>
      </c>
      <c r="D1" s="1823" t="s">
        <v>70</v>
      </c>
      <c r="E1" s="1824" t="s">
        <v>1387</v>
      </c>
      <c r="F1" s="1286">
        <f ca="1">J53</f>
        <v>44.59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56533</v>
      </c>
      <c r="C2" s="1848" t="s">
        <v>1517</v>
      </c>
      <c r="D2" s="1848"/>
      <c r="E2" s="1849"/>
      <c r="F2" s="1850"/>
      <c r="G2" s="1851"/>
      <c r="H2" s="1843"/>
      <c r="I2" s="1843"/>
      <c r="J2" s="1843"/>
      <c r="K2" s="1844"/>
      <c r="L2" s="1843"/>
      <c r="M2" s="1843"/>
    </row>
    <row r="3" spans="1:37" ht="18" customHeight="1" thickBot="1">
      <c r="A3" s="1852" t="s">
        <v>1518</v>
      </c>
      <c r="B3" s="1853">
        <f ca="1">IF(ISERROR(B2*10000/F43),0,ROUND(B2*10000/F43,0))</f>
        <v>26648</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2357</v>
      </c>
      <c r="D5" s="1825" t="s">
        <v>1402</v>
      </c>
      <c r="E5" s="1296"/>
      <c r="F5" s="1297"/>
      <c r="G5" s="1854"/>
      <c r="H5" s="344">
        <v>1</v>
      </c>
      <c r="I5" s="345" t="s">
        <v>1401</v>
      </c>
      <c r="J5" s="1295">
        <f ca="1">J6+J10+J12</f>
        <v>0</v>
      </c>
      <c r="K5" s="1825" t="s">
        <v>1402</v>
      </c>
      <c r="L5" s="1296"/>
      <c r="M5" s="1297"/>
    </row>
    <row r="6" spans="1:37" ht="18" customHeight="1">
      <c r="A6" s="1294" t="s">
        <v>1035</v>
      </c>
      <c r="B6" s="3230" t="s">
        <v>1403</v>
      </c>
      <c r="C6" s="1299">
        <f ca="1">ROUND(F6*F8*F7*(1-F9)/10000,0)</f>
        <v>2354</v>
      </c>
      <c r="D6" s="164" t="s">
        <v>3030</v>
      </c>
      <c r="E6" s="347" t="s">
        <v>1405</v>
      </c>
      <c r="F6" s="348">
        <f ca="1">INDIRECT("'数据-取费表'!u"&amp;$G$1)</f>
        <v>3.2</v>
      </c>
      <c r="G6" s="1854"/>
      <c r="H6" s="1294" t="s">
        <v>1035</v>
      </c>
      <c r="I6" s="3230" t="s">
        <v>1403</v>
      </c>
      <c r="J6" s="346">
        <f ca="1">ROUND(M6*M8*M7*(1-M9)/10000,0)</f>
        <v>0</v>
      </c>
      <c r="K6" s="164" t="s">
        <v>3029</v>
      </c>
      <c r="L6" s="347" t="s">
        <v>1405</v>
      </c>
      <c r="M6" s="348">
        <f ca="1">INDIRECT("'数据-取费表'!z"&amp;$G$1)</f>
        <v>0</v>
      </c>
    </row>
    <row r="7" spans="1:37" ht="18" customHeight="1">
      <c r="A7" s="1298"/>
      <c r="B7" s="3231"/>
      <c r="C7" s="1300"/>
      <c r="D7" s="352"/>
      <c r="E7" s="1301" t="s">
        <v>1406</v>
      </c>
      <c r="F7" s="348">
        <f ca="1">IF(INDIRECT("'数据-取费表'!ah"&amp;$G$1)="",INDIRECT("'数据-取费表'!k"&amp;$G$1),INDIRECT("'数据-取费表'!ah"&amp;$G$1))</f>
        <v>21214.79</v>
      </c>
      <c r="G7" s="1854"/>
      <c r="H7" s="349"/>
      <c r="I7" s="3231"/>
      <c r="J7" s="351"/>
      <c r="K7" s="352"/>
      <c r="L7" s="347" t="s">
        <v>1406</v>
      </c>
      <c r="M7" s="348">
        <f ca="1">F7</f>
        <v>21214.79</v>
      </c>
    </row>
    <row r="8" spans="1:37" ht="18" customHeight="1">
      <c r="A8" s="349"/>
      <c r="B8" s="3231"/>
      <c r="C8" s="351"/>
      <c r="D8" s="352"/>
      <c r="E8" s="347" t="s">
        <v>1407</v>
      </c>
      <c r="F8" s="348">
        <f ca="1">INDIRECT("'数据-取费表'!ai"&amp;$G$1)</f>
        <v>365</v>
      </c>
      <c r="G8" s="1854"/>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0.05</v>
      </c>
      <c r="G9" s="1854"/>
      <c r="H9" s="349"/>
      <c r="I9" s="3232"/>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3</v>
      </c>
      <c r="D10" s="1827" t="s">
        <v>3031</v>
      </c>
      <c r="E10" s="358" t="s">
        <v>1411</v>
      </c>
      <c r="F10" s="1369" t="s">
        <v>3117</v>
      </c>
      <c r="G10" s="1854"/>
      <c r="H10" s="1294" t="s">
        <v>1039</v>
      </c>
      <c r="I10" s="1826" t="s">
        <v>1409</v>
      </c>
      <c r="J10" s="346">
        <f ca="1">ROUND(IF(M10="押一",M6*M8*M7/12*M11,IF(M10="押二",M6*M8*M7/12*2*M11,IF(M10="押三",M6*M8*M7/12*3*M11,J11*M11)))/10000,0)</f>
        <v>0</v>
      </c>
      <c r="K10" s="1827" t="s">
        <v>3032</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8691</v>
      </c>
      <c r="D13" s="1334" t="s">
        <v>1416</v>
      </c>
      <c r="E13" s="1334" t="s">
        <v>1417</v>
      </c>
      <c r="F13" s="1335">
        <f ca="1">INDIRECT("'数据-取费表'!y"&amp;$G$1)</f>
        <v>0.96599999999999997</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5728</v>
      </c>
      <c r="D14" s="1803" t="s">
        <v>1419</v>
      </c>
      <c r="E14" s="1797"/>
      <c r="F14" s="364"/>
      <c r="G14" s="1854"/>
      <c r="H14" s="1204" t="s">
        <v>1035</v>
      </c>
      <c r="I14" s="347" t="s">
        <v>1420</v>
      </c>
      <c r="J14" s="24">
        <f ca="1">C29</f>
        <v>8997</v>
      </c>
      <c r="K14" s="15"/>
      <c r="L14" s="982"/>
      <c r="M14" s="983"/>
    </row>
    <row r="15" spans="1:37" s="1861" customFormat="1" ht="18" customHeight="1" thickBot="1">
      <c r="A15" s="1204" t="s">
        <v>1036</v>
      </c>
      <c r="B15" s="347" t="s">
        <v>1421</v>
      </c>
      <c r="C15" s="24">
        <f ca="1">ROUND(C14*F15,0)</f>
        <v>286</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212</v>
      </c>
      <c r="K16" s="1340" t="s">
        <v>1426</v>
      </c>
      <c r="L16" s="1341"/>
      <c r="M16" s="1297"/>
    </row>
    <row r="17" spans="1:37" s="1861" customFormat="1" ht="18" customHeight="1">
      <c r="A17" s="1204" t="s">
        <v>1390</v>
      </c>
      <c r="B17" s="347" t="s">
        <v>1427</v>
      </c>
      <c r="C17" s="24">
        <f ca="1">ROUND(F17*(F43+INDIRECT("'数据-取费表'!S"&amp;$G$1))/10000,0)</f>
        <v>424</v>
      </c>
      <c r="D17" s="347" t="s">
        <v>1428</v>
      </c>
      <c r="E17" s="347" t="s">
        <v>1429</v>
      </c>
      <c r="F17" s="26">
        <f>'数据-取费表'!B35</f>
        <v>200</v>
      </c>
      <c r="G17" s="1857"/>
      <c r="H17" s="1204" t="s">
        <v>1035</v>
      </c>
      <c r="I17" s="347" t="s">
        <v>1430</v>
      </c>
      <c r="J17" s="24">
        <f ca="1">ROUND(IF(项目基本情况!B11="自然人",J5*M17,J18+J19+J20),1)</f>
        <v>77.400000000000006</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86</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6524</v>
      </c>
      <c r="D19" s="140" t="s">
        <v>1437</v>
      </c>
      <c r="E19" s="1821"/>
      <c r="F19" s="26"/>
      <c r="G19" s="1854"/>
      <c r="H19" s="1204" t="s">
        <v>1036</v>
      </c>
      <c r="I19" s="347" t="s">
        <v>1438</v>
      </c>
      <c r="J19" s="24">
        <f ca="1">IF(K19="按租金收入计税",ROUND(J5*M19,2),ROUND(C29*M19*0.7,2))</f>
        <v>75.569999999999993</v>
      </c>
      <c r="K19" s="1831" t="s">
        <v>1439</v>
      </c>
      <c r="L19" s="347" t="s">
        <v>1423</v>
      </c>
      <c r="M19" s="367">
        <f>IF(K19="按租金收入计税",'数据-取费表'!B51,'数据-取费表'!B50)</f>
        <v>1.2E-2</v>
      </c>
    </row>
    <row r="20" spans="1:37" s="1861" customFormat="1" ht="18" customHeight="1">
      <c r="A20" s="1204" t="s">
        <v>1039</v>
      </c>
      <c r="B20" s="347" t="s">
        <v>1440</v>
      </c>
      <c r="C20" s="24">
        <f ca="1">ROUND(C19*F20,0)</f>
        <v>130</v>
      </c>
      <c r="D20" s="369" t="s">
        <v>1441</v>
      </c>
      <c r="E20" s="347" t="s">
        <v>1423</v>
      </c>
      <c r="F20" s="367">
        <f>'数据-取费表'!B37</f>
        <v>0.02</v>
      </c>
      <c r="G20" s="1857"/>
      <c r="H20" s="1204" t="s">
        <v>1389</v>
      </c>
      <c r="I20" s="164" t="s">
        <v>1442</v>
      </c>
      <c r="J20" s="25">
        <f ca="1">ROUND(M20*M21/10000,2)</f>
        <v>1.78</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11873.13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135</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316</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-212</v>
      </c>
      <c r="K25" s="1348" t="s">
        <v>1465</v>
      </c>
      <c r="L25" s="1349"/>
      <c r="M25" s="1350"/>
    </row>
    <row r="26" spans="1:37">
      <c r="A26" s="1204" t="s">
        <v>1034</v>
      </c>
      <c r="B26" s="347" t="s">
        <v>1466</v>
      </c>
      <c r="C26" s="24">
        <f ca="1">ROUND((C19+C20)*F26,0)</f>
        <v>1331</v>
      </c>
      <c r="D26" s="369" t="s">
        <v>1467</v>
      </c>
      <c r="E26" s="358" t="s">
        <v>1468</v>
      </c>
      <c r="F26" s="357">
        <f ca="1">INDIRECT("'数据-取费表'!q"&amp;$G$1)</f>
        <v>0.2</v>
      </c>
      <c r="G26" s="1854"/>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8997</v>
      </c>
      <c r="D29" s="1345"/>
      <c r="E29" s="1343"/>
      <c r="F29" s="1346"/>
      <c r="G29" s="1857"/>
      <c r="H29" s="380" t="s">
        <v>1033</v>
      </c>
      <c r="I29" s="381" t="s">
        <v>1480</v>
      </c>
      <c r="J29" s="382">
        <f ca="1">ROUND(J26/(1+F40)^F41,0)</f>
        <v>0</v>
      </c>
      <c r="K29" s="383" t="s">
        <v>1481</v>
      </c>
      <c r="L29" s="384"/>
      <c r="M29" s="385">
        <f ca="1">INDIRECT("'数据-取费表'!k"&amp;$G$1)</f>
        <v>21214.79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396</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200.8</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123.46</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75.569999999999993</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1.78</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11873.13</v>
      </c>
      <c r="G35" s="1854"/>
      <c r="H35" s="745"/>
      <c r="I35" s="1863"/>
      <c r="J35" s="1864"/>
      <c r="K35" s="1865"/>
      <c r="L35" s="1862"/>
      <c r="M35" s="1862"/>
    </row>
    <row r="36" spans="1:18" ht="18" customHeight="1">
      <c r="A36" s="1355" t="s">
        <v>1039</v>
      </c>
      <c r="B36" s="347" t="s">
        <v>1450</v>
      </c>
      <c r="C36" s="24">
        <f ca="1">ROUND(C29*F36,1)</f>
        <v>135</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13</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47.1</v>
      </c>
      <c r="D38" s="1345" t="s">
        <v>1460</v>
      </c>
      <c r="E38" s="1343" t="s">
        <v>1456</v>
      </c>
      <c r="F38" s="1339">
        <f ca="1">INDIRECT("'数据-取费表'!Am"&amp;$G$1)</f>
        <v>0.02</v>
      </c>
      <c r="G38" s="1854"/>
      <c r="H38" s="1862"/>
      <c r="I38" s="1863"/>
      <c r="J38" s="1864"/>
      <c r="K38" s="1868"/>
      <c r="L38" s="1862"/>
      <c r="M38" s="1862"/>
    </row>
    <row r="39" spans="1:18" ht="24.6" customHeight="1" thickTop="1">
      <c r="A39" s="1332" t="s">
        <v>1031</v>
      </c>
      <c r="B39" s="1347" t="s">
        <v>1484</v>
      </c>
      <c r="C39" s="355">
        <f ca="1">C5-C30</f>
        <v>1961</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56456</v>
      </c>
      <c r="D40" s="370" t="s">
        <v>1470</v>
      </c>
      <c r="E40" s="347" t="s">
        <v>1471</v>
      </c>
      <c r="F40" s="357">
        <f ca="1">INDIRECT("'数据-取费表'!I"&amp;$G$1)</f>
        <v>0.05</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44.59</v>
      </c>
      <c r="G41" s="1854"/>
      <c r="H41" s="732"/>
      <c r="I41" s="1863"/>
      <c r="J41" s="1864"/>
      <c r="K41" s="751"/>
      <c r="L41" s="732"/>
      <c r="M41" s="732"/>
    </row>
    <row r="42" spans="1:18" ht="18" customHeight="1">
      <c r="A42" s="353"/>
      <c r="B42" s="354"/>
      <c r="C42" s="355"/>
      <c r="D42" s="373"/>
      <c r="E42" s="347" t="s">
        <v>1478</v>
      </c>
      <c r="F42" s="357">
        <f ca="1">INDIRECT("'数据-取费表'!v"&amp;$G$1)</f>
        <v>0.03</v>
      </c>
      <c r="G42" s="1854"/>
      <c r="H42" s="732"/>
      <c r="I42" s="1863"/>
      <c r="J42" s="1864"/>
      <c r="K42" s="751"/>
      <c r="L42" s="732"/>
      <c r="M42" s="732"/>
    </row>
    <row r="43" spans="1:18" ht="18" customHeight="1" thickBot="1">
      <c r="A43" s="380" t="s">
        <v>1033</v>
      </c>
      <c r="B43" s="381" t="s">
        <v>1488</v>
      </c>
      <c r="C43" s="382">
        <f ca="1">ROUND(C40*10000/F43,0)</f>
        <v>26612</v>
      </c>
      <c r="D43" s="383" t="s">
        <v>1489</v>
      </c>
      <c r="E43" s="384" t="s">
        <v>1490</v>
      </c>
      <c r="F43" s="385">
        <f ca="1">INDIRECT("'数据-取费表'!k"&amp;$G$1)</f>
        <v>21214.79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-60445</v>
      </c>
      <c r="D46" s="1875" t="str">
        <f>C2</f>
        <v>万元</v>
      </c>
      <c r="E46" s="1869"/>
      <c r="F46" s="1869"/>
      <c r="I46" s="1876" t="s">
        <v>1522</v>
      </c>
      <c r="J46" s="1877"/>
      <c r="K46" s="1878"/>
      <c r="L46" s="1879">
        <f ca="1">IF(M47="住宅",0,IF(L48&gt;J51,L60,J60))</f>
        <v>77</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3083</v>
      </c>
      <c r="K47" s="1885" t="s">
        <v>1528</v>
      </c>
      <c r="L47" s="1886">
        <f ca="1">INDIRECT("'数据-取费表'!d"&amp;$G$1)</f>
        <v>50</v>
      </c>
      <c r="M47" s="1841" t="str">
        <f>IF(ISNUMBER(FIND("住宅",C1)),"住宅","非住宅")</f>
        <v>非住宅</v>
      </c>
      <c r="O47" s="1887" t="s">
        <v>1040</v>
      </c>
      <c r="P47" s="1888" t="s">
        <v>1529</v>
      </c>
      <c r="Q47" s="1889">
        <f ca="1">C40+J29</f>
        <v>56456</v>
      </c>
      <c r="R47" s="1889" t="s">
        <v>1530</v>
      </c>
    </row>
    <row r="48" spans="1:18" s="1845" customFormat="1" ht="28.5" thickBot="1">
      <c r="A48" s="1363" t="s">
        <v>1135</v>
      </c>
      <c r="B48" s="345" t="s">
        <v>1401</v>
      </c>
      <c r="C48" s="1820">
        <f ca="1">C49+C53+C55</f>
        <v>0</v>
      </c>
      <c r="D48" s="1365"/>
      <c r="E48" s="1366"/>
      <c r="F48" s="1184"/>
      <c r="G48" s="792"/>
      <c r="H48" s="793"/>
      <c r="I48" s="1890" t="s">
        <v>1531</v>
      </c>
      <c r="J48" s="1891" t="s">
        <v>3084</v>
      </c>
      <c r="K48" s="1892" t="s">
        <v>1532</v>
      </c>
      <c r="L48" s="1893">
        <f ca="1">INDIRECT("'数据-取费表'!f"&amp;$G$1)</f>
        <v>44.59</v>
      </c>
      <c r="O48" s="1887" t="s">
        <v>1041</v>
      </c>
      <c r="P48" s="1888" t="s">
        <v>1533</v>
      </c>
      <c r="Q48" s="1889">
        <f ca="1">J60</f>
        <v>77</v>
      </c>
      <c r="R48" s="1889" t="s">
        <v>1534</v>
      </c>
    </row>
    <row r="49" spans="1:18" s="1845" customFormat="1" ht="13.5" thickBot="1">
      <c r="A49" s="1197" t="s">
        <v>1136</v>
      </c>
      <c r="B49" s="1832" t="s">
        <v>1491</v>
      </c>
      <c r="C49" s="1367">
        <f ca="1">ROUND(F49*F51*F50*(1-F52)/10000,0)</f>
        <v>0</v>
      </c>
      <c r="D49" s="1279" t="s">
        <v>3033</v>
      </c>
      <c r="E49" s="1833" t="s">
        <v>1492</v>
      </c>
      <c r="F49" s="1284"/>
      <c r="G49" s="1894"/>
      <c r="H49" s="793"/>
      <c r="I49" s="1890" t="s">
        <v>1535</v>
      </c>
      <c r="J49" s="1895">
        <v>2016</v>
      </c>
      <c r="K49" s="1892" t="s">
        <v>1536</v>
      </c>
      <c r="L49" s="1896"/>
      <c r="O49" s="1897" t="s">
        <v>1042</v>
      </c>
      <c r="P49" s="1888" t="s">
        <v>1537</v>
      </c>
      <c r="Q49" s="1889">
        <f ca="1">C29</f>
        <v>8997</v>
      </c>
      <c r="R49" s="1889" t="s">
        <v>1530</v>
      </c>
    </row>
    <row r="50" spans="1:18" s="1845" customFormat="1" ht="13.5" thickBot="1">
      <c r="A50" s="1198"/>
      <c r="B50" s="1201"/>
      <c r="C50" s="1371"/>
      <c r="D50" s="1175"/>
      <c r="E50" s="1280" t="s">
        <v>1406</v>
      </c>
      <c r="F50" s="1281">
        <f ca="1">F7</f>
        <v>21214.79</v>
      </c>
      <c r="H50" s="793"/>
      <c r="I50" s="1890" t="s">
        <v>1538</v>
      </c>
      <c r="J50" s="1898">
        <f>SUMPRODUCT((I63:I65=J47)*(J62:L62=J48)*(J63:L65))</f>
        <v>60</v>
      </c>
      <c r="K50" s="1892" t="s">
        <v>1539</v>
      </c>
      <c r="L50" s="1896"/>
      <c r="M50" s="1899"/>
      <c r="O50" s="1897" t="s">
        <v>1043</v>
      </c>
      <c r="P50" s="1888" t="s">
        <v>1540</v>
      </c>
      <c r="Q50" s="1900">
        <f ca="1">J58</f>
        <v>0.4</v>
      </c>
      <c r="R50" s="1889"/>
    </row>
    <row r="51" spans="1:18" s="1845" customFormat="1" ht="13.5" thickBot="1">
      <c r="A51" s="1199"/>
      <c r="B51" s="1201"/>
      <c r="C51" s="1202"/>
      <c r="D51" s="1175"/>
      <c r="E51" s="1203" t="s">
        <v>1407</v>
      </c>
      <c r="F51" s="348">
        <f ca="1">F8</f>
        <v>365</v>
      </c>
      <c r="I51" s="1901" t="s">
        <v>1541</v>
      </c>
      <c r="J51" s="1902">
        <f>IF(J49="",J50,J49+J50-YEAR('数据-取费表'!B2))</f>
        <v>59</v>
      </c>
      <c r="K51" s="1903" t="s">
        <v>1542</v>
      </c>
      <c r="L51" s="1904">
        <f ca="1">ROUND(-PV(INDIRECT("'数据-取费表'!h"&amp;$G$1),L48,(C39-C13*C76),0),0)</f>
        <v>25241</v>
      </c>
      <c r="M51" s="1905"/>
      <c r="O51" s="1897" t="s">
        <v>1044</v>
      </c>
      <c r="P51" s="1888" t="s">
        <v>1543</v>
      </c>
      <c r="Q51" s="1900">
        <f>J52</f>
        <v>0.09</v>
      </c>
      <c r="R51" s="1889"/>
    </row>
    <row r="52" spans="1:18" s="1845" customFormat="1" ht="13.5" thickBot="1">
      <c r="A52" s="1199"/>
      <c r="B52" s="1201"/>
      <c r="C52" s="1202"/>
      <c r="D52" s="1175"/>
      <c r="E52" s="1203" t="s">
        <v>1408</v>
      </c>
      <c r="F52" s="1278"/>
      <c r="I52" s="1906" t="s">
        <v>1544</v>
      </c>
      <c r="J52" s="1907">
        <v>0.09</v>
      </c>
      <c r="K52" s="1906" t="s">
        <v>1545</v>
      </c>
      <c r="L52" s="1907"/>
      <c r="O52" s="1897" t="s">
        <v>1045</v>
      </c>
      <c r="P52" s="1888" t="s">
        <v>1546</v>
      </c>
      <c r="Q52" s="1889">
        <f ca="1">J53</f>
        <v>44.59</v>
      </c>
      <c r="R52" s="1889" t="s">
        <v>1547</v>
      </c>
    </row>
    <row r="53" spans="1:18" s="1845" customFormat="1" ht="24.75" thickBot="1">
      <c r="A53" s="1408" t="s">
        <v>1137</v>
      </c>
      <c r="B53" s="1834" t="s">
        <v>1409</v>
      </c>
      <c r="C53" s="361">
        <f ca="1">ROUND(IF(F53="押一",F49*F51*F50/12*F11,IF(F53="押二",F49*F51*F50/12*2*F11,IF(F53="押三",F49*F51*F50/12*3*F11,C54*F11)))/10000,0)</f>
        <v>0</v>
      </c>
      <c r="D53" s="1827" t="s">
        <v>3031</v>
      </c>
      <c r="E53" s="358" t="s">
        <v>1411</v>
      </c>
      <c r="F53" s="1369"/>
      <c r="I53" s="1908" t="s">
        <v>1548</v>
      </c>
      <c r="J53" s="1909">
        <f ca="1">IF(M47="住宅",J51,IF(D1="——",MIN(J51,L48),IF(D1="在建（套用方法）",MIN(J51,L48-'数据-取费表'!B24),IF(D1="土地（套用方法）",MIN(J51,L48-'数据-取费表'!B20)))))</f>
        <v>44.59</v>
      </c>
      <c r="K53" s="3228" t="s">
        <v>1549</v>
      </c>
      <c r="L53" s="3229"/>
      <c r="O53" s="1887" t="s">
        <v>1046</v>
      </c>
      <c r="P53" s="1888" t="s">
        <v>1550</v>
      </c>
      <c r="Q53" s="1889">
        <f ca="1">Q47+Q48</f>
        <v>56533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f ca="1">ROUND(IF(J47="钢混",J57/J50,1-(1-2%)*(J50-J57)/J50),3)</f>
        <v>0.24</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8691</v>
      </c>
      <c r="D56" s="1917"/>
      <c r="E56" s="1918"/>
      <c r="F56" s="1910"/>
      <c r="I56" s="1919" t="s">
        <v>1555</v>
      </c>
      <c r="J56" s="1920" t="s">
        <v>3047</v>
      </c>
      <c r="K56" s="1890" t="s">
        <v>1556</v>
      </c>
      <c r="L56" s="1893" t="str">
        <f ca="1">IF(L48&lt;J51,"——",L48-J53)</f>
        <v>——</v>
      </c>
      <c r="O56" s="1887" t="s">
        <v>1040</v>
      </c>
      <c r="P56" s="1888" t="s">
        <v>1529</v>
      </c>
      <c r="Q56" s="1889">
        <f ca="1">C40+J29</f>
        <v>56456</v>
      </c>
      <c r="R56" s="1889" t="s">
        <v>1530</v>
      </c>
    </row>
    <row r="57" spans="1:18" s="1845" customFormat="1" ht="24.75" thickBot="1">
      <c r="A57" s="1921"/>
      <c r="B57" s="1172" t="s">
        <v>1479</v>
      </c>
      <c r="C57" s="282">
        <f ca="1">C29</f>
        <v>8997</v>
      </c>
      <c r="D57" s="1922"/>
      <c r="E57" s="1923"/>
      <c r="F57" s="1924"/>
      <c r="I57" s="1925" t="s">
        <v>1557</v>
      </c>
      <c r="J57" s="1926">
        <f ca="1">IF(OR(M47="住宅",J51&lt;L48,J56="是"),"——",J51-L48)</f>
        <v>14.409999999999997</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225</v>
      </c>
      <c r="D58" s="1182" t="s">
        <v>1426</v>
      </c>
      <c r="E58" s="1183"/>
      <c r="F58" s="1184"/>
      <c r="I58" s="1925" t="s">
        <v>1561</v>
      </c>
      <c r="J58" s="1927">
        <f ca="1">IF(J55&lt;0.4,0.4,J55)</f>
        <v>0.4</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77.400000000000006</v>
      </c>
      <c r="D59" s="1185" t="s">
        <v>1431</v>
      </c>
      <c r="E59" s="1186" t="s">
        <v>1432</v>
      </c>
      <c r="F59" s="368" t="str">
        <f ca="1">IF(项目基本情况!B11="企业","",IF(INDIRECT("'数据-取费表'!c"&amp;$G$1)="住宅",5%,IF(F49*F50*F51/12/(1+'数据-取费表'!C42)&gt;20000,12%,7%)))</f>
        <v/>
      </c>
      <c r="I59" s="1925" t="s">
        <v>1564</v>
      </c>
      <c r="J59" s="1926">
        <f ca="1">IF(OR(M47="住宅",J51&lt;L48,J56="是"),"——",ROUND(C29*J58,0))</f>
        <v>3599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8" t="s">
        <v>1566</v>
      </c>
      <c r="J60" s="1929">
        <f ca="1">IF(OR(M47="住宅",J51&lt;L48,J56="是"),"0",ROUND(J59/(1+J52)^J53,0))</f>
        <v>77</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75.569999999999993</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1.78</v>
      </c>
      <c r="D62" s="1187" t="s">
        <v>1498</v>
      </c>
      <c r="E62" s="1172" t="s">
        <v>1499</v>
      </c>
      <c r="F62" s="371">
        <f t="shared" si="0"/>
        <v>1.5</v>
      </c>
      <c r="I62" s="1932" t="s">
        <v>1571</v>
      </c>
      <c r="J62" s="1933" t="s">
        <v>1572</v>
      </c>
      <c r="K62" s="1933" t="s">
        <v>1573</v>
      </c>
      <c r="L62" s="1933" t="s">
        <v>1574</v>
      </c>
      <c r="M62" s="1934" t="s">
        <v>1575</v>
      </c>
      <c r="O62" s="1887" t="s">
        <v>1046</v>
      </c>
      <c r="P62" s="1888" t="s">
        <v>1576</v>
      </c>
      <c r="Q62" s="1889">
        <f ca="1">Q56+Q57</f>
        <v>56456</v>
      </c>
      <c r="R62" s="1889" t="s">
        <v>1047</v>
      </c>
    </row>
    <row r="63" spans="1:18" s="1845" customFormat="1" ht="13.5" thickBot="1">
      <c r="A63" s="372"/>
      <c r="B63" s="1178"/>
      <c r="C63" s="29"/>
      <c r="D63" s="1188"/>
      <c r="E63" s="1172" t="s">
        <v>1500</v>
      </c>
      <c r="F63" s="348">
        <f t="shared" ca="1" si="0"/>
        <v>11873.13</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135</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13</v>
      </c>
      <c r="D65" s="1186" t="s">
        <v>1455</v>
      </c>
      <c r="E65" s="1172" t="s">
        <v>1456</v>
      </c>
      <c r="F65" s="376">
        <f t="shared" ca="1" si="0"/>
        <v>1.5E-3</v>
      </c>
      <c r="I65" s="1932" t="s">
        <v>1580</v>
      </c>
      <c r="J65" s="1933">
        <v>40</v>
      </c>
      <c r="K65" s="1933">
        <v>30</v>
      </c>
      <c r="L65" s="1933">
        <v>50</v>
      </c>
      <c r="M65" s="1935">
        <v>0.02</v>
      </c>
      <c r="O65" s="1887" t="s">
        <v>1040</v>
      </c>
      <c r="P65" s="1888" t="s">
        <v>1581</v>
      </c>
      <c r="Q65" s="1889">
        <f ca="1">C40+J29</f>
        <v>56456</v>
      </c>
      <c r="R65" s="1889" t="s">
        <v>1530</v>
      </c>
    </row>
    <row r="66" spans="1:18" s="1845" customFormat="1" ht="16.5" thickBot="1">
      <c r="A66" s="1204" t="s">
        <v>1505</v>
      </c>
      <c r="B66" s="1172" t="s">
        <v>1440</v>
      </c>
      <c r="C66" s="24">
        <f ca="1">ROUND(C48*F66,1)</f>
        <v>0</v>
      </c>
      <c r="D66" s="1186" t="s">
        <v>1506</v>
      </c>
      <c r="E66" s="1172" t="s">
        <v>1423</v>
      </c>
      <c r="F66" s="357">
        <f t="shared" ca="1" si="0"/>
        <v>0.02</v>
      </c>
      <c r="O66" s="1887" t="s">
        <v>1041</v>
      </c>
      <c r="P66" s="1888" t="s">
        <v>1559</v>
      </c>
      <c r="Q66" s="1889">
        <f ca="1">L60</f>
        <v>0</v>
      </c>
      <c r="R66" s="1889" t="s">
        <v>1582</v>
      </c>
    </row>
    <row r="67" spans="1:18" s="1845" customFormat="1" ht="16.5" thickBot="1">
      <c r="A67" s="1179" t="s">
        <v>1031</v>
      </c>
      <c r="B67" s="1189" t="s">
        <v>1464</v>
      </c>
      <c r="C67" s="361">
        <f ca="1">C48-C58</f>
        <v>-225</v>
      </c>
      <c r="D67" s="1185" t="s">
        <v>1465</v>
      </c>
      <c r="E67" s="1190"/>
      <c r="F67" s="1191"/>
      <c r="O67" s="1897" t="s">
        <v>1042</v>
      </c>
      <c r="P67" s="1888" t="s">
        <v>1563</v>
      </c>
      <c r="Q67" s="1936">
        <f ca="1">L51</f>
        <v>25241</v>
      </c>
      <c r="R67" s="1889" t="s">
        <v>1583</v>
      </c>
    </row>
    <row r="68" spans="1:18" s="1845" customFormat="1" ht="16.5" thickBot="1">
      <c r="A68" s="1169" t="s">
        <v>1032</v>
      </c>
      <c r="B68" s="1170" t="s">
        <v>1486</v>
      </c>
      <c r="C68" s="346">
        <f ca="1">ROUND(C67*(1-((1+F70)/(1+F68))^F69)/(F68-F70),0)</f>
        <v>-3989</v>
      </c>
      <c r="D68" s="1187" t="s">
        <v>1470</v>
      </c>
      <c r="E68" s="1172" t="s">
        <v>1471</v>
      </c>
      <c r="F68" s="357">
        <f ca="1">F40</f>
        <v>0.05</v>
      </c>
      <c r="O68" s="1897" t="s">
        <v>1043</v>
      </c>
      <c r="P68" s="1937" t="s">
        <v>1584</v>
      </c>
      <c r="Q68" s="1889">
        <f ca="1">ROUND(Q69-Q70*Q71,0)</f>
        <v>1222</v>
      </c>
      <c r="R68" s="1889" t="s">
        <v>1051</v>
      </c>
    </row>
    <row r="69" spans="1:18" s="1845" customFormat="1" ht="13.5" thickBot="1">
      <c r="A69" s="1173"/>
      <c r="B69" s="1174"/>
      <c r="C69" s="351"/>
      <c r="D69" s="1192" t="s">
        <v>1474</v>
      </c>
      <c r="E69" s="1172" t="s">
        <v>1475</v>
      </c>
      <c r="F69" s="379">
        <f ca="1">F41</f>
        <v>44.59</v>
      </c>
      <c r="O69" s="1897" t="s">
        <v>1048</v>
      </c>
      <c r="P69" s="1937" t="s">
        <v>1585</v>
      </c>
      <c r="Q69" s="1889">
        <f ca="1">C39</f>
        <v>1961</v>
      </c>
      <c r="R69" s="1889" t="s">
        <v>1530</v>
      </c>
    </row>
    <row r="70" spans="1:18" s="1845" customFormat="1" ht="13.5" thickBot="1">
      <c r="A70" s="1176"/>
      <c r="B70" s="1177"/>
      <c r="C70" s="355"/>
      <c r="D70" s="1188"/>
      <c r="E70" s="1172" t="s">
        <v>1478</v>
      </c>
      <c r="F70" s="1278"/>
      <c r="O70" s="1897" t="s">
        <v>1049</v>
      </c>
      <c r="P70" s="1937" t="s">
        <v>1586</v>
      </c>
      <c r="Q70" s="1889">
        <f ca="1">C13</f>
        <v>8691</v>
      </c>
      <c r="R70" s="1889" t="s">
        <v>1530</v>
      </c>
    </row>
    <row r="71" spans="1:18" s="1845" customFormat="1" ht="13.5" thickBot="1">
      <c r="A71" s="1193" t="s">
        <v>1033</v>
      </c>
      <c r="B71" s="1194" t="s">
        <v>1488</v>
      </c>
      <c r="C71" s="382">
        <f ca="1">ROUND(C68*10000/F71,0)</f>
        <v>-1880</v>
      </c>
      <c r="D71" s="1195" t="s">
        <v>1489</v>
      </c>
      <c r="E71" s="1196" t="s">
        <v>1490</v>
      </c>
      <c r="F71" s="385">
        <f ca="1">F43</f>
        <v>21214.79</v>
      </c>
      <c r="O71" s="1897" t="s">
        <v>1050</v>
      </c>
      <c r="P71" s="1937" t="s">
        <v>1587</v>
      </c>
      <c r="Q71" s="1900">
        <f ca="1">C76</f>
        <v>8.5000000000000006E-2</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739</v>
      </c>
      <c r="D75" s="1845"/>
      <c r="E75" s="1845"/>
      <c r="F75" s="1845"/>
      <c r="K75" s="1871"/>
      <c r="L75" s="1845"/>
      <c r="O75" s="1887" t="s">
        <v>1046</v>
      </c>
      <c r="P75" s="1888" t="s">
        <v>1550</v>
      </c>
      <c r="Q75" s="1889">
        <f ca="1">Q65+Q66</f>
        <v>56456</v>
      </c>
      <c r="R75" s="1889" t="s">
        <v>1047</v>
      </c>
    </row>
    <row r="76" spans="1:18">
      <c r="B76" s="388" t="s">
        <v>1508</v>
      </c>
      <c r="C76" s="389">
        <f ca="1">INDIRECT("'数据-取费表'!j"&amp;$G$1)</f>
        <v>8.5000000000000006E-2</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0.623</v>
      </c>
    </row>
    <row r="80" spans="1:18">
      <c r="B80" s="386" t="s">
        <v>1512</v>
      </c>
      <c r="C80" s="318">
        <f ca="1">ROUND(C75/C39,3)</f>
        <v>0.377</v>
      </c>
    </row>
    <row r="81" spans="2:3">
      <c r="B81" s="314" t="s">
        <v>1513</v>
      </c>
      <c r="C81" s="282"/>
    </row>
    <row r="82" spans="2:3">
      <c r="B82" s="317" t="s">
        <v>1514</v>
      </c>
      <c r="C82" s="319">
        <f ca="1">1-C83</f>
        <v>0.84599999999999997</v>
      </c>
    </row>
    <row r="83" spans="2:3">
      <c r="B83" s="317" t="s">
        <v>1515</v>
      </c>
      <c r="C83" s="318">
        <f ca="1">ROUND(C13/C40,3)</f>
        <v>0.154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230" t="s">
        <v>1403</v>
      </c>
      <c r="C6" s="1299">
        <f ca="1">ROUND(F6*F8*F7*(1-F9),0)</f>
        <v>0</v>
      </c>
      <c r="D6" s="164" t="s">
        <v>3025</v>
      </c>
      <c r="E6" s="347" t="s">
        <v>1405</v>
      </c>
      <c r="F6" s="348">
        <f ca="1">INDIRECT("'数据-取费表'!u"&amp;$G$1)</f>
        <v>0</v>
      </c>
      <c r="G6" s="1854"/>
      <c r="H6" s="1294" t="s">
        <v>1035</v>
      </c>
      <c r="I6" s="3230" t="s">
        <v>1403</v>
      </c>
      <c r="J6" s="346">
        <f ca="1">ROUND(M6*M8*M7*(1-M9),0)</f>
        <v>0</v>
      </c>
      <c r="K6" s="1837" t="s">
        <v>3028</v>
      </c>
      <c r="L6" s="347" t="s">
        <v>1405</v>
      </c>
      <c r="M6" s="348">
        <f ca="1">INDIRECT("'数据-取费表'!z"&amp;$G$1)</f>
        <v>0</v>
      </c>
    </row>
    <row r="7" spans="1:37" ht="18" customHeight="1">
      <c r="A7" s="1298"/>
      <c r="B7" s="3231"/>
      <c r="C7" s="1300"/>
      <c r="D7" s="352"/>
      <c r="E7" s="1301" t="s">
        <v>1406</v>
      </c>
      <c r="F7" s="348">
        <f ca="1">IF(INDIRECT("'数据-取费表'!ah"&amp;$G$1)="",INDIRECT("'数据-取费表'!k"&amp;$G$1),INDIRECT("'数据-取费表'!ah"&amp;$G$1))</f>
        <v>0</v>
      </c>
      <c r="G7" s="1854"/>
      <c r="H7" s="349"/>
      <c r="I7" s="3231"/>
      <c r="J7" s="351"/>
      <c r="K7" s="352"/>
      <c r="L7" s="347" t="s">
        <v>1406</v>
      </c>
      <c r="M7" s="348">
        <f ca="1">F7</f>
        <v>0</v>
      </c>
    </row>
    <row r="8" spans="1:37" ht="18" customHeight="1">
      <c r="A8" s="349"/>
      <c r="B8" s="3231"/>
      <c r="C8" s="351"/>
      <c r="D8" s="352"/>
      <c r="E8" s="347" t="s">
        <v>1407</v>
      </c>
      <c r="F8" s="348">
        <f ca="1">INDIRECT("'数据-取费表'!ai"&amp;$G$1)</f>
        <v>365</v>
      </c>
      <c r="G8" s="1854"/>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v>
      </c>
      <c r="G9" s="1854"/>
      <c r="H9" s="349"/>
      <c r="I9" s="3232"/>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3026</v>
      </c>
      <c r="E10" s="358" t="s">
        <v>1411</v>
      </c>
      <c r="F10" s="1369"/>
      <c r="G10" s="1854"/>
      <c r="H10" s="1294" t="s">
        <v>1039</v>
      </c>
      <c r="I10" s="1826" t="s">
        <v>1409</v>
      </c>
      <c r="J10" s="346">
        <f ca="1">ROUND(IF(M10="押一",M6*M8*M7/12*M11,IF(M10="押二",M6*M8*M7/12*2*M11,IF(M10="押三",M6*M8*M7/12*3*M11,J11*M11))),0)</f>
        <v>0</v>
      </c>
      <c r="K10" s="1838" t="s">
        <v>3027</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50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44.59</v>
      </c>
      <c r="O48" s="1887" t="s">
        <v>1041</v>
      </c>
      <c r="P48" s="1888" t="s">
        <v>1533</v>
      </c>
      <c r="Q48" s="1889" t="str">
        <f ca="1">J60</f>
        <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228" t="s">
        <v>1549</v>
      </c>
      <c r="L53" s="3229"/>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44.59</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t="str">
        <f ca="1">IF(OR(M47="住宅",J51&lt;L48,J56="是"),"——",J51-L48)</f>
        <v>——</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#VALUE!</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8" t="s">
        <v>1566</v>
      </c>
      <c r="J60" s="1929" t="str">
        <f ca="1">IF(OR(M47="住宅",J51&lt;L48,J56="是"),"0",ROUND(J59/(1+J52)^J53,0))</f>
        <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1.5</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3" t="s">
        <v>1076</v>
      </c>
      <c r="B1" s="3234"/>
      <c r="C1" s="3235"/>
      <c r="D1" s="3236">
        <f>SUM(I10,I15,I20,I21,I23)</f>
        <v>0</v>
      </c>
      <c r="E1" s="3236"/>
      <c r="F1" s="3236"/>
      <c r="G1" s="3236"/>
      <c r="H1" s="3236"/>
      <c r="I1" s="3237"/>
    </row>
    <row r="2" spans="1:9">
      <c r="A2" s="3238" t="s">
        <v>1077</v>
      </c>
      <c r="B2" s="3239" t="s">
        <v>1078</v>
      </c>
      <c r="C2" s="3239"/>
      <c r="D2" s="1304" t="s">
        <v>1079</v>
      </c>
      <c r="E2" s="1304" t="s">
        <v>1080</v>
      </c>
      <c r="F2" s="1304" t="s">
        <v>1081</v>
      </c>
      <c r="G2" s="1304" t="s">
        <v>1082</v>
      </c>
      <c r="H2" s="1304" t="s">
        <v>1083</v>
      </c>
      <c r="I2" s="1305" t="s">
        <v>1084</v>
      </c>
    </row>
    <row r="3" spans="1:9">
      <c r="A3" s="3238"/>
      <c r="B3" s="3239" t="s">
        <v>1085</v>
      </c>
      <c r="C3" s="3239"/>
      <c r="D3" s="1306"/>
      <c r="E3" s="1304"/>
      <c r="F3" s="1307"/>
      <c r="G3" s="1307"/>
      <c r="H3" s="1308"/>
      <c r="I3" s="1309">
        <f>ROUND(D3*E3*F3*G3*H3/10000,0)</f>
        <v>0</v>
      </c>
    </row>
    <row r="4" spans="1:9">
      <c r="A4" s="3238"/>
      <c r="B4" s="3239" t="s">
        <v>1086</v>
      </c>
      <c r="C4" s="3239"/>
      <c r="D4" s="1306"/>
      <c r="E4" s="1304"/>
      <c r="F4" s="1307"/>
      <c r="G4" s="1307"/>
      <c r="H4" s="1308"/>
      <c r="I4" s="1309">
        <f t="shared" ref="I4:I9" si="0">ROUND(D4*E4*F4*G4*H4/10000,0)</f>
        <v>0</v>
      </c>
    </row>
    <row r="5" spans="1:9">
      <c r="A5" s="3238"/>
      <c r="B5" s="3239" t="s">
        <v>1087</v>
      </c>
      <c r="C5" s="3239"/>
      <c r="D5" s="1306"/>
      <c r="E5" s="1304"/>
      <c r="F5" s="1307"/>
      <c r="G5" s="1307"/>
      <c r="H5" s="1308"/>
      <c r="I5" s="1309">
        <f t="shared" si="0"/>
        <v>0</v>
      </c>
    </row>
    <row r="6" spans="1:9">
      <c r="A6" s="3238"/>
      <c r="B6" s="3239" t="s">
        <v>1088</v>
      </c>
      <c r="C6" s="3239"/>
      <c r="D6" s="1306"/>
      <c r="E6" s="1304"/>
      <c r="F6" s="1307"/>
      <c r="G6" s="1307"/>
      <c r="H6" s="1308"/>
      <c r="I6" s="1309">
        <f t="shared" si="0"/>
        <v>0</v>
      </c>
    </row>
    <row r="7" spans="1:9">
      <c r="A7" s="3238"/>
      <c r="B7" s="3239" t="s">
        <v>1089</v>
      </c>
      <c r="C7" s="3239"/>
      <c r="D7" s="1306"/>
      <c r="E7" s="1304"/>
      <c r="F7" s="1307"/>
      <c r="G7" s="1307"/>
      <c r="H7" s="1308"/>
      <c r="I7" s="1309">
        <f t="shared" si="0"/>
        <v>0</v>
      </c>
    </row>
    <row r="8" spans="1:9">
      <c r="A8" s="3238"/>
      <c r="B8" s="3239" t="s">
        <v>1090</v>
      </c>
      <c r="C8" s="3239"/>
      <c r="D8" s="1306"/>
      <c r="E8" s="1304"/>
      <c r="F8" s="1307"/>
      <c r="G8" s="1307"/>
      <c r="H8" s="1308"/>
      <c r="I8" s="1309">
        <f t="shared" si="0"/>
        <v>0</v>
      </c>
    </row>
    <row r="9" spans="1:9">
      <c r="A9" s="3238"/>
      <c r="B9" s="3239" t="s">
        <v>1091</v>
      </c>
      <c r="C9" s="3239"/>
      <c r="D9" s="1306"/>
      <c r="E9" s="1304"/>
      <c r="F9" s="1307"/>
      <c r="G9" s="1307"/>
      <c r="H9" s="1308"/>
      <c r="I9" s="1309">
        <f t="shared" si="0"/>
        <v>0</v>
      </c>
    </row>
    <row r="10" spans="1:9">
      <c r="A10" s="3238"/>
      <c r="B10" s="3240" t="s">
        <v>1092</v>
      </c>
      <c r="C10" s="3240"/>
      <c r="D10" s="1310"/>
      <c r="E10" s="1310" t="e">
        <f>ROUND(D1*10000/D10/H9,0)</f>
        <v>#DIV/0!</v>
      </c>
      <c r="F10" s="1311"/>
      <c r="G10" s="1311"/>
      <c r="H10" s="1312"/>
      <c r="I10" s="1313">
        <f>SUM(I3:I9)</f>
        <v>0</v>
      </c>
    </row>
    <row r="11" spans="1:9" ht="14.25">
      <c r="A11" s="3238" t="s">
        <v>1093</v>
      </c>
      <c r="B11" s="3239" t="s">
        <v>1094</v>
      </c>
      <c r="C11" s="3239"/>
      <c r="D11" s="1306" t="s">
        <v>1095</v>
      </c>
      <c r="E11" s="1306" t="s">
        <v>1096</v>
      </c>
      <c r="F11" s="1307" t="s">
        <v>1097</v>
      </c>
      <c r="G11" s="1307" t="s">
        <v>1083</v>
      </c>
      <c r="H11" s="1314" t="s">
        <v>1098</v>
      </c>
      <c r="I11" s="1305" t="s">
        <v>1084</v>
      </c>
    </row>
    <row r="12" spans="1:9">
      <c r="A12" s="3238"/>
      <c r="B12" s="3239" t="s">
        <v>1099</v>
      </c>
      <c r="C12" s="3239"/>
      <c r="D12" s="1306"/>
      <c r="E12" s="1306"/>
      <c r="F12" s="1307"/>
      <c r="G12" s="1308"/>
      <c r="H12" s="1315"/>
      <c r="I12" s="1305">
        <f>ROUND(D12*E12*F12*G12/10000,0)</f>
        <v>0</v>
      </c>
    </row>
    <row r="13" spans="1:9">
      <c r="A13" s="3238"/>
      <c r="B13" s="3239" t="s">
        <v>1100</v>
      </c>
      <c r="C13" s="3239"/>
      <c r="D13" s="1306"/>
      <c r="E13" s="1306"/>
      <c r="F13" s="1307"/>
      <c r="G13" s="1308"/>
      <c r="H13" s="1315"/>
      <c r="I13" s="1305">
        <f>ROUND(D13*E13*F13*G13/10000,0)</f>
        <v>0</v>
      </c>
    </row>
    <row r="14" spans="1:9">
      <c r="A14" s="3238"/>
      <c r="B14" s="3239" t="s">
        <v>1101</v>
      </c>
      <c r="C14" s="3239"/>
      <c r="D14" s="1306"/>
      <c r="E14" s="1306"/>
      <c r="F14" s="1307"/>
      <c r="G14" s="1308"/>
      <c r="H14" s="1315"/>
      <c r="I14" s="1305">
        <f>ROUND(D14*E14*F14*G14/10000,0)</f>
        <v>0</v>
      </c>
    </row>
    <row r="15" spans="1:9">
      <c r="A15" s="3238"/>
      <c r="B15" s="3240" t="s">
        <v>1092</v>
      </c>
      <c r="C15" s="3240"/>
      <c r="D15" s="1310"/>
      <c r="E15" s="1310">
        <f>SUM(E12:E14)</f>
        <v>0</v>
      </c>
      <c r="F15" s="1311"/>
      <c r="G15" s="1308"/>
      <c r="H15" s="1315"/>
      <c r="I15" s="1316">
        <f>SUM(I12:I14)</f>
        <v>0</v>
      </c>
    </row>
    <row r="16" spans="1:9" ht="24">
      <c r="A16" s="3238" t="s">
        <v>1102</v>
      </c>
      <c r="B16" s="3239" t="s">
        <v>1103</v>
      </c>
      <c r="C16" s="3239"/>
      <c r="D16" s="1306" t="s">
        <v>1079</v>
      </c>
      <c r="E16" s="1317" t="s">
        <v>1104</v>
      </c>
      <c r="F16" s="1307" t="s">
        <v>1105</v>
      </c>
      <c r="G16" s="1308" t="s">
        <v>1083</v>
      </c>
      <c r="H16" s="1314" t="s">
        <v>1098</v>
      </c>
      <c r="I16" s="1305" t="s">
        <v>1084</v>
      </c>
    </row>
    <row r="17" spans="1:9" ht="14.25">
      <c r="A17" s="3238"/>
      <c r="B17" s="3239" t="s">
        <v>1106</v>
      </c>
      <c r="C17" s="3239"/>
      <c r="D17" s="1306"/>
      <c r="E17" s="1306"/>
      <c r="F17" s="1307"/>
      <c r="G17" s="1308"/>
      <c r="H17" s="1318"/>
      <c r="I17" s="1319">
        <f>ROUND(D17*E17*F17*G17/10000,0)</f>
        <v>0</v>
      </c>
    </row>
    <row r="18" spans="1:9" ht="14.25">
      <c r="A18" s="3238"/>
      <c r="B18" s="3239" t="s">
        <v>1107</v>
      </c>
      <c r="C18" s="3239"/>
      <c r="D18" s="1306"/>
      <c r="E18" s="1306"/>
      <c r="F18" s="1307"/>
      <c r="G18" s="1308"/>
      <c r="H18" s="1318"/>
      <c r="I18" s="1319">
        <f>ROUND(D18*E18*F18*G18/10000,0)</f>
        <v>0</v>
      </c>
    </row>
    <row r="19" spans="1:9" ht="14.25">
      <c r="A19" s="3238"/>
      <c r="B19" s="3239" t="s">
        <v>1108</v>
      </c>
      <c r="C19" s="3239"/>
      <c r="D19" s="1306"/>
      <c r="E19" s="1306"/>
      <c r="F19" s="1307"/>
      <c r="G19" s="1308"/>
      <c r="H19" s="1318"/>
      <c r="I19" s="1319">
        <f>ROUND(D19*E19*F19*G19/10000,0)</f>
        <v>0</v>
      </c>
    </row>
    <row r="20" spans="1:9">
      <c r="A20" s="3238"/>
      <c r="B20" s="3240" t="s">
        <v>1092</v>
      </c>
      <c r="C20" s="3240"/>
      <c r="D20" s="1310">
        <f>SUM(D17:D19)</f>
        <v>0</v>
      </c>
      <c r="E20" s="1310"/>
      <c r="F20" s="1311"/>
      <c r="G20" s="1308"/>
      <c r="H20" s="1315"/>
      <c r="I20" s="1316">
        <f>SUM(I17:I19)</f>
        <v>0</v>
      </c>
    </row>
    <row r="21" spans="1:9">
      <c r="A21" s="3238" t="s">
        <v>1109</v>
      </c>
      <c r="B21" s="3242"/>
      <c r="C21" s="3242"/>
      <c r="D21" s="3242"/>
      <c r="E21" s="3242"/>
      <c r="F21" s="3242"/>
      <c r="G21" s="3242"/>
      <c r="H21" s="1768">
        <v>0.1</v>
      </c>
      <c r="I21" s="1313">
        <f>ROUND(I10*H21,0)</f>
        <v>0</v>
      </c>
    </row>
    <row r="22" spans="1:9" ht="14.25">
      <c r="A22" s="3243" t="s">
        <v>1110</v>
      </c>
      <c r="B22" s="3244"/>
      <c r="C22" s="3245"/>
      <c r="D22" s="1320" t="s">
        <v>1111</v>
      </c>
      <c r="E22" s="1320" t="s">
        <v>1112</v>
      </c>
      <c r="F22" s="1321" t="s">
        <v>1113</v>
      </c>
      <c r="G22" s="1321" t="s">
        <v>1114</v>
      </c>
      <c r="H22" s="1314" t="s">
        <v>1115</v>
      </c>
      <c r="I22" s="1305" t="s">
        <v>1116</v>
      </c>
    </row>
    <row r="23" spans="1:9" ht="14.25" thickBot="1">
      <c r="A23" s="3246"/>
      <c r="B23" s="3247"/>
      <c r="C23" s="3248"/>
      <c r="D23" s="1322"/>
      <c r="E23" s="1322"/>
      <c r="F23" s="1322"/>
      <c r="G23" s="1323"/>
      <c r="H23" s="1324"/>
      <c r="I23" s="1325">
        <f>ROUND(E23*D23*F23*(1-G23)/10000,0)</f>
        <v>0</v>
      </c>
    </row>
    <row r="26" spans="1:9">
      <c r="A26" s="1326" t="s">
        <v>1117</v>
      </c>
      <c r="B26" s="1326"/>
      <c r="C26" s="1326"/>
      <c r="D26" s="1326"/>
      <c r="E26" s="3249">
        <f>C27-C30-C31-C32</f>
        <v>0</v>
      </c>
      <c r="F26" s="3249"/>
      <c r="G26" s="3249"/>
      <c r="H26" s="1740" t="s">
        <v>1340</v>
      </c>
    </row>
    <row r="27" spans="1:9">
      <c r="A27" s="1327">
        <v>1</v>
      </c>
      <c r="B27" s="1328" t="s">
        <v>1118</v>
      </c>
      <c r="C27" s="1328">
        <f>C28+C29</f>
        <v>0</v>
      </c>
      <c r="D27" s="1328"/>
      <c r="E27" s="3250"/>
      <c r="F27" s="3250"/>
      <c r="G27" s="3250"/>
    </row>
    <row r="28" spans="1:9">
      <c r="A28" s="1329" t="s">
        <v>1119</v>
      </c>
      <c r="B28" s="1328" t="s">
        <v>1120</v>
      </c>
      <c r="C28" s="1328"/>
      <c r="D28" s="1328"/>
      <c r="E28" s="3250"/>
      <c r="F28" s="3250"/>
      <c r="G28" s="325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1"/>
      <c r="F32" s="3241"/>
      <c r="G32" s="3241"/>
    </row>
    <row r="33" spans="1:7" hidden="1">
      <c r="A33" s="3251" t="s">
        <v>1129</v>
      </c>
      <c r="B33" s="3252"/>
      <c r="C33" s="3252"/>
      <c r="D33" s="3253"/>
      <c r="E33" s="3249"/>
      <c r="F33" s="3249"/>
      <c r="G33" s="3249"/>
    </row>
    <row r="34" spans="1:7" hidden="1">
      <c r="A34" s="1331">
        <v>1</v>
      </c>
      <c r="B34" s="1328" t="s">
        <v>1130</v>
      </c>
      <c r="C34" s="1328"/>
      <c r="D34" s="1328"/>
      <c r="E34" s="3250"/>
      <c r="F34" s="3250"/>
      <c r="G34" s="3250"/>
    </row>
    <row r="35" spans="1:7" hidden="1">
      <c r="A35" s="1331">
        <v>2</v>
      </c>
      <c r="B35" s="1328" t="s">
        <v>1131</v>
      </c>
      <c r="C35" s="1328"/>
      <c r="D35" s="1328"/>
      <c r="E35" s="3250"/>
      <c r="F35" s="3250"/>
      <c r="G35" s="3250"/>
    </row>
    <row r="36" spans="1:7" hidden="1">
      <c r="A36" s="1331">
        <v>3</v>
      </c>
      <c r="B36" s="1328" t="s">
        <v>1132</v>
      </c>
      <c r="C36" s="1328"/>
      <c r="D36" s="1328"/>
      <c r="E36" s="3250"/>
      <c r="F36" s="3250"/>
      <c r="G36" s="3250"/>
    </row>
    <row r="37" spans="1:7" hidden="1">
      <c r="A37" s="1331">
        <v>4</v>
      </c>
      <c r="B37" s="1328" t="s">
        <v>1133</v>
      </c>
      <c r="C37" s="1328"/>
      <c r="D37" s="1328"/>
      <c r="E37" s="3250"/>
      <c r="F37" s="3250"/>
      <c r="G37" s="3250"/>
    </row>
    <row r="38" spans="1:7" hidden="1">
      <c r="A38" s="3251" t="s">
        <v>1134</v>
      </c>
      <c r="B38" s="3252"/>
      <c r="C38" s="3252"/>
      <c r="D38" s="3253"/>
      <c r="E38" s="3249"/>
      <c r="F38" s="3249"/>
      <c r="G38" s="32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2526</v>
      </c>
      <c r="C1" s="1637" t="s">
        <v>2527</v>
      </c>
      <c r="D1" s="1624"/>
      <c r="E1" s="2586"/>
      <c r="F1" s="2587" t="s">
        <v>2528</v>
      </c>
      <c r="G1" s="1634" t="s">
        <v>2529</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2530</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2531</v>
      </c>
      <c r="D3" s="399">
        <f>IF(D1="",'数据-汇总表'!E3,SUMIF('数据-汇总表'!$C19:$C33,D1,'数据-汇总表'!$E19:$E33))</f>
        <v>21214.79</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2532</v>
      </c>
      <c r="B4" s="402"/>
      <c r="C4" s="3272" t="s">
        <v>2533</v>
      </c>
      <c r="D4" s="3273"/>
      <c r="E4" s="3274" t="s">
        <v>2534</v>
      </c>
      <c r="F4" s="3275"/>
      <c r="G4" s="3272" t="s">
        <v>2535</v>
      </c>
      <c r="H4" s="3273"/>
      <c r="I4" s="3272" t="s">
        <v>2536</v>
      </c>
      <c r="J4" s="3273"/>
      <c r="K4" s="2599" t="s">
        <v>2537</v>
      </c>
      <c r="L4" s="1133"/>
      <c r="M4" s="1134"/>
      <c r="N4" s="1134"/>
      <c r="O4" s="1134"/>
      <c r="P4" s="3276" t="s">
        <v>2538</v>
      </c>
      <c r="Q4" s="3277"/>
      <c r="R4" s="3259" t="s">
        <v>2534</v>
      </c>
      <c r="S4" s="3260"/>
      <c r="T4" s="3259" t="s">
        <v>2535</v>
      </c>
      <c r="U4" s="3260"/>
      <c r="V4" s="3284" t="s">
        <v>2536</v>
      </c>
      <c r="W4" s="3284"/>
      <c r="X4" s="1816"/>
      <c r="Y4" s="3259" t="s">
        <v>2538</v>
      </c>
      <c r="Z4" s="3260"/>
      <c r="AA4" s="3254" t="s">
        <v>2534</v>
      </c>
      <c r="AB4" s="3254" t="s">
        <v>2535</v>
      </c>
      <c r="AC4" s="3254" t="s">
        <v>2536</v>
      </c>
    </row>
    <row r="5" spans="1:29" ht="15">
      <c r="A5" s="404"/>
      <c r="B5" s="405"/>
      <c r="C5" s="3265" t="s">
        <v>2539</v>
      </c>
      <c r="D5" s="3266"/>
      <c r="E5" s="3263" t="s">
        <v>2540</v>
      </c>
      <c r="F5" s="3264"/>
      <c r="G5" s="3265" t="s">
        <v>2541</v>
      </c>
      <c r="H5" s="3266"/>
      <c r="I5" s="3265" t="s">
        <v>2542</v>
      </c>
      <c r="J5" s="3266"/>
      <c r="K5" s="2600"/>
      <c r="L5" s="1133"/>
      <c r="M5" s="1134"/>
      <c r="N5" s="1134"/>
      <c r="O5" s="1134"/>
      <c r="P5" s="3278"/>
      <c r="Q5" s="3279"/>
      <c r="R5" s="3261"/>
      <c r="S5" s="3262"/>
      <c r="T5" s="3261"/>
      <c r="U5" s="3262"/>
      <c r="V5" s="3284"/>
      <c r="W5" s="3284"/>
      <c r="X5" s="1816"/>
      <c r="Y5" s="3261"/>
      <c r="Z5" s="3262"/>
      <c r="AA5" s="3255"/>
      <c r="AB5" s="3255"/>
      <c r="AC5" s="3255"/>
    </row>
    <row r="6" spans="1:29" ht="15.75" thickBot="1">
      <c r="A6" s="406"/>
      <c r="B6" s="407"/>
      <c r="C6" s="3267" t="s">
        <v>2543</v>
      </c>
      <c r="D6" s="3268"/>
      <c r="E6" s="3269" t="s">
        <v>2543</v>
      </c>
      <c r="F6" s="3270"/>
      <c r="G6" s="3267" t="s">
        <v>2543</v>
      </c>
      <c r="H6" s="3268"/>
      <c r="I6" s="3267" t="s">
        <v>2543</v>
      </c>
      <c r="J6" s="3268"/>
      <c r="K6" s="2600" t="s">
        <v>2544</v>
      </c>
      <c r="L6" s="1133"/>
      <c r="M6" s="1134"/>
      <c r="N6" s="1134"/>
      <c r="O6" s="1134"/>
      <c r="P6" s="3280"/>
      <c r="Q6" s="3281"/>
      <c r="R6" s="3261"/>
      <c r="S6" s="3262"/>
      <c r="T6" s="3282"/>
      <c r="U6" s="3283"/>
      <c r="V6" s="3284"/>
      <c r="W6" s="3284"/>
      <c r="X6" s="1816"/>
      <c r="Y6" s="3282"/>
      <c r="Z6" s="3283"/>
      <c r="AA6" s="3256"/>
      <c r="AB6" s="3256"/>
      <c r="AC6" s="3256"/>
    </row>
    <row r="7" spans="1:29" s="117" customFormat="1" ht="15.75" thickBot="1">
      <c r="A7" s="408" t="s">
        <v>2545</v>
      </c>
      <c r="B7" s="409"/>
      <c r="C7" s="410">
        <f>'数据-取费表'!B2</f>
        <v>43100</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57" t="s">
        <v>2546</v>
      </c>
      <c r="Q7" s="3285"/>
      <c r="R7" s="770" t="s">
        <v>23</v>
      </c>
      <c r="S7" s="771">
        <f t="shared" ref="S7:S15" si="0">F7</f>
        <v>0</v>
      </c>
      <c r="T7" s="770" t="s">
        <v>23</v>
      </c>
      <c r="U7" s="771">
        <f t="shared" ref="U7:U15" si="1">H7</f>
        <v>0</v>
      </c>
      <c r="V7" s="770" t="s">
        <v>23</v>
      </c>
      <c r="W7" s="771">
        <f t="shared" ref="W7:W15" si="2">J7</f>
        <v>0</v>
      </c>
      <c r="X7" s="772"/>
      <c r="Y7" s="3257" t="s">
        <v>2546</v>
      </c>
      <c r="Z7" s="3258"/>
      <c r="AA7" s="773" t="e">
        <f>D7/F7</f>
        <v>#DIV/0!</v>
      </c>
      <c r="AB7" s="773" t="e">
        <f>D7/H7</f>
        <v>#DIV/0!</v>
      </c>
      <c r="AC7" s="773" t="e">
        <f>D7/J7</f>
        <v>#DIV/0!</v>
      </c>
    </row>
    <row r="8" spans="1:29" s="117" customFormat="1" ht="15.75" thickBot="1">
      <c r="A8" s="408" t="s">
        <v>2547</v>
      </c>
      <c r="B8" s="409"/>
      <c r="C8" s="414" t="s">
        <v>2548</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57" t="s">
        <v>2549</v>
      </c>
      <c r="Q8" s="3258"/>
      <c r="R8" s="770" t="s">
        <v>23</v>
      </c>
      <c r="S8" s="771">
        <f t="shared" si="0"/>
        <v>0</v>
      </c>
      <c r="T8" s="770" t="s">
        <v>23</v>
      </c>
      <c r="U8" s="771">
        <f t="shared" si="1"/>
        <v>0</v>
      </c>
      <c r="V8" s="770" t="s">
        <v>23</v>
      </c>
      <c r="W8" s="771">
        <f t="shared" si="2"/>
        <v>0</v>
      </c>
      <c r="X8" s="772"/>
      <c r="Y8" s="3257" t="s">
        <v>2549</v>
      </c>
      <c r="Z8" s="3258"/>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71" t="s">
        <v>2552</v>
      </c>
      <c r="Q9" s="1798" t="str">
        <f t="shared" ref="Q9:Q15" si="6">B9</f>
        <v>用途</v>
      </c>
      <c r="R9" s="770" t="s">
        <v>17</v>
      </c>
      <c r="S9" s="771">
        <f t="shared" si="0"/>
        <v>100</v>
      </c>
      <c r="T9" s="770" t="s">
        <v>17</v>
      </c>
      <c r="U9" s="771">
        <f t="shared" si="1"/>
        <v>100</v>
      </c>
      <c r="V9" s="770" t="s">
        <v>17</v>
      </c>
      <c r="W9" s="771">
        <f t="shared" si="2"/>
        <v>100</v>
      </c>
      <c r="X9" s="772"/>
      <c r="Y9" s="3084"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71"/>
      <c r="Q10" s="1798"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71"/>
      <c r="Q11" s="1798" t="str">
        <f t="shared" si="6"/>
        <v>容积率</v>
      </c>
      <c r="R11" s="770" t="s">
        <v>21</v>
      </c>
      <c r="S11" s="771" t="e">
        <f t="shared" si="0"/>
        <v>#N/A</v>
      </c>
      <c r="T11" s="770" t="s">
        <v>21</v>
      </c>
      <c r="U11" s="771" t="e">
        <f t="shared" si="1"/>
        <v>#N/A</v>
      </c>
      <c r="V11" s="770" t="s">
        <v>21</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71"/>
      <c r="Q12" s="1798">
        <f t="shared" si="6"/>
        <v>111</v>
      </c>
      <c r="R12" s="770" t="s">
        <v>21</v>
      </c>
      <c r="S12" s="771">
        <f t="shared" si="0"/>
        <v>100</v>
      </c>
      <c r="T12" s="770" t="s">
        <v>21</v>
      </c>
      <c r="U12" s="771">
        <f t="shared" si="1"/>
        <v>100</v>
      </c>
      <c r="V12" s="770" t="s">
        <v>21</v>
      </c>
      <c r="W12" s="771">
        <f t="shared" si="2"/>
        <v>100</v>
      </c>
      <c r="X12" s="772"/>
      <c r="Y12" s="308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71"/>
      <c r="Q13" s="1798">
        <f t="shared" si="6"/>
        <v>111</v>
      </c>
      <c r="R13" s="770" t="s">
        <v>21</v>
      </c>
      <c r="S13" s="771">
        <f t="shared" si="0"/>
        <v>100</v>
      </c>
      <c r="T13" s="770" t="s">
        <v>21</v>
      </c>
      <c r="U13" s="771">
        <f t="shared" si="1"/>
        <v>100</v>
      </c>
      <c r="V13" s="770" t="s">
        <v>21</v>
      </c>
      <c r="W13" s="771">
        <f t="shared" si="2"/>
        <v>100</v>
      </c>
      <c r="X13" s="772"/>
      <c r="Y13" s="3084"/>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71"/>
      <c r="Q14" s="1798">
        <f t="shared" si="6"/>
        <v>111</v>
      </c>
      <c r="R14" s="770" t="s">
        <v>21</v>
      </c>
      <c r="S14" s="771">
        <f t="shared" si="0"/>
        <v>100</v>
      </c>
      <c r="T14" s="770" t="s">
        <v>21</v>
      </c>
      <c r="U14" s="771">
        <f t="shared" si="1"/>
        <v>100</v>
      </c>
      <c r="V14" s="770" t="s">
        <v>21</v>
      </c>
      <c r="W14" s="771">
        <f t="shared" si="2"/>
        <v>100</v>
      </c>
      <c r="X14" s="772"/>
      <c r="Y14" s="3084"/>
      <c r="Z14" s="55">
        <f t="shared" si="7"/>
        <v>111</v>
      </c>
      <c r="AA14" s="773">
        <f t="shared" si="3"/>
        <v>1</v>
      </c>
      <c r="AB14" s="773">
        <f t="shared" si="4"/>
        <v>1</v>
      </c>
      <c r="AC14" s="773">
        <f t="shared" si="5"/>
        <v>1</v>
      </c>
    </row>
    <row r="15" spans="1:29" ht="99.75">
      <c r="A15" s="440" t="s">
        <v>2556</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98" t="s">
        <v>2557</v>
      </c>
      <c r="Q15" s="1813" t="str">
        <f t="shared" si="6"/>
        <v>居住社区成熟度</v>
      </c>
      <c r="R15" s="774" t="s">
        <v>21</v>
      </c>
      <c r="S15" s="775">
        <f t="shared" si="0"/>
        <v>100</v>
      </c>
      <c r="T15" s="774" t="s">
        <v>21</v>
      </c>
      <c r="U15" s="775">
        <f t="shared" si="1"/>
        <v>100</v>
      </c>
      <c r="V15" s="774" t="s">
        <v>21</v>
      </c>
      <c r="W15" s="775">
        <f t="shared" si="2"/>
        <v>100</v>
      </c>
      <c r="X15" s="1816"/>
      <c r="Y15" s="3291" t="s">
        <v>2557</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99"/>
      <c r="Q16" s="1813"/>
      <c r="R16" s="774"/>
      <c r="S16" s="775"/>
      <c r="T16" s="774"/>
      <c r="U16" s="775"/>
      <c r="V16" s="774"/>
      <c r="W16" s="775"/>
      <c r="X16" s="1816"/>
      <c r="Y16" s="3292"/>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99"/>
      <c r="Q17" s="1813" t="str">
        <f>B17</f>
        <v>交通便捷度</v>
      </c>
      <c r="R17" s="774" t="s">
        <v>21</v>
      </c>
      <c r="S17" s="775">
        <f>F17</f>
        <v>100</v>
      </c>
      <c r="T17" s="774" t="s">
        <v>21</v>
      </c>
      <c r="U17" s="775">
        <f>H17</f>
        <v>100</v>
      </c>
      <c r="V17" s="774" t="s">
        <v>21</v>
      </c>
      <c r="W17" s="775">
        <f>J17</f>
        <v>100</v>
      </c>
      <c r="X17" s="1816"/>
      <c r="Y17" s="3292"/>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99"/>
      <c r="Q18" s="1813"/>
      <c r="R18" s="774"/>
      <c r="S18" s="775"/>
      <c r="T18" s="774"/>
      <c r="U18" s="775"/>
      <c r="V18" s="774"/>
      <c r="W18" s="775"/>
      <c r="X18" s="1816"/>
      <c r="Y18" s="3292"/>
      <c r="Z18" s="1817"/>
      <c r="AA18" s="1814">
        <v>1</v>
      </c>
      <c r="AB18" s="1814">
        <v>1</v>
      </c>
      <c r="AC18" s="1814">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99"/>
      <c r="Q19" s="1813" t="str">
        <f>B19</f>
        <v>公共配套设施</v>
      </c>
      <c r="R19" s="774" t="s">
        <v>21</v>
      </c>
      <c r="S19" s="775">
        <f>F19</f>
        <v>100</v>
      </c>
      <c r="T19" s="774" t="s">
        <v>21</v>
      </c>
      <c r="U19" s="775">
        <f>H19</f>
        <v>100</v>
      </c>
      <c r="V19" s="774" t="s">
        <v>21</v>
      </c>
      <c r="W19" s="775">
        <f>J19</f>
        <v>100</v>
      </c>
      <c r="X19" s="1816"/>
      <c r="Y19" s="3292"/>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99"/>
      <c r="Q20" s="1813"/>
      <c r="R20" s="774"/>
      <c r="S20" s="775"/>
      <c r="T20" s="774"/>
      <c r="U20" s="775"/>
      <c r="V20" s="774"/>
      <c r="W20" s="775"/>
      <c r="X20" s="1816"/>
      <c r="Y20" s="3292"/>
      <c r="Z20" s="1817"/>
      <c r="AA20" s="1814">
        <v>1</v>
      </c>
      <c r="AB20" s="1814">
        <v>1</v>
      </c>
      <c r="AC20" s="1814">
        <v>1</v>
      </c>
    </row>
    <row r="21" spans="1:29" ht="28.5">
      <c r="A21" s="428"/>
      <c r="B21" s="1387"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99"/>
      <c r="Q21" s="1813" t="str">
        <f>B21</f>
        <v>基础设施水平</v>
      </c>
      <c r="R21" s="774" t="s">
        <v>17</v>
      </c>
      <c r="S21" s="775">
        <f>F21</f>
        <v>100</v>
      </c>
      <c r="T21" s="774" t="s">
        <v>17</v>
      </c>
      <c r="U21" s="775">
        <f>H21</f>
        <v>100</v>
      </c>
      <c r="V21" s="774" t="s">
        <v>17</v>
      </c>
      <c r="W21" s="775">
        <f>J21</f>
        <v>100</v>
      </c>
      <c r="X21" s="1816"/>
      <c r="Y21" s="3292"/>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99"/>
      <c r="Q22" s="1813"/>
      <c r="R22" s="774"/>
      <c r="S22" s="775"/>
      <c r="T22" s="774"/>
      <c r="U22" s="775"/>
      <c r="V22" s="774"/>
      <c r="W22" s="775"/>
      <c r="X22" s="1816"/>
      <c r="Y22" s="3292"/>
      <c r="Z22" s="1817"/>
      <c r="AA22" s="1814">
        <v>1</v>
      </c>
      <c r="AB22" s="1814">
        <v>1</v>
      </c>
      <c r="AC22" s="1814">
        <v>1</v>
      </c>
    </row>
    <row r="23" spans="1:29" ht="57">
      <c r="A23" s="428"/>
      <c r="B23" s="451" t="s">
        <v>2099</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99"/>
      <c r="Q23" s="1813" t="str">
        <f>B23</f>
        <v>自然及人文环境</v>
      </c>
      <c r="R23" s="774" t="s">
        <v>21</v>
      </c>
      <c r="S23" s="775">
        <f>F23</f>
        <v>100</v>
      </c>
      <c r="T23" s="774" t="s">
        <v>21</v>
      </c>
      <c r="U23" s="775">
        <f>H23</f>
        <v>100</v>
      </c>
      <c r="V23" s="774" t="s">
        <v>21</v>
      </c>
      <c r="W23" s="775">
        <f>J23</f>
        <v>100</v>
      </c>
      <c r="X23" s="1816"/>
      <c r="Y23" s="3292"/>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99"/>
      <c r="Q24" s="1813"/>
      <c r="R24" s="774"/>
      <c r="S24" s="775"/>
      <c r="T24" s="774"/>
      <c r="U24" s="775"/>
      <c r="V24" s="774"/>
      <c r="W24" s="775"/>
      <c r="X24" s="1816"/>
      <c r="Y24" s="3292"/>
      <c r="Z24" s="1817"/>
      <c r="AA24" s="1814">
        <v>1</v>
      </c>
      <c r="AB24" s="1814">
        <v>1</v>
      </c>
      <c r="AC24" s="1814">
        <v>1</v>
      </c>
    </row>
    <row r="25" spans="1:29" ht="15">
      <c r="A25" s="428"/>
      <c r="B25" s="422" t="s">
        <v>2558</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9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92"/>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99"/>
      <c r="Q26" s="1813" t="str">
        <f t="shared" si="11"/>
        <v>朝向</v>
      </c>
      <c r="R26" s="774" t="s">
        <v>21</v>
      </c>
      <c r="S26" s="775">
        <f t="shared" si="12"/>
        <v>100</v>
      </c>
      <c r="T26" s="774" t="s">
        <v>21</v>
      </c>
      <c r="U26" s="775">
        <f t="shared" si="13"/>
        <v>100</v>
      </c>
      <c r="V26" s="774" t="s">
        <v>21</v>
      </c>
      <c r="W26" s="775">
        <f t="shared" si="14"/>
        <v>100</v>
      </c>
      <c r="X26" s="1816"/>
      <c r="Y26" s="329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99"/>
      <c r="Q27" s="1798">
        <f t="shared" si="11"/>
        <v>111</v>
      </c>
      <c r="R27" s="770" t="s">
        <v>21</v>
      </c>
      <c r="S27" s="771">
        <f t="shared" si="12"/>
        <v>100</v>
      </c>
      <c r="T27" s="770" t="s">
        <v>21</v>
      </c>
      <c r="U27" s="771">
        <f t="shared" si="13"/>
        <v>100</v>
      </c>
      <c r="V27" s="770" t="s">
        <v>21</v>
      </c>
      <c r="W27" s="771">
        <f t="shared" si="14"/>
        <v>100</v>
      </c>
      <c r="X27" s="772"/>
      <c r="Y27" s="329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99"/>
      <c r="Q28" s="1813">
        <f t="shared" si="11"/>
        <v>111</v>
      </c>
      <c r="R28" s="774" t="s">
        <v>21</v>
      </c>
      <c r="S28" s="775">
        <f t="shared" si="12"/>
        <v>100</v>
      </c>
      <c r="T28" s="774" t="s">
        <v>21</v>
      </c>
      <c r="U28" s="775">
        <f t="shared" si="13"/>
        <v>100</v>
      </c>
      <c r="V28" s="774" t="s">
        <v>21</v>
      </c>
      <c r="W28" s="775">
        <f t="shared" si="14"/>
        <v>100</v>
      </c>
      <c r="X28" s="1816"/>
      <c r="Y28" s="329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99"/>
      <c r="Q29" s="1813">
        <f t="shared" si="11"/>
        <v>111</v>
      </c>
      <c r="R29" s="774" t="s">
        <v>21</v>
      </c>
      <c r="S29" s="775">
        <f t="shared" si="12"/>
        <v>100</v>
      </c>
      <c r="T29" s="774" t="s">
        <v>21</v>
      </c>
      <c r="U29" s="775">
        <f t="shared" si="13"/>
        <v>100</v>
      </c>
      <c r="V29" s="774" t="s">
        <v>21</v>
      </c>
      <c r="W29" s="775">
        <f t="shared" si="14"/>
        <v>100</v>
      </c>
      <c r="X29" s="1816"/>
      <c r="Y29" s="329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99"/>
      <c r="Q30" s="1813">
        <f t="shared" si="11"/>
        <v>111</v>
      </c>
      <c r="R30" s="774" t="s">
        <v>21</v>
      </c>
      <c r="S30" s="775">
        <f t="shared" si="12"/>
        <v>100</v>
      </c>
      <c r="T30" s="774" t="s">
        <v>21</v>
      </c>
      <c r="U30" s="775">
        <f t="shared" si="13"/>
        <v>100</v>
      </c>
      <c r="V30" s="774" t="s">
        <v>21</v>
      </c>
      <c r="W30" s="775">
        <f t="shared" si="14"/>
        <v>100</v>
      </c>
      <c r="X30" s="1816"/>
      <c r="Y30" s="329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99"/>
      <c r="Q31" s="1813">
        <f t="shared" si="11"/>
        <v>111</v>
      </c>
      <c r="R31" s="774" t="s">
        <v>21</v>
      </c>
      <c r="S31" s="775">
        <f t="shared" si="12"/>
        <v>100</v>
      </c>
      <c r="T31" s="774" t="s">
        <v>21</v>
      </c>
      <c r="U31" s="775">
        <f t="shared" si="13"/>
        <v>100</v>
      </c>
      <c r="V31" s="774" t="s">
        <v>21</v>
      </c>
      <c r="W31" s="775">
        <f t="shared" si="14"/>
        <v>100</v>
      </c>
      <c r="X31" s="1816"/>
      <c r="Y31" s="3292"/>
      <c r="Z31" s="1817">
        <f t="shared" si="18"/>
        <v>111</v>
      </c>
      <c r="AA31" s="1814">
        <f t="shared" si="15"/>
        <v>1</v>
      </c>
      <c r="AB31" s="1814">
        <f t="shared" si="16"/>
        <v>1</v>
      </c>
      <c r="AC31" s="1814">
        <f t="shared" si="17"/>
        <v>1</v>
      </c>
    </row>
    <row r="32" spans="1:29" ht="15">
      <c r="A32" s="440" t="s">
        <v>2560</v>
      </c>
      <c r="B32" s="71" t="s">
        <v>2561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93" t="s">
        <v>2562</v>
      </c>
      <c r="Q32" s="1813" t="str">
        <f t="shared" si="11"/>
        <v>建筑类型</v>
      </c>
      <c r="R32" s="774" t="s">
        <v>21</v>
      </c>
      <c r="S32" s="775">
        <f t="shared" si="12"/>
        <v>100</v>
      </c>
      <c r="T32" s="774" t="s">
        <v>21</v>
      </c>
      <c r="U32" s="775">
        <f t="shared" si="13"/>
        <v>100</v>
      </c>
      <c r="V32" s="774" t="s">
        <v>21</v>
      </c>
      <c r="W32" s="775">
        <f t="shared" si="14"/>
        <v>100</v>
      </c>
      <c r="X32" s="1816"/>
      <c r="Y32" s="3296"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94"/>
      <c r="Q33" s="776" t="str">
        <f t="shared" si="11"/>
        <v>项目建筑规模</v>
      </c>
      <c r="R33" s="777" t="s">
        <v>21</v>
      </c>
      <c r="S33" s="778" t="e">
        <f t="shared" si="12"/>
        <v>#N/A</v>
      </c>
      <c r="T33" s="777" t="s">
        <v>21</v>
      </c>
      <c r="U33" s="778" t="e">
        <f t="shared" si="13"/>
        <v>#N/A</v>
      </c>
      <c r="V33" s="777" t="s">
        <v>21</v>
      </c>
      <c r="W33" s="778" t="e">
        <f t="shared" si="14"/>
        <v>#N/A</v>
      </c>
      <c r="X33" s="779"/>
      <c r="Y33" s="3296"/>
      <c r="Z33" s="780" t="str">
        <f t="shared" si="18"/>
        <v>项目建筑规模</v>
      </c>
      <c r="AA33" s="1814" t="e">
        <f t="shared" si="15"/>
        <v>#N/A</v>
      </c>
      <c r="AB33" s="1814" t="e">
        <f t="shared" si="16"/>
        <v>#N/A</v>
      </c>
      <c r="AC33" s="1814" t="e">
        <f t="shared" si="17"/>
        <v>#N/A</v>
      </c>
    </row>
    <row r="34" spans="1:29" ht="15">
      <c r="A34" s="472"/>
      <c r="B34" s="422" t="s">
        <v>2564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94"/>
      <c r="Q34" s="1813" t="str">
        <f t="shared" si="11"/>
        <v>建筑结构</v>
      </c>
      <c r="R34" s="774" t="s">
        <v>21</v>
      </c>
      <c r="S34" s="775">
        <f t="shared" si="12"/>
        <v>100</v>
      </c>
      <c r="T34" s="774" t="s">
        <v>21</v>
      </c>
      <c r="U34" s="775">
        <f t="shared" si="13"/>
        <v>100</v>
      </c>
      <c r="V34" s="774" t="s">
        <v>21</v>
      </c>
      <c r="W34" s="775">
        <f t="shared" si="14"/>
        <v>100</v>
      </c>
      <c r="X34" s="1816"/>
      <c r="Y34" s="3296"/>
      <c r="Z34" s="1817" t="str">
        <f t="shared" si="18"/>
        <v>建筑结构</v>
      </c>
      <c r="AA34" s="1814">
        <f t="shared" si="15"/>
        <v>1</v>
      </c>
      <c r="AB34" s="1814">
        <f t="shared" si="16"/>
        <v>1</v>
      </c>
      <c r="AC34" s="1814">
        <f t="shared" si="17"/>
        <v>1</v>
      </c>
    </row>
    <row r="35" spans="1:29" ht="15">
      <c r="A35" s="472"/>
      <c r="B35" s="422" t="s">
        <v>2565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94"/>
      <c r="Q35" s="1813" t="str">
        <f t="shared" si="11"/>
        <v>建筑品质</v>
      </c>
      <c r="R35" s="774" t="s">
        <v>21</v>
      </c>
      <c r="S35" s="775">
        <f t="shared" si="12"/>
        <v>100</v>
      </c>
      <c r="T35" s="774" t="s">
        <v>21</v>
      </c>
      <c r="U35" s="775">
        <f t="shared" si="13"/>
        <v>100</v>
      </c>
      <c r="V35" s="774" t="s">
        <v>21</v>
      </c>
      <c r="W35" s="775">
        <f t="shared" si="14"/>
        <v>100</v>
      </c>
      <c r="X35" s="1816"/>
      <c r="Y35" s="3296"/>
      <c r="Z35" s="1817" t="str">
        <f t="shared" si="18"/>
        <v>建筑品质</v>
      </c>
      <c r="AA35" s="1814">
        <f t="shared" si="15"/>
        <v>1</v>
      </c>
      <c r="AB35" s="1814">
        <f t="shared" si="16"/>
        <v>1</v>
      </c>
      <c r="AC35" s="1814">
        <f t="shared" si="17"/>
        <v>1</v>
      </c>
    </row>
    <row r="36" spans="1:29" ht="15">
      <c r="A36" s="472"/>
      <c r="B36" s="422" t="s">
        <v>2566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94"/>
      <c r="Q36" s="1813" t="str">
        <f t="shared" si="11"/>
        <v>公共部分装修</v>
      </c>
      <c r="R36" s="774" t="s">
        <v>21</v>
      </c>
      <c r="S36" s="775">
        <f t="shared" si="12"/>
        <v>100</v>
      </c>
      <c r="T36" s="774" t="s">
        <v>21</v>
      </c>
      <c r="U36" s="775">
        <f t="shared" si="13"/>
        <v>100</v>
      </c>
      <c r="V36" s="774" t="s">
        <v>21</v>
      </c>
      <c r="W36" s="775">
        <f t="shared" si="14"/>
        <v>100</v>
      </c>
      <c r="X36" s="1816"/>
      <c r="Y36" s="3296"/>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94"/>
      <c r="Q37" s="1798" t="str">
        <f t="shared" si="11"/>
        <v>成新度</v>
      </c>
      <c r="R37" s="770" t="s">
        <v>21</v>
      </c>
      <c r="S37" s="771" t="e">
        <f t="shared" si="12"/>
        <v>#N/A</v>
      </c>
      <c r="T37" s="770" t="s">
        <v>21</v>
      </c>
      <c r="U37" s="771" t="e">
        <f t="shared" si="13"/>
        <v>#N/A</v>
      </c>
      <c r="V37" s="770" t="s">
        <v>21</v>
      </c>
      <c r="W37" s="771" t="e">
        <f t="shared" si="14"/>
        <v>#N/A</v>
      </c>
      <c r="X37" s="772"/>
      <c r="Y37" s="3296"/>
      <c r="Z37" s="55" t="str">
        <f t="shared" si="18"/>
        <v>成新度</v>
      </c>
      <c r="AA37" s="773" t="e">
        <f t="shared" si="15"/>
        <v>#N/A</v>
      </c>
      <c r="AB37" s="773" t="e">
        <f t="shared" si="16"/>
        <v>#N/A</v>
      </c>
      <c r="AC37" s="773" t="e">
        <f t="shared" si="17"/>
        <v>#N/A</v>
      </c>
    </row>
    <row r="38" spans="1:29" ht="15">
      <c r="A38" s="472"/>
      <c r="B38" s="422" t="s">
        <v>2568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94" t="s">
        <v>2562</v>
      </c>
      <c r="Q38" s="1813" t="str">
        <f t="shared" si="11"/>
        <v>物业管理</v>
      </c>
      <c r="R38" s="774" t="s">
        <v>21</v>
      </c>
      <c r="S38" s="775">
        <f t="shared" si="12"/>
        <v>100</v>
      </c>
      <c r="T38" s="774" t="s">
        <v>21</v>
      </c>
      <c r="U38" s="775">
        <f t="shared" si="13"/>
        <v>100</v>
      </c>
      <c r="V38" s="774" t="s">
        <v>21</v>
      </c>
      <c r="W38" s="775">
        <f t="shared" si="14"/>
        <v>100</v>
      </c>
      <c r="X38" s="1816"/>
      <c r="Y38" s="3296" t="s">
        <v>2562</v>
      </c>
      <c r="Z38" s="1817" t="str">
        <f t="shared" si="18"/>
        <v>物业管理</v>
      </c>
      <c r="AA38" s="1814">
        <f t="shared" si="15"/>
        <v>1</v>
      </c>
      <c r="AB38" s="1814">
        <f t="shared" si="16"/>
        <v>1</v>
      </c>
      <c r="AC38" s="1814">
        <f t="shared" si="17"/>
        <v>1</v>
      </c>
    </row>
    <row r="39" spans="1:29" ht="15">
      <c r="A39" s="472"/>
      <c r="B39" s="422" t="s">
        <v>2569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94"/>
      <c r="Q39" s="1813" t="str">
        <f t="shared" si="11"/>
        <v>市政基础设施</v>
      </c>
      <c r="R39" s="774" t="s">
        <v>21</v>
      </c>
      <c r="S39" s="775">
        <f t="shared" si="12"/>
        <v>100</v>
      </c>
      <c r="T39" s="774" t="s">
        <v>21</v>
      </c>
      <c r="U39" s="775">
        <f t="shared" si="13"/>
        <v>100</v>
      </c>
      <c r="V39" s="774" t="s">
        <v>21</v>
      </c>
      <c r="W39" s="775">
        <f t="shared" si="14"/>
        <v>100</v>
      </c>
      <c r="X39" s="1816"/>
      <c r="Y39" s="3296"/>
      <c r="Z39" s="1817" t="str">
        <f t="shared" si="18"/>
        <v>市政基础设施</v>
      </c>
      <c r="AA39" s="1814">
        <f t="shared" si="15"/>
        <v>1</v>
      </c>
      <c r="AB39" s="1814">
        <f t="shared" si="16"/>
        <v>1</v>
      </c>
      <c r="AC39" s="1814">
        <f t="shared" si="17"/>
        <v>1</v>
      </c>
    </row>
    <row r="40" spans="1:29" ht="15">
      <c r="A40" s="472"/>
      <c r="B40" s="422" t="s">
        <v>2570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94"/>
      <c r="Q40" s="1813" t="str">
        <f t="shared" si="11"/>
        <v>房型</v>
      </c>
      <c r="R40" s="774" t="s">
        <v>21</v>
      </c>
      <c r="S40" s="775">
        <f t="shared" si="12"/>
        <v>100</v>
      </c>
      <c r="T40" s="774" t="s">
        <v>21</v>
      </c>
      <c r="U40" s="775">
        <f t="shared" si="13"/>
        <v>100</v>
      </c>
      <c r="V40" s="774" t="s">
        <v>21</v>
      </c>
      <c r="W40" s="775">
        <f t="shared" si="14"/>
        <v>100</v>
      </c>
      <c r="X40" s="1816"/>
      <c r="Y40" s="3296"/>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94"/>
      <c r="Q41" s="776" t="str">
        <f t="shared" si="11"/>
        <v>单套/主力户型建筑面积</v>
      </c>
      <c r="R41" s="777" t="s">
        <v>21</v>
      </c>
      <c r="S41" s="778">
        <f t="shared" si="12"/>
        <v>100</v>
      </c>
      <c r="T41" s="777" t="s">
        <v>21</v>
      </c>
      <c r="U41" s="778">
        <f t="shared" si="13"/>
        <v>100</v>
      </c>
      <c r="V41" s="777" t="s">
        <v>21</v>
      </c>
      <c r="W41" s="778">
        <f t="shared" si="14"/>
        <v>100</v>
      </c>
      <c r="X41" s="779"/>
      <c r="Y41" s="3296"/>
      <c r="Z41" s="780" t="str">
        <f t="shared" si="18"/>
        <v>单套/主力户型建筑面积</v>
      </c>
      <c r="AA41" s="1814">
        <f t="shared" si="15"/>
        <v>1</v>
      </c>
      <c r="AB41" s="1814">
        <f t="shared" si="16"/>
        <v>1</v>
      </c>
      <c r="AC41" s="1814">
        <f t="shared" si="17"/>
        <v>1</v>
      </c>
    </row>
    <row r="42" spans="1:29" ht="15">
      <c r="A42" s="472"/>
      <c r="B42" s="422" t="s">
        <v>2572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94"/>
      <c r="Q42" s="1813" t="str">
        <f t="shared" si="11"/>
        <v>内部装修</v>
      </c>
      <c r="R42" s="774" t="s">
        <v>21</v>
      </c>
      <c r="S42" s="775">
        <f t="shared" si="12"/>
        <v>100</v>
      </c>
      <c r="T42" s="774" t="s">
        <v>21</v>
      </c>
      <c r="U42" s="775">
        <f t="shared" si="13"/>
        <v>100</v>
      </c>
      <c r="V42" s="774" t="s">
        <v>21</v>
      </c>
      <c r="W42" s="775">
        <f t="shared" si="14"/>
        <v>100</v>
      </c>
      <c r="X42" s="1816"/>
      <c r="Y42" s="3296"/>
      <c r="Z42" s="1817" t="str">
        <f t="shared" si="18"/>
        <v>内部装修</v>
      </c>
      <c r="AA42" s="1814">
        <f t="shared" si="15"/>
        <v>1</v>
      </c>
      <c r="AB42" s="1814">
        <f t="shared" si="16"/>
        <v>1</v>
      </c>
      <c r="AC42" s="1814">
        <f t="shared" si="17"/>
        <v>1</v>
      </c>
    </row>
    <row r="43" spans="1:29" ht="15">
      <c r="A43" s="472"/>
      <c r="B43" s="422" t="s">
        <v>2573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94"/>
      <c r="Q43" s="1813" t="str">
        <f t="shared" si="11"/>
        <v>内部装修维护情况</v>
      </c>
      <c r="R43" s="774" t="s">
        <v>21</v>
      </c>
      <c r="S43" s="775">
        <f t="shared" si="12"/>
        <v>100</v>
      </c>
      <c r="T43" s="774" t="s">
        <v>21</v>
      </c>
      <c r="U43" s="775">
        <f t="shared" si="13"/>
        <v>100</v>
      </c>
      <c r="V43" s="774" t="s">
        <v>21</v>
      </c>
      <c r="W43" s="775">
        <f t="shared" si="14"/>
        <v>100</v>
      </c>
      <c r="X43" s="1816"/>
      <c r="Y43" s="329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94"/>
      <c r="Q44" s="1798">
        <f t="shared" si="11"/>
        <v>111</v>
      </c>
      <c r="R44" s="770" t="s">
        <v>21</v>
      </c>
      <c r="S44" s="771">
        <f t="shared" si="12"/>
        <v>100</v>
      </c>
      <c r="T44" s="770" t="s">
        <v>21</v>
      </c>
      <c r="U44" s="771">
        <f t="shared" si="13"/>
        <v>100</v>
      </c>
      <c r="V44" s="770" t="s">
        <v>21</v>
      </c>
      <c r="W44" s="771">
        <f t="shared" si="14"/>
        <v>100</v>
      </c>
      <c r="X44" s="772"/>
      <c r="Y44" s="329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94"/>
      <c r="Q45" s="1813">
        <f t="shared" si="11"/>
        <v>111</v>
      </c>
      <c r="R45" s="774" t="s">
        <v>21</v>
      </c>
      <c r="S45" s="775">
        <f t="shared" si="12"/>
        <v>100</v>
      </c>
      <c r="T45" s="774" t="s">
        <v>21</v>
      </c>
      <c r="U45" s="775">
        <f t="shared" si="13"/>
        <v>100</v>
      </c>
      <c r="V45" s="774" t="s">
        <v>21</v>
      </c>
      <c r="W45" s="775">
        <f t="shared" si="14"/>
        <v>100</v>
      </c>
      <c r="X45" s="1816"/>
      <c r="Y45" s="3296"/>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95"/>
      <c r="Q46" s="1813">
        <f t="shared" si="11"/>
        <v>111</v>
      </c>
      <c r="R46" s="774" t="s">
        <v>20</v>
      </c>
      <c r="S46" s="775">
        <f t="shared" si="12"/>
        <v>100</v>
      </c>
      <c r="T46" s="774" t="s">
        <v>20</v>
      </c>
      <c r="U46" s="775">
        <f t="shared" si="13"/>
        <v>100</v>
      </c>
      <c r="V46" s="774" t="s">
        <v>20</v>
      </c>
      <c r="W46" s="775">
        <f t="shared" si="14"/>
        <v>100</v>
      </c>
      <c r="X46" s="1816"/>
      <c r="Y46" s="3297"/>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4"/>
      <c r="L47" s="1146"/>
      <c r="M47" s="1147"/>
      <c r="N47" s="1134"/>
      <c r="O47" s="1147"/>
      <c r="P47" s="3289" t="str">
        <f>A47</f>
        <v>成交单价（元/平方米）</v>
      </c>
      <c r="Q47" s="3289"/>
      <c r="R47" s="3290">
        <f>E47</f>
        <v>0</v>
      </c>
      <c r="S47" s="3290"/>
      <c r="T47" s="3290">
        <f>G47</f>
        <v>0</v>
      </c>
      <c r="U47" s="3290"/>
      <c r="V47" s="3290">
        <f>I47</f>
        <v>0</v>
      </c>
      <c r="W47" s="3290"/>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5"/>
      <c r="L48" s="1146"/>
      <c r="M48" s="1147"/>
      <c r="N48" s="1147"/>
      <c r="O48" s="1147"/>
      <c r="P48" s="3289" t="str">
        <f>A48</f>
        <v>比较价值（元/平方米）</v>
      </c>
      <c r="Q48" s="3289"/>
      <c r="R48" s="3290" t="e">
        <f>IF(F1="售价",ROUND(PRODUCT(R47,AA7:AA46),0),ROUND(PRODUCT(R47,AA7:AA46),1))</f>
        <v>#DIV/0!</v>
      </c>
      <c r="S48" s="3290"/>
      <c r="T48" s="3290" t="e">
        <f>IF(F1="售价",ROUND(PRODUCT(T47,AB7:AB46),0),ROUND(PRODUCT(T47,AB7:AB46),1))</f>
        <v>#DIV/0!</v>
      </c>
      <c r="U48" s="3290"/>
      <c r="V48" s="3290" t="e">
        <f>IF(F1="售价",ROUND(PRODUCT(V47,AC7:AC46),0),ROUND(PRODUCT(V47,AC7:AC46),1))</f>
        <v>#DIV/0!</v>
      </c>
      <c r="W48" s="3290"/>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6"/>
      <c r="L49" s="1146"/>
      <c r="M49" s="1147"/>
      <c r="N49" s="1147"/>
      <c r="O49" s="1147"/>
      <c r="P49" s="3286" t="str">
        <f>A49</f>
        <v>估价对象XX用房的比较价值（楼面单价，元/平方米）</v>
      </c>
      <c r="Q49" s="3287"/>
      <c r="R49" s="3288" t="e">
        <f>IF(F1="售价",ROUND(AVERAGE(R48:V48),0),ROUND(AVERAGE(R48:V48),1))</f>
        <v>#DIV/0!</v>
      </c>
      <c r="S49" s="3288"/>
      <c r="T49" s="3288"/>
      <c r="U49" s="3288"/>
      <c r="V49" s="3288"/>
      <c r="W49" s="32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9"/>
      <c r="Q57" s="504"/>
    </row>
    <row r="58" spans="1:29" s="508" customFormat="1" ht="15">
      <c r="A58" s="505" t="s">
        <v>2581</v>
      </c>
      <c r="B58" s="506"/>
      <c r="C58" s="1579" t="str">
        <f>YEAR(C7)&amp;"-"&amp;MONTH(C7)</f>
        <v>2017-12</v>
      </c>
      <c r="D58" s="1578">
        <f>EDATE(C58,-1)</f>
        <v>43040</v>
      </c>
      <c r="E58" s="1578">
        <f>EDATE(D58,-1)</f>
        <v>43009</v>
      </c>
      <c r="F58" s="1578">
        <f t="shared" ref="F58:O58" si="19">EDATE(E58,-1)</f>
        <v>42979</v>
      </c>
      <c r="G58" s="1578">
        <f t="shared" si="19"/>
        <v>42948</v>
      </c>
      <c r="H58" s="1578">
        <f t="shared" si="19"/>
        <v>42917</v>
      </c>
      <c r="I58" s="1578">
        <f t="shared" si="19"/>
        <v>42887</v>
      </c>
      <c r="J58" s="1578">
        <f t="shared" si="19"/>
        <v>42856</v>
      </c>
      <c r="K58" s="1578">
        <f t="shared" si="19"/>
        <v>42826</v>
      </c>
      <c r="L58" s="1578">
        <f t="shared" si="19"/>
        <v>42795</v>
      </c>
      <c r="M58" s="1578">
        <f t="shared" si="19"/>
        <v>42767</v>
      </c>
      <c r="N58" s="1578">
        <f t="shared" si="19"/>
        <v>42736</v>
      </c>
      <c r="O58" s="1578">
        <f t="shared" si="19"/>
        <v>42705</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2583</v>
      </c>
      <c r="B61" s="510"/>
      <c r="C61" s="522" t="s">
        <v>2584</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2601</v>
      </c>
      <c r="D82" s="539" t="s">
        <v>2602</v>
      </c>
      <c r="E82" s="539" t="s">
        <v>2603</v>
      </c>
      <c r="F82" s="539" t="s">
        <v>2604</v>
      </c>
      <c r="G82" s="539" t="s">
        <v>2605</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2608</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2560</v>
      </c>
      <c r="B100" s="528" t="s">
        <v>2609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2612</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2613</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2614</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2615</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2616</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7">
        <v>6</v>
      </c>
      <c r="C139" s="1088">
        <v>96</v>
      </c>
      <c r="D139" s="2651" t="s">
        <v>2628</v>
      </c>
      <c r="E139" s="1089">
        <v>100</v>
      </c>
      <c r="F139" s="1090">
        <v>102.5</v>
      </c>
      <c r="G139" s="2651" t="s">
        <v>2628</v>
      </c>
      <c r="H139" s="1091">
        <v>105</v>
      </c>
      <c r="I139" s="2652" t="s">
        <v>2629</v>
      </c>
      <c r="J139" s="1088">
        <v>20</v>
      </c>
      <c r="K139" s="1092">
        <f>C145/(J139-2)</f>
        <v>4.0555555555555553E-3</v>
      </c>
    </row>
    <row r="140" spans="1:17" ht="15">
      <c r="B140" s="1093">
        <v>5</v>
      </c>
      <c r="C140" s="1094">
        <v>100</v>
      </c>
      <c r="D140" s="1094"/>
      <c r="E140" s="1095"/>
      <c r="F140" s="1096">
        <v>102</v>
      </c>
      <c r="G140" s="1094"/>
      <c r="H140" s="1097"/>
      <c r="I140" s="2653" t="s">
        <v>2630</v>
      </c>
      <c r="J140" s="315">
        <f>ROUNDUP((J139-1)/2,0)</f>
        <v>10</v>
      </c>
      <c r="K140" s="1098">
        <v>100</v>
      </c>
    </row>
    <row r="141" spans="1:17" ht="15">
      <c r="B141" s="1093">
        <v>4</v>
      </c>
      <c r="C141" s="1094">
        <v>102</v>
      </c>
      <c r="D141" s="1094"/>
      <c r="E141" s="1095"/>
      <c r="F141" s="1096">
        <v>101.5</v>
      </c>
      <c r="G141" s="1094"/>
      <c r="H141" s="1097"/>
      <c r="I141" s="2653" t="s">
        <v>2631</v>
      </c>
      <c r="J141" s="315">
        <v>1</v>
      </c>
      <c r="K141" s="1099">
        <f>ROUND(100+(J141-J140)*K139*100,1)</f>
        <v>96.4</v>
      </c>
    </row>
    <row r="142" spans="1:17" ht="15">
      <c r="B142" s="1093">
        <v>3</v>
      </c>
      <c r="C142" s="1094">
        <v>103</v>
      </c>
      <c r="D142" s="1094"/>
      <c r="E142" s="1095"/>
      <c r="F142" s="1096">
        <v>101</v>
      </c>
      <c r="G142" s="1094"/>
      <c r="H142" s="1097"/>
      <c r="I142" s="2653" t="s">
        <v>2632</v>
      </c>
      <c r="J142" s="315">
        <f>J139</f>
        <v>20</v>
      </c>
      <c r="K142" s="1100">
        <v>95</v>
      </c>
    </row>
    <row r="143" spans="1:17" ht="15">
      <c r="B143" s="1093">
        <v>2</v>
      </c>
      <c r="C143" s="1094">
        <v>100</v>
      </c>
      <c r="D143" s="1094"/>
      <c r="E143" s="1095"/>
      <c r="F143" s="1096">
        <v>100.5</v>
      </c>
      <c r="G143" s="1094"/>
      <c r="H143" s="1097"/>
      <c r="I143" s="2653" t="s">
        <v>2633</v>
      </c>
      <c r="J143" s="1094">
        <v>15</v>
      </c>
      <c r="K143" s="1099">
        <f>ROUND(100+(J143-J140)*K139*100,1)</f>
        <v>102</v>
      </c>
    </row>
    <row r="144" spans="1:17" ht="15">
      <c r="B144" s="1093">
        <v>1</v>
      </c>
      <c r="C144" s="1094">
        <v>98</v>
      </c>
      <c r="D144" s="2654" t="s">
        <v>2634</v>
      </c>
      <c r="E144" s="1095">
        <v>102</v>
      </c>
      <c r="F144" s="1101">
        <v>100</v>
      </c>
      <c r="G144" s="2654" t="s">
        <v>2634</v>
      </c>
      <c r="H144" s="1097">
        <v>105</v>
      </c>
      <c r="I144" s="2653" t="s">
        <v>2633</v>
      </c>
      <c r="J144" s="1094">
        <v>18</v>
      </c>
      <c r="K144" s="1099">
        <f>ROUND(100+(J144-J140)*K139*100,1)</f>
        <v>103.2</v>
      </c>
    </row>
    <row r="145" spans="2:11" ht="15.75" thickBot="1">
      <c r="B145" s="2655" t="s">
        <v>2635</v>
      </c>
      <c r="C145" s="1102">
        <f>ROUND(MAX(C139:C144)/MIN(C139:C144)-1,3)</f>
        <v>7.2999999999999995E-2</v>
      </c>
      <c r="D145" s="1103"/>
      <c r="E145" s="1103"/>
      <c r="F145" s="2656" t="s">
        <v>2636</v>
      </c>
      <c r="G145" s="2657"/>
      <c r="H145" s="2658"/>
      <c r="I145" s="2659" t="s">
        <v>2633</v>
      </c>
      <c r="J145" s="1104">
        <v>8</v>
      </c>
      <c r="K145" s="1105">
        <f>ROUND(100+(J145-J140)*K139*100,1)</f>
        <v>99.2</v>
      </c>
    </row>
    <row r="147" spans="2:11">
      <c r="B147" s="2640" t="s">
        <v>2637</v>
      </c>
    </row>
    <row r="148" spans="2:11">
      <c r="B148" s="2640"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2639</v>
      </c>
      <c r="C1" s="1637" t="s">
        <v>2527</v>
      </c>
      <c r="D1" s="1624"/>
      <c r="E1" s="2660"/>
      <c r="F1" s="2587"/>
      <c r="G1" s="1634" t="s">
        <v>2640</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2324</v>
      </c>
      <c r="B2" s="1421" t="e">
        <f ca="1">IF(C2="——",ROUND(C49*D3/10000,0),ROUND(C49*D3/10000,0)-D2)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2326</v>
      </c>
      <c r="B3" s="609" t="e">
        <f ca="1">IF(C2="——",C49,ROUND(B2*10000/D3,0))</f>
        <v>#DIV/0!</v>
      </c>
      <c r="C3" s="400" t="s">
        <v>2641</v>
      </c>
      <c r="D3" s="399">
        <f>IF(D1="",'数据-汇总表'!E3,SUMIF('数据-汇总表'!$C19:$C33,D1,'数据-汇总表'!$E19:$E33))</f>
        <v>21214.79</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2642</v>
      </c>
      <c r="B4" s="402"/>
      <c r="C4" s="3272" t="s">
        <v>2643</v>
      </c>
      <c r="D4" s="3273"/>
      <c r="E4" s="3274" t="s">
        <v>2644</v>
      </c>
      <c r="F4" s="3275"/>
      <c r="G4" s="3272" t="s">
        <v>2645</v>
      </c>
      <c r="H4" s="3273"/>
      <c r="I4" s="3272" t="s">
        <v>2646</v>
      </c>
      <c r="J4" s="3273"/>
      <c r="K4" s="610" t="s">
        <v>2647</v>
      </c>
      <c r="L4" s="1133"/>
      <c r="M4" s="1134"/>
      <c r="N4" s="1134"/>
      <c r="O4" s="1134"/>
      <c r="P4" s="3276" t="s">
        <v>2648</v>
      </c>
      <c r="Q4" s="3277"/>
      <c r="R4" s="3259" t="s">
        <v>2644</v>
      </c>
      <c r="S4" s="3260"/>
      <c r="T4" s="3259" t="s">
        <v>2645</v>
      </c>
      <c r="U4" s="3260"/>
      <c r="V4" s="3284" t="s">
        <v>2646</v>
      </c>
      <c r="W4" s="3284"/>
      <c r="X4" s="1816"/>
      <c r="Y4" s="3259" t="s">
        <v>2648</v>
      </c>
      <c r="Z4" s="3260"/>
      <c r="AA4" s="3254" t="s">
        <v>2644</v>
      </c>
      <c r="AB4" s="3284" t="s">
        <v>2645</v>
      </c>
      <c r="AC4" s="3254" t="s">
        <v>2646</v>
      </c>
    </row>
    <row r="5" spans="1:29" ht="15">
      <c r="A5" s="404"/>
      <c r="B5" s="405"/>
      <c r="C5" s="3265" t="s">
        <v>2539</v>
      </c>
      <c r="D5" s="3266"/>
      <c r="E5" s="3263" t="s">
        <v>2540</v>
      </c>
      <c r="F5" s="3264"/>
      <c r="G5" s="3265" t="s">
        <v>2541</v>
      </c>
      <c r="H5" s="3266"/>
      <c r="I5" s="3265" t="s">
        <v>2542</v>
      </c>
      <c r="J5" s="3266"/>
      <c r="K5" s="610"/>
      <c r="L5" s="1133"/>
      <c r="M5" s="1134"/>
      <c r="N5" s="1134"/>
      <c r="O5" s="1134"/>
      <c r="P5" s="3278"/>
      <c r="Q5" s="3279"/>
      <c r="R5" s="3261"/>
      <c r="S5" s="3262"/>
      <c r="T5" s="3261"/>
      <c r="U5" s="3262"/>
      <c r="V5" s="3284"/>
      <c r="W5" s="3284"/>
      <c r="X5" s="1816"/>
      <c r="Y5" s="3261"/>
      <c r="Z5" s="3262"/>
      <c r="AA5" s="3255"/>
      <c r="AB5" s="3284"/>
      <c r="AC5" s="3255"/>
    </row>
    <row r="6" spans="1:29" ht="15.75" thickBot="1">
      <c r="A6" s="406"/>
      <c r="B6" s="407"/>
      <c r="C6" s="3267" t="s">
        <v>2543</v>
      </c>
      <c r="D6" s="3268"/>
      <c r="E6" s="3269" t="s">
        <v>2543</v>
      </c>
      <c r="F6" s="3270"/>
      <c r="G6" s="3267" t="s">
        <v>2543</v>
      </c>
      <c r="H6" s="3268"/>
      <c r="I6" s="3267" t="s">
        <v>2543</v>
      </c>
      <c r="J6" s="3268"/>
      <c r="K6" s="610" t="s">
        <v>2544</v>
      </c>
      <c r="L6" s="1133"/>
      <c r="M6" s="1134"/>
      <c r="N6" s="1134"/>
      <c r="O6" s="1134"/>
      <c r="P6" s="3280"/>
      <c r="Q6" s="3281"/>
      <c r="R6" s="3261"/>
      <c r="S6" s="3262"/>
      <c r="T6" s="3282"/>
      <c r="U6" s="3283"/>
      <c r="V6" s="3284"/>
      <c r="W6" s="3284"/>
      <c r="X6" s="1816"/>
      <c r="Y6" s="3282"/>
      <c r="Z6" s="3283"/>
      <c r="AA6" s="3256"/>
      <c r="AB6" s="3284"/>
      <c r="AC6" s="3256"/>
    </row>
    <row r="7" spans="1:29" s="117" customFormat="1" ht="15.75" thickBot="1">
      <c r="A7" s="408" t="s">
        <v>2545</v>
      </c>
      <c r="B7" s="409"/>
      <c r="C7" s="410">
        <f>'数据-取费表'!B2</f>
        <v>43100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57" t="s">
        <v>2546</v>
      </c>
      <c r="Q7" s="3285"/>
      <c r="R7" s="770" t="s">
        <v>17</v>
      </c>
      <c r="S7" s="771">
        <f t="shared" ref="S7:S15" si="0">F7</f>
        <v>0</v>
      </c>
      <c r="T7" s="770" t="s">
        <v>17</v>
      </c>
      <c r="U7" s="771">
        <f t="shared" ref="U7:U15" si="1">H7</f>
        <v>0</v>
      </c>
      <c r="V7" s="770" t="s">
        <v>17</v>
      </c>
      <c r="W7" s="771">
        <f t="shared" ref="W7:W15" si="2">J7</f>
        <v>0</v>
      </c>
      <c r="X7" s="772"/>
      <c r="Y7" s="3257" t="s">
        <v>2546</v>
      </c>
      <c r="Z7" s="3258"/>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57" t="s">
        <v>2549</v>
      </c>
      <c r="Q8" s="3258"/>
      <c r="R8" s="770" t="s">
        <v>17</v>
      </c>
      <c r="S8" s="771">
        <f t="shared" si="0"/>
        <v>0</v>
      </c>
      <c r="T8" s="770" t="s">
        <v>17</v>
      </c>
      <c r="U8" s="771">
        <f t="shared" si="1"/>
        <v>0</v>
      </c>
      <c r="V8" s="770" t="s">
        <v>17</v>
      </c>
      <c r="W8" s="771">
        <f t="shared" si="2"/>
        <v>0</v>
      </c>
      <c r="X8" s="772"/>
      <c r="Y8" s="3257" t="s">
        <v>2549</v>
      </c>
      <c r="Z8" s="3258"/>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71" t="s">
        <v>2552</v>
      </c>
      <c r="Q9" s="1798" t="str">
        <f t="shared" ref="Q9:Q15" si="6">B9</f>
        <v>用途</v>
      </c>
      <c r="R9" s="770" t="s">
        <v>17</v>
      </c>
      <c r="S9" s="771">
        <f t="shared" si="0"/>
        <v>100</v>
      </c>
      <c r="T9" s="770" t="s">
        <v>17</v>
      </c>
      <c r="U9" s="771">
        <f t="shared" si="1"/>
        <v>100</v>
      </c>
      <c r="V9" s="770" t="s">
        <v>17</v>
      </c>
      <c r="W9" s="771">
        <f t="shared" si="2"/>
        <v>100</v>
      </c>
      <c r="X9" s="772"/>
      <c r="Y9" s="3084"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71"/>
      <c r="Q10" s="1798"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71"/>
      <c r="Q11" s="1798"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71"/>
      <c r="Q12" s="1798">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71"/>
      <c r="Q13" s="1798">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71"/>
      <c r="Q14" s="1798">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71.25">
      <c r="A15" s="440" t="s">
        <v>2556</v>
      </c>
      <c r="B15" s="69" t="s">
        <v>2650</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98" t="s">
        <v>2557</v>
      </c>
      <c r="Q15" s="1813" t="str">
        <f t="shared" si="6"/>
        <v>商业繁华度</v>
      </c>
      <c r="R15" s="774" t="s">
        <v>17</v>
      </c>
      <c r="S15" s="775">
        <f t="shared" si="0"/>
        <v>100</v>
      </c>
      <c r="T15" s="774" t="s">
        <v>17</v>
      </c>
      <c r="U15" s="775">
        <f t="shared" si="1"/>
        <v>100</v>
      </c>
      <c r="V15" s="774" t="s">
        <v>17</v>
      </c>
      <c r="W15" s="775">
        <f t="shared" si="2"/>
        <v>100</v>
      </c>
      <c r="X15" s="1816"/>
      <c r="Y15" s="3291"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99"/>
      <c r="Q16" s="1813"/>
      <c r="R16" s="774"/>
      <c r="S16" s="775"/>
      <c r="T16" s="774"/>
      <c r="U16" s="775"/>
      <c r="V16" s="774"/>
      <c r="W16" s="775"/>
      <c r="X16" s="1816"/>
      <c r="Y16" s="3292"/>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99"/>
      <c r="Q17" s="1813" t="str">
        <f>B17</f>
        <v>交通便捷度</v>
      </c>
      <c r="R17" s="774" t="s">
        <v>17</v>
      </c>
      <c r="S17" s="775">
        <f>F17</f>
        <v>100</v>
      </c>
      <c r="T17" s="774" t="s">
        <v>17</v>
      </c>
      <c r="U17" s="775">
        <f>H17</f>
        <v>100</v>
      </c>
      <c r="V17" s="774" t="s">
        <v>17</v>
      </c>
      <c r="W17" s="775">
        <f>J17</f>
        <v>100</v>
      </c>
      <c r="X17" s="1816"/>
      <c r="Y17" s="3292"/>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99"/>
      <c r="Q18" s="1813"/>
      <c r="R18" s="774"/>
      <c r="S18" s="775"/>
      <c r="T18" s="774"/>
      <c r="U18" s="775"/>
      <c r="V18" s="774"/>
      <c r="W18" s="775"/>
      <c r="X18" s="1816"/>
      <c r="Y18" s="3292"/>
      <c r="Z18" s="1817"/>
      <c r="AA18" s="1814">
        <v>1</v>
      </c>
      <c r="AB18" s="1814">
        <v>1</v>
      </c>
      <c r="AC18" s="1814">
        <v>1</v>
      </c>
    </row>
    <row r="19" spans="1:29" ht="42.75">
      <c r="A19" s="428"/>
      <c r="B19" s="451" t="s">
        <v>2651</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99"/>
      <c r="Q19" s="1813" t="str">
        <f>B19</f>
        <v>公共配套设施</v>
      </c>
      <c r="R19" s="774" t="s">
        <v>17</v>
      </c>
      <c r="S19" s="775">
        <f>F19</f>
        <v>100</v>
      </c>
      <c r="T19" s="774" t="s">
        <v>17</v>
      </c>
      <c r="U19" s="775">
        <f>H19</f>
        <v>100</v>
      </c>
      <c r="V19" s="774" t="s">
        <v>17</v>
      </c>
      <c r="W19" s="775">
        <f>J19</f>
        <v>100</v>
      </c>
      <c r="X19" s="1816"/>
      <c r="Y19" s="3292"/>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99"/>
      <c r="Q20" s="1813"/>
      <c r="R20" s="774"/>
      <c r="S20" s="775"/>
      <c r="T20" s="774"/>
      <c r="U20" s="775"/>
      <c r="V20" s="774"/>
      <c r="W20" s="775"/>
      <c r="X20" s="1816"/>
      <c r="Y20" s="3292"/>
      <c r="Z20" s="1817"/>
      <c r="AA20" s="1814">
        <v>1</v>
      </c>
      <c r="AB20" s="1814">
        <v>1</v>
      </c>
      <c r="AC20" s="1814">
        <v>1</v>
      </c>
    </row>
    <row r="21" spans="1:29" ht="28.5">
      <c r="A21" s="428"/>
      <c r="B21" s="1387" t="s">
        <v>2652</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99"/>
      <c r="Q21" s="1813" t="str">
        <f>B21</f>
        <v>基础设施水平</v>
      </c>
      <c r="R21" s="774" t="s">
        <v>17</v>
      </c>
      <c r="S21" s="775">
        <f>F21</f>
        <v>100</v>
      </c>
      <c r="T21" s="774" t="s">
        <v>17</v>
      </c>
      <c r="U21" s="775">
        <f>H21</f>
        <v>100</v>
      </c>
      <c r="V21" s="774" t="s">
        <v>17</v>
      </c>
      <c r="W21" s="775">
        <f>J21</f>
        <v>100</v>
      </c>
      <c r="X21" s="1816"/>
      <c r="Y21" s="3292"/>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99"/>
      <c r="Q22" s="1813"/>
      <c r="R22" s="774"/>
      <c r="S22" s="775"/>
      <c r="T22" s="774"/>
      <c r="U22" s="775"/>
      <c r="V22" s="774"/>
      <c r="W22" s="775"/>
      <c r="X22" s="1816"/>
      <c r="Y22" s="3292"/>
      <c r="Z22" s="1817"/>
      <c r="AA22" s="1814">
        <v>1</v>
      </c>
      <c r="AB22" s="1814">
        <v>1</v>
      </c>
      <c r="AC22" s="1814">
        <v>1</v>
      </c>
    </row>
    <row r="23" spans="1:29" ht="57">
      <c r="A23" s="428"/>
      <c r="B23" s="451" t="s">
        <v>2099</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99"/>
      <c r="Q23" s="1813" t="str">
        <f>B23</f>
        <v>自然及人文环境</v>
      </c>
      <c r="R23" s="774" t="s">
        <v>17</v>
      </c>
      <c r="S23" s="775">
        <f>F23</f>
        <v>100</v>
      </c>
      <c r="T23" s="774" t="s">
        <v>17</v>
      </c>
      <c r="U23" s="775">
        <f>H23</f>
        <v>100</v>
      </c>
      <c r="V23" s="774" t="s">
        <v>17</v>
      </c>
      <c r="W23" s="775">
        <f>J23</f>
        <v>100</v>
      </c>
      <c r="X23" s="1816"/>
      <c r="Y23" s="3292"/>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99"/>
      <c r="Q24" s="1813"/>
      <c r="R24" s="774"/>
      <c r="S24" s="775"/>
      <c r="T24" s="774"/>
      <c r="U24" s="775"/>
      <c r="V24" s="774"/>
      <c r="W24" s="775"/>
      <c r="X24" s="1816"/>
      <c r="Y24" s="3292"/>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99"/>
      <c r="Q25" s="1813" t="str">
        <f t="shared" ref="Q25:Q46" si="11">B25</f>
        <v>临街状况</v>
      </c>
      <c r="R25" s="774" t="s">
        <v>17</v>
      </c>
      <c r="S25" s="775">
        <f>F25</f>
        <v>100</v>
      </c>
      <c r="T25" s="774" t="s">
        <v>17</v>
      </c>
      <c r="U25" s="775">
        <f>H25</f>
        <v>100</v>
      </c>
      <c r="V25" s="774" t="s">
        <v>17</v>
      </c>
      <c r="W25" s="775">
        <f>J25</f>
        <v>100</v>
      </c>
      <c r="X25" s="1816"/>
      <c r="Y25" s="3292"/>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99"/>
      <c r="Q26" s="1813" t="str">
        <f t="shared" si="11"/>
        <v>平面位置/可视性</v>
      </c>
      <c r="R26" s="774" t="s">
        <v>17</v>
      </c>
      <c r="S26" s="775">
        <f>F26</f>
        <v>100</v>
      </c>
      <c r="T26" s="774" t="s">
        <v>17</v>
      </c>
      <c r="U26" s="775">
        <f>H26</f>
        <v>100</v>
      </c>
      <c r="V26" s="774" t="s">
        <v>17</v>
      </c>
      <c r="W26" s="775">
        <f>J26</f>
        <v>100</v>
      </c>
      <c r="X26" s="1816"/>
      <c r="Y26" s="3292"/>
      <c r="Z26" s="1817" t="str">
        <f>Q26</f>
        <v>平面位置/可视性</v>
      </c>
      <c r="AA26" s="1814">
        <f t="shared" si="3"/>
        <v>1</v>
      </c>
      <c r="AB26" s="1814">
        <f t="shared" si="4"/>
        <v>1</v>
      </c>
      <c r="AC26" s="1814">
        <f t="shared" si="5"/>
        <v>1</v>
      </c>
    </row>
    <row r="27" spans="1:29" s="117" customFormat="1" ht="15">
      <c r="A27" s="431"/>
      <c r="B27" s="451" t="s">
        <v>2655</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99"/>
      <c r="Q27" s="1798" t="str">
        <f t="shared" si="11"/>
        <v>人流量</v>
      </c>
      <c r="R27" s="770" t="s">
        <v>17</v>
      </c>
      <c r="S27" s="771">
        <f>F27</f>
        <v>100</v>
      </c>
      <c r="T27" s="770" t="s">
        <v>17</v>
      </c>
      <c r="U27" s="771">
        <f>H27</f>
        <v>100</v>
      </c>
      <c r="V27" s="770" t="s">
        <v>17</v>
      </c>
      <c r="W27" s="771">
        <f>J27</f>
        <v>100</v>
      </c>
      <c r="X27" s="772"/>
      <c r="Y27" s="3292"/>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9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9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99"/>
      <c r="Q29" s="1813">
        <f t="shared" si="11"/>
        <v>111</v>
      </c>
      <c r="R29" s="774" t="s">
        <v>17</v>
      </c>
      <c r="S29" s="775">
        <f t="shared" si="12"/>
        <v>100</v>
      </c>
      <c r="T29" s="774" t="s">
        <v>17</v>
      </c>
      <c r="U29" s="775">
        <f t="shared" si="13"/>
        <v>100</v>
      </c>
      <c r="V29" s="774" t="s">
        <v>17</v>
      </c>
      <c r="W29" s="775">
        <f t="shared" si="14"/>
        <v>100</v>
      </c>
      <c r="X29" s="1816"/>
      <c r="Y29" s="329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99"/>
      <c r="Q30" s="1813">
        <f t="shared" si="11"/>
        <v>111</v>
      </c>
      <c r="R30" s="774" t="s">
        <v>17</v>
      </c>
      <c r="S30" s="775">
        <f t="shared" si="12"/>
        <v>100</v>
      </c>
      <c r="T30" s="774" t="s">
        <v>17</v>
      </c>
      <c r="U30" s="775">
        <f t="shared" si="13"/>
        <v>100</v>
      </c>
      <c r="V30" s="774" t="s">
        <v>17</v>
      </c>
      <c r="W30" s="775">
        <f t="shared" si="14"/>
        <v>100</v>
      </c>
      <c r="X30" s="1816"/>
      <c r="Y30" s="329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99"/>
      <c r="Q31" s="1813">
        <f t="shared" si="11"/>
        <v>111</v>
      </c>
      <c r="R31" s="774" t="s">
        <v>17</v>
      </c>
      <c r="S31" s="775">
        <f t="shared" si="12"/>
        <v>100</v>
      </c>
      <c r="T31" s="774" t="s">
        <v>17</v>
      </c>
      <c r="U31" s="775">
        <f t="shared" si="13"/>
        <v>100</v>
      </c>
      <c r="V31" s="774" t="s">
        <v>17</v>
      </c>
      <c r="W31" s="775">
        <f t="shared" si="14"/>
        <v>100</v>
      </c>
      <c r="X31" s="1816"/>
      <c r="Y31" s="3292"/>
      <c r="Z31" s="1817">
        <f t="shared" si="15"/>
        <v>111</v>
      </c>
      <c r="AA31" s="1814">
        <f t="shared" si="3"/>
        <v>1</v>
      </c>
      <c r="AB31" s="1814">
        <f t="shared" si="4"/>
        <v>1</v>
      </c>
      <c r="AC31" s="1814">
        <f t="shared" si="5"/>
        <v>1</v>
      </c>
    </row>
    <row r="32" spans="1:29" ht="15">
      <c r="A32" s="440" t="s">
        <v>2560</v>
      </c>
      <c r="B32" s="71" t="s">
        <v>2657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93" t="s">
        <v>2562</v>
      </c>
      <c r="Q32" s="1813" t="str">
        <f t="shared" si="11"/>
        <v>商业类型</v>
      </c>
      <c r="R32" s="774" t="s">
        <v>17</v>
      </c>
      <c r="S32" s="775">
        <f t="shared" si="12"/>
        <v>100</v>
      </c>
      <c r="T32" s="774" t="s">
        <v>17</v>
      </c>
      <c r="U32" s="775">
        <f t="shared" si="13"/>
        <v>100</v>
      </c>
      <c r="V32" s="774" t="s">
        <v>17</v>
      </c>
      <c r="W32" s="775">
        <f t="shared" si="14"/>
        <v>100</v>
      </c>
      <c r="X32" s="1816"/>
      <c r="Y32" s="3296"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94"/>
      <c r="Q33" s="776" t="str">
        <f t="shared" si="11"/>
        <v>项目建筑规模</v>
      </c>
      <c r="R33" s="777" t="s">
        <v>17</v>
      </c>
      <c r="S33" s="778" t="e">
        <f t="shared" si="12"/>
        <v>#N/A</v>
      </c>
      <c r="T33" s="777" t="s">
        <v>17</v>
      </c>
      <c r="U33" s="778" t="e">
        <f t="shared" si="13"/>
        <v>#N/A</v>
      </c>
      <c r="V33" s="777" t="s">
        <v>17</v>
      </c>
      <c r="W33" s="778" t="e">
        <f t="shared" si="14"/>
        <v>#N/A</v>
      </c>
      <c r="X33" s="779"/>
      <c r="Y33" s="3296"/>
      <c r="Z33" s="780" t="str">
        <f t="shared" si="15"/>
        <v>项目建筑规模</v>
      </c>
      <c r="AA33" s="1814" t="e">
        <f t="shared" si="3"/>
        <v>#N/A</v>
      </c>
      <c r="AB33" s="1814" t="e">
        <f t="shared" si="4"/>
        <v>#N/A</v>
      </c>
      <c r="AC33" s="1814" t="e">
        <f t="shared" si="5"/>
        <v>#N/A</v>
      </c>
    </row>
    <row r="34" spans="1:29" ht="15">
      <c r="A34" s="472"/>
      <c r="B34" s="422" t="s">
        <v>2564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94"/>
      <c r="Q34" s="1813" t="str">
        <f t="shared" si="11"/>
        <v>建筑结构</v>
      </c>
      <c r="R34" s="774" t="s">
        <v>17</v>
      </c>
      <c r="S34" s="775">
        <f t="shared" si="12"/>
        <v>100</v>
      </c>
      <c r="T34" s="774" t="s">
        <v>17</v>
      </c>
      <c r="U34" s="775">
        <f t="shared" si="13"/>
        <v>100</v>
      </c>
      <c r="V34" s="774" t="s">
        <v>17</v>
      </c>
      <c r="W34" s="775">
        <f t="shared" si="14"/>
        <v>100</v>
      </c>
      <c r="X34" s="1816"/>
      <c r="Y34" s="3296"/>
      <c r="Z34" s="1817" t="str">
        <f t="shared" si="15"/>
        <v>建筑结构</v>
      </c>
      <c r="AA34" s="1814">
        <f t="shared" si="3"/>
        <v>1</v>
      </c>
      <c r="AB34" s="1814">
        <f t="shared" si="4"/>
        <v>1</v>
      </c>
      <c r="AC34" s="1814">
        <f t="shared" si="5"/>
        <v>1</v>
      </c>
    </row>
    <row r="35" spans="1:29" ht="15">
      <c r="A35" s="472"/>
      <c r="B35" s="422" t="s">
        <v>2658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94"/>
      <c r="Q35" s="1813" t="str">
        <f t="shared" si="11"/>
        <v>公共部分装修</v>
      </c>
      <c r="R35" s="774" t="s">
        <v>17</v>
      </c>
      <c r="S35" s="775">
        <f t="shared" si="12"/>
        <v>100</v>
      </c>
      <c r="T35" s="774" t="s">
        <v>17</v>
      </c>
      <c r="U35" s="775">
        <f t="shared" si="13"/>
        <v>100</v>
      </c>
      <c r="V35" s="774" t="s">
        <v>17</v>
      </c>
      <c r="W35" s="775">
        <f t="shared" si="14"/>
        <v>100</v>
      </c>
      <c r="X35" s="1816"/>
      <c r="Y35" s="3296"/>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94"/>
      <c r="Q36" s="1813" t="str">
        <f t="shared" si="11"/>
        <v>成新度</v>
      </c>
      <c r="R36" s="774" t="s">
        <v>17</v>
      </c>
      <c r="S36" s="775" t="e">
        <f t="shared" si="12"/>
        <v>#N/A</v>
      </c>
      <c r="T36" s="774" t="s">
        <v>17</v>
      </c>
      <c r="U36" s="775" t="e">
        <f t="shared" si="13"/>
        <v>#N/A</v>
      </c>
      <c r="V36" s="774" t="s">
        <v>17</v>
      </c>
      <c r="W36" s="775" t="e">
        <f t="shared" si="14"/>
        <v>#N/A</v>
      </c>
      <c r="X36" s="1816"/>
      <c r="Y36" s="3296"/>
      <c r="Z36" s="1817" t="str">
        <f t="shared" si="15"/>
        <v>成新度</v>
      </c>
      <c r="AA36" s="1814" t="e">
        <f t="shared" si="3"/>
        <v>#N/A</v>
      </c>
      <c r="AB36" s="1814" t="e">
        <f t="shared" si="4"/>
        <v>#N/A</v>
      </c>
      <c r="AC36" s="1814" t="e">
        <f t="shared" si="5"/>
        <v>#N/A</v>
      </c>
    </row>
    <row r="37" spans="1:29" s="117" customFormat="1" ht="15">
      <c r="A37" s="473"/>
      <c r="B37" s="422" t="s">
        <v>2660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94"/>
      <c r="Q37" s="1798" t="str">
        <f t="shared" si="11"/>
        <v>市政基础设施</v>
      </c>
      <c r="R37" s="770" t="s">
        <v>17</v>
      </c>
      <c r="S37" s="771">
        <f t="shared" si="12"/>
        <v>100</v>
      </c>
      <c r="T37" s="770" t="s">
        <v>17</v>
      </c>
      <c r="U37" s="771">
        <f t="shared" si="13"/>
        <v>100</v>
      </c>
      <c r="V37" s="770" t="s">
        <v>17</v>
      </c>
      <c r="W37" s="771">
        <f t="shared" si="14"/>
        <v>100</v>
      </c>
      <c r="X37" s="772"/>
      <c r="Y37" s="3296"/>
      <c r="Z37" s="55" t="str">
        <f t="shared" si="15"/>
        <v>市政基础设施</v>
      </c>
      <c r="AA37" s="773">
        <f t="shared" si="3"/>
        <v>1</v>
      </c>
      <c r="AB37" s="773">
        <f t="shared" si="4"/>
        <v>1</v>
      </c>
      <c r="AC37" s="773">
        <f t="shared" si="5"/>
        <v>1</v>
      </c>
    </row>
    <row r="38" spans="1:29" ht="15">
      <c r="A38" s="472"/>
      <c r="B38" s="422" t="s">
        <v>2661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94" t="s">
        <v>2562</v>
      </c>
      <c r="Q38" s="1813" t="str">
        <f t="shared" si="11"/>
        <v>业态</v>
      </c>
      <c r="R38" s="774" t="s">
        <v>17</v>
      </c>
      <c r="S38" s="775">
        <f t="shared" si="12"/>
        <v>100</v>
      </c>
      <c r="T38" s="774" t="s">
        <v>17</v>
      </c>
      <c r="U38" s="775">
        <f t="shared" si="13"/>
        <v>100</v>
      </c>
      <c r="V38" s="774" t="s">
        <v>17</v>
      </c>
      <c r="W38" s="775">
        <f t="shared" si="14"/>
        <v>100</v>
      </c>
      <c r="X38" s="1816"/>
      <c r="Y38" s="3296" t="s">
        <v>2562</v>
      </c>
      <c r="Z38" s="1817" t="str">
        <f t="shared" si="15"/>
        <v>业态</v>
      </c>
      <c r="AA38" s="1814">
        <f t="shared" si="3"/>
        <v>1</v>
      </c>
      <c r="AB38" s="1814">
        <f t="shared" si="4"/>
        <v>1</v>
      </c>
      <c r="AC38" s="1814">
        <f t="shared" si="5"/>
        <v>1</v>
      </c>
    </row>
    <row r="39" spans="1:29" ht="15">
      <c r="A39" s="472"/>
      <c r="B39" s="422" t="s">
        <v>2662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94"/>
      <c r="Q39" s="1813" t="str">
        <f t="shared" si="11"/>
        <v>层高</v>
      </c>
      <c r="R39" s="774" t="s">
        <v>17</v>
      </c>
      <c r="S39" s="775">
        <f t="shared" si="12"/>
        <v>100</v>
      </c>
      <c r="T39" s="774" t="s">
        <v>17</v>
      </c>
      <c r="U39" s="775">
        <f t="shared" si="13"/>
        <v>100</v>
      </c>
      <c r="V39" s="774" t="s">
        <v>17</v>
      </c>
      <c r="W39" s="775">
        <f t="shared" si="14"/>
        <v>100</v>
      </c>
      <c r="X39" s="1816"/>
      <c r="Y39" s="3296"/>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94"/>
      <c r="Q40" s="1813" t="str">
        <f t="shared" si="11"/>
        <v>单套建筑面积</v>
      </c>
      <c r="R40" s="774" t="s">
        <v>17</v>
      </c>
      <c r="S40" s="775">
        <f t="shared" si="12"/>
        <v>100</v>
      </c>
      <c r="T40" s="774" t="s">
        <v>17</v>
      </c>
      <c r="U40" s="775">
        <f t="shared" si="13"/>
        <v>100</v>
      </c>
      <c r="V40" s="774" t="s">
        <v>17</v>
      </c>
      <c r="W40" s="775">
        <f t="shared" si="14"/>
        <v>100</v>
      </c>
      <c r="X40" s="1816"/>
      <c r="Y40" s="3296"/>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94"/>
      <c r="Q41" s="776" t="str">
        <f t="shared" si="11"/>
        <v>进深比</v>
      </c>
      <c r="R41" s="777" t="s">
        <v>17</v>
      </c>
      <c r="S41" s="778">
        <f t="shared" si="12"/>
        <v>100</v>
      </c>
      <c r="T41" s="777" t="s">
        <v>17</v>
      </c>
      <c r="U41" s="778">
        <f t="shared" si="13"/>
        <v>100</v>
      </c>
      <c r="V41" s="777" t="s">
        <v>17</v>
      </c>
      <c r="W41" s="778">
        <f t="shared" si="14"/>
        <v>100</v>
      </c>
      <c r="X41" s="779"/>
      <c r="Y41" s="3296"/>
      <c r="Z41" s="780" t="str">
        <f t="shared" si="15"/>
        <v>进深比</v>
      </c>
      <c r="AA41" s="1814">
        <f t="shared" si="3"/>
        <v>1</v>
      </c>
      <c r="AB41" s="1814">
        <f t="shared" si="4"/>
        <v>1</v>
      </c>
      <c r="AC41" s="1814">
        <f t="shared" si="5"/>
        <v>1</v>
      </c>
    </row>
    <row r="42" spans="1:29" ht="15">
      <c r="A42" s="472"/>
      <c r="B42" s="422" t="s">
        <v>2665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94"/>
      <c r="Q42" s="1813" t="str">
        <f t="shared" si="11"/>
        <v>内部装修</v>
      </c>
      <c r="R42" s="774" t="s">
        <v>17</v>
      </c>
      <c r="S42" s="775">
        <f t="shared" si="12"/>
        <v>100</v>
      </c>
      <c r="T42" s="774" t="s">
        <v>17</v>
      </c>
      <c r="U42" s="775">
        <f t="shared" si="13"/>
        <v>100</v>
      </c>
      <c r="V42" s="774" t="s">
        <v>17</v>
      </c>
      <c r="W42" s="775">
        <f t="shared" si="14"/>
        <v>100</v>
      </c>
      <c r="X42" s="1816"/>
      <c r="Y42" s="3296"/>
      <c r="Z42" s="1817" t="str">
        <f t="shared" si="15"/>
        <v>内部装修</v>
      </c>
      <c r="AA42" s="1814">
        <f t="shared" si="3"/>
        <v>1</v>
      </c>
      <c r="AB42" s="1814">
        <f t="shared" si="4"/>
        <v>1</v>
      </c>
      <c r="AC42" s="1814">
        <f t="shared" si="5"/>
        <v>1</v>
      </c>
    </row>
    <row r="43" spans="1:29" ht="15">
      <c r="A43" s="472"/>
      <c r="B43" s="422" t="s">
        <v>2573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94"/>
      <c r="Q43" s="1813" t="str">
        <f t="shared" si="11"/>
        <v>内部装修维护情况</v>
      </c>
      <c r="R43" s="774" t="s">
        <v>17</v>
      </c>
      <c r="S43" s="775">
        <f t="shared" si="12"/>
        <v>100</v>
      </c>
      <c r="T43" s="774" t="s">
        <v>17</v>
      </c>
      <c r="U43" s="775">
        <f t="shared" si="13"/>
        <v>100</v>
      </c>
      <c r="V43" s="774" t="s">
        <v>17</v>
      </c>
      <c r="W43" s="775">
        <f t="shared" si="14"/>
        <v>100</v>
      </c>
      <c r="X43" s="1816"/>
      <c r="Y43" s="329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94"/>
      <c r="Q44" s="1798">
        <f t="shared" si="11"/>
        <v>111</v>
      </c>
      <c r="R44" s="770" t="s">
        <v>17</v>
      </c>
      <c r="S44" s="771">
        <f t="shared" si="12"/>
        <v>100</v>
      </c>
      <c r="T44" s="770" t="s">
        <v>17</v>
      </c>
      <c r="U44" s="771">
        <f t="shared" si="13"/>
        <v>100</v>
      </c>
      <c r="V44" s="770" t="s">
        <v>17</v>
      </c>
      <c r="W44" s="771">
        <f t="shared" si="14"/>
        <v>100</v>
      </c>
      <c r="X44" s="772"/>
      <c r="Y44" s="329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94"/>
      <c r="Q45" s="1813">
        <f t="shared" si="11"/>
        <v>111</v>
      </c>
      <c r="R45" s="774" t="s">
        <v>17</v>
      </c>
      <c r="S45" s="775">
        <f t="shared" si="12"/>
        <v>100</v>
      </c>
      <c r="T45" s="774" t="s">
        <v>17</v>
      </c>
      <c r="U45" s="775">
        <f t="shared" si="13"/>
        <v>100</v>
      </c>
      <c r="V45" s="774" t="s">
        <v>17</v>
      </c>
      <c r="W45" s="775">
        <f t="shared" si="14"/>
        <v>100</v>
      </c>
      <c r="X45" s="1816"/>
      <c r="Y45" s="3296"/>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95"/>
      <c r="Q46" s="1813">
        <f t="shared" si="11"/>
        <v>111</v>
      </c>
      <c r="R46" s="774" t="s">
        <v>17</v>
      </c>
      <c r="S46" s="775">
        <f t="shared" si="12"/>
        <v>100</v>
      </c>
      <c r="T46" s="774" t="s">
        <v>17</v>
      </c>
      <c r="U46" s="775">
        <f t="shared" si="13"/>
        <v>100</v>
      </c>
      <c r="V46" s="774" t="s">
        <v>17</v>
      </c>
      <c r="W46" s="775">
        <f t="shared" si="14"/>
        <v>100</v>
      </c>
      <c r="X46" s="1816"/>
      <c r="Y46" s="3297"/>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289" t="str">
        <f>A47</f>
        <v>成交单价（元/平方米）</v>
      </c>
      <c r="Q47" s="3289"/>
      <c r="R47" s="3284">
        <f>E47</f>
        <v>0</v>
      </c>
      <c r="S47" s="3284"/>
      <c r="T47" s="3284">
        <f>G47</f>
        <v>0</v>
      </c>
      <c r="U47" s="3284"/>
      <c r="V47" s="3284">
        <f>I47</f>
        <v>0</v>
      </c>
      <c r="W47" s="3284"/>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89" t="str">
        <f>A48</f>
        <v>比较价值（元/平方米）</v>
      </c>
      <c r="Q48" s="3289"/>
      <c r="R48" s="3290" t="e">
        <f>IF(F1="售价",ROUND(PRODUCT(R47,AA7:AA46),0),ROUND(PRODUCT(R47,AA7:AA46),1))</f>
        <v>#DIV/0!</v>
      </c>
      <c r="S48" s="3290"/>
      <c r="T48" s="3290" t="e">
        <f>IF(F1="售价",ROUND(PRODUCT(T47,AB7:AB46),0),ROUND(PRODUCT(T47,AB7:AB46),1))</f>
        <v>#DIV/0!</v>
      </c>
      <c r="U48" s="3290"/>
      <c r="V48" s="3290" t="e">
        <f>IF(F1="售价",ROUND(PRODUCT(V47,AC7:AC46),0),ROUND(PRODUCT(V47,AC7:AC46),1))</f>
        <v>#DIV/0!</v>
      </c>
      <c r="W48" s="3290"/>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286" t="str">
        <f>A49</f>
        <v>估价对象XX用房的比较价值（楼面单价，元/平方米）</v>
      </c>
      <c r="Q49" s="3287"/>
      <c r="R49" s="3288" t="e">
        <f>IF(F1="售价",ROUND(AVERAGE(R48:V48),0),ROUND(AVERAGE(R48:V48),1))</f>
        <v>#DIV/0!</v>
      </c>
      <c r="S49" s="3288"/>
      <c r="T49" s="3288"/>
      <c r="U49" s="3288"/>
      <c r="V49" s="3288"/>
      <c r="W49" s="32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2545</v>
      </c>
      <c r="B58" s="506"/>
      <c r="C58" s="1577" t="str">
        <f>YEAR(C7)&amp;"-"&amp;MONTH(C7)</f>
        <v>2017-12</v>
      </c>
      <c r="D58" s="1578">
        <f>EDATE(C58,-1)</f>
        <v>43040</v>
      </c>
      <c r="E58" s="1578">
        <f t="shared" ref="E58:N58" si="16">EDATE(D58,-1)</f>
        <v>43009</v>
      </c>
      <c r="F58" s="1578">
        <f t="shared" si="16"/>
        <v>42979</v>
      </c>
      <c r="G58" s="1578">
        <f t="shared" si="16"/>
        <v>42948</v>
      </c>
      <c r="H58" s="1578">
        <f t="shared" si="16"/>
        <v>42917</v>
      </c>
      <c r="I58" s="1578">
        <f t="shared" si="16"/>
        <v>42887</v>
      </c>
      <c r="J58" s="1578">
        <f t="shared" si="16"/>
        <v>42856</v>
      </c>
      <c r="K58" s="1578">
        <f t="shared" si="16"/>
        <v>42826</v>
      </c>
      <c r="L58" s="1578">
        <f t="shared" si="16"/>
        <v>42795</v>
      </c>
      <c r="M58" s="1578">
        <f t="shared" si="16"/>
        <v>42767</v>
      </c>
      <c r="N58" s="1578">
        <f t="shared" si="16"/>
        <v>42736</v>
      </c>
      <c r="O58" s="1578">
        <f>EDATE(N58,-1)</f>
        <v>42705</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2547</v>
      </c>
      <c r="B61" s="510"/>
      <c r="C61" s="522" t="s">
        <v>2649</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2560</v>
      </c>
      <c r="B100" s="528" t="s">
        <v>2678</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2613</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2679</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2680</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2681</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2683</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21214.79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72" t="s">
        <v>2643</v>
      </c>
      <c r="D4" s="3273"/>
      <c r="E4" s="3274" t="s">
        <v>2644</v>
      </c>
      <c r="F4" s="3275"/>
      <c r="G4" s="3272" t="s">
        <v>2645</v>
      </c>
      <c r="H4" s="3273"/>
      <c r="I4" s="3272" t="s">
        <v>2646</v>
      </c>
      <c r="J4" s="3273"/>
      <c r="K4" s="610" t="s">
        <v>2647</v>
      </c>
      <c r="L4" s="1133"/>
      <c r="M4" s="1134"/>
      <c r="N4" s="1134"/>
      <c r="O4" s="1134"/>
      <c r="P4" s="3306" t="s">
        <v>2648</v>
      </c>
      <c r="Q4" s="3307"/>
      <c r="R4" s="3301" t="s">
        <v>2644</v>
      </c>
      <c r="S4" s="3302"/>
      <c r="T4" s="3301" t="s">
        <v>2645</v>
      </c>
      <c r="U4" s="3302"/>
      <c r="V4" s="3310" t="s">
        <v>2646</v>
      </c>
      <c r="W4" s="3310"/>
      <c r="X4" s="2673"/>
      <c r="Y4" s="3301" t="s">
        <v>2648</v>
      </c>
      <c r="Z4" s="3302"/>
      <c r="AA4" s="3300" t="s">
        <v>2644</v>
      </c>
      <c r="AB4" s="3300" t="s">
        <v>2645</v>
      </c>
      <c r="AC4" s="3303" t="s">
        <v>2646</v>
      </c>
    </row>
    <row r="5" spans="1:29" ht="15">
      <c r="A5" s="404"/>
      <c r="B5" s="405"/>
      <c r="C5" s="3265" t="s">
        <v>2539</v>
      </c>
      <c r="D5" s="3266"/>
      <c r="E5" s="3263" t="s">
        <v>2540</v>
      </c>
      <c r="F5" s="3264"/>
      <c r="G5" s="3265" t="s">
        <v>2541</v>
      </c>
      <c r="H5" s="3266"/>
      <c r="I5" s="3265" t="s">
        <v>2542</v>
      </c>
      <c r="J5" s="3266"/>
      <c r="K5" s="610"/>
      <c r="L5" s="1133"/>
      <c r="M5" s="1134"/>
      <c r="N5" s="1134"/>
      <c r="O5" s="1134"/>
      <c r="P5" s="3308"/>
      <c r="Q5" s="3279"/>
      <c r="R5" s="3261"/>
      <c r="S5" s="3262"/>
      <c r="T5" s="3261"/>
      <c r="U5" s="3262"/>
      <c r="V5" s="3284"/>
      <c r="W5" s="3284"/>
      <c r="X5" s="1816"/>
      <c r="Y5" s="3261"/>
      <c r="Z5" s="3262"/>
      <c r="AA5" s="3255"/>
      <c r="AB5" s="3255"/>
      <c r="AC5" s="3304"/>
    </row>
    <row r="6" spans="1:29" ht="15.75" thickBot="1">
      <c r="A6" s="406"/>
      <c r="B6" s="407"/>
      <c r="C6" s="3267" t="s">
        <v>2543</v>
      </c>
      <c r="D6" s="3268"/>
      <c r="E6" s="3269" t="s">
        <v>2543</v>
      </c>
      <c r="F6" s="3270"/>
      <c r="G6" s="3267" t="s">
        <v>2543</v>
      </c>
      <c r="H6" s="3268"/>
      <c r="I6" s="3267" t="s">
        <v>2543</v>
      </c>
      <c r="J6" s="3268"/>
      <c r="K6" s="610" t="s">
        <v>2544</v>
      </c>
      <c r="L6" s="1133"/>
      <c r="M6" s="1134"/>
      <c r="N6" s="1134"/>
      <c r="O6" s="1134"/>
      <c r="P6" s="3309"/>
      <c r="Q6" s="3281"/>
      <c r="R6" s="3261"/>
      <c r="S6" s="3262"/>
      <c r="T6" s="3282"/>
      <c r="U6" s="3283"/>
      <c r="V6" s="3284"/>
      <c r="W6" s="3284"/>
      <c r="X6" s="1816"/>
      <c r="Y6" s="3282"/>
      <c r="Z6" s="3283"/>
      <c r="AA6" s="3256"/>
      <c r="AB6" s="3256"/>
      <c r="AC6" s="3305"/>
    </row>
    <row r="7" spans="1:29" s="117" customFormat="1" ht="15.75" thickBot="1">
      <c r="A7" s="408" t="s">
        <v>2545</v>
      </c>
      <c r="B7" s="409"/>
      <c r="C7" s="410">
        <f>'数据-取费表'!B2</f>
        <v>43100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11" t="s">
        <v>2546</v>
      </c>
      <c r="Q7" s="3285"/>
      <c r="R7" s="770" t="s">
        <v>17</v>
      </c>
      <c r="S7" s="771">
        <f t="shared" ref="S7:S15" si="0">F7</f>
        <v>0</v>
      </c>
      <c r="T7" s="770" t="s">
        <v>17</v>
      </c>
      <c r="U7" s="771">
        <f t="shared" ref="U7:U15" si="1">H7</f>
        <v>0</v>
      </c>
      <c r="V7" s="770" t="s">
        <v>17</v>
      </c>
      <c r="W7" s="771">
        <f t="shared" ref="W7:W15" si="2">J7</f>
        <v>0</v>
      </c>
      <c r="X7" s="772"/>
      <c r="Y7" s="3257" t="s">
        <v>2546</v>
      </c>
      <c r="Z7" s="3258"/>
      <c r="AA7" s="773" t="e">
        <f>D7/F7</f>
        <v>#DIV/0!</v>
      </c>
      <c r="AB7" s="773" t="e">
        <f>D7/H7</f>
        <v>#DIV/0!</v>
      </c>
      <c r="AC7" s="2674"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11" t="s">
        <v>2549</v>
      </c>
      <c r="Q8" s="3258"/>
      <c r="R8" s="770" t="s">
        <v>17</v>
      </c>
      <c r="S8" s="771">
        <f t="shared" si="0"/>
        <v>0</v>
      </c>
      <c r="T8" s="770" t="s">
        <v>17</v>
      </c>
      <c r="U8" s="771">
        <f t="shared" si="1"/>
        <v>0</v>
      </c>
      <c r="V8" s="770" t="s">
        <v>17</v>
      </c>
      <c r="W8" s="771">
        <f t="shared" si="2"/>
        <v>0</v>
      </c>
      <c r="X8" s="772"/>
      <c r="Y8" s="3257" t="s">
        <v>2549</v>
      </c>
      <c r="Z8" s="3258"/>
      <c r="AA8" s="773" t="e">
        <f t="shared" ref="AA8:AA47" si="3">D8/F8</f>
        <v>#DIV/0!</v>
      </c>
      <c r="AB8" s="773" t="e">
        <f t="shared" ref="AB8:AB47" si="4">D8/H8</f>
        <v>#DIV/0!</v>
      </c>
      <c r="AC8" s="2674"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71" t="s">
        <v>2552</v>
      </c>
      <c r="Q9" s="1798" t="str">
        <f t="shared" ref="Q9:Q15" si="6">B9</f>
        <v>用途</v>
      </c>
      <c r="R9" s="770" t="s">
        <v>17</v>
      </c>
      <c r="S9" s="771">
        <f t="shared" si="0"/>
        <v>100</v>
      </c>
      <c r="T9" s="770" t="s">
        <v>17</v>
      </c>
      <c r="U9" s="771">
        <f t="shared" si="1"/>
        <v>100</v>
      </c>
      <c r="V9" s="770" t="s">
        <v>17</v>
      </c>
      <c r="W9" s="771">
        <f t="shared" si="2"/>
        <v>100</v>
      </c>
      <c r="X9" s="772"/>
      <c r="Y9" s="3084" t="s">
        <v>2553</v>
      </c>
      <c r="Z9" s="55" t="str">
        <f t="shared" ref="Z9:Z15" si="7">Q9</f>
        <v>用途</v>
      </c>
      <c r="AA9" s="773">
        <f t="shared" si="3"/>
        <v>1</v>
      </c>
      <c r="AB9" s="773">
        <f t="shared" si="4"/>
        <v>1</v>
      </c>
      <c r="AC9" s="2674">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71"/>
      <c r="Q10" s="1798"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2674">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71"/>
      <c r="Q11" s="1798"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71"/>
      <c r="Q12" s="1798">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71"/>
      <c r="Q13" s="1798">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71"/>
      <c r="Q14" s="1798">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2674">
        <f t="shared" si="5"/>
        <v>1</v>
      </c>
    </row>
    <row r="15" spans="1:29" ht="71.25">
      <c r="A15" s="440" t="s">
        <v>2556</v>
      </c>
      <c r="B15" s="629" t="s">
        <v>2684</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98" t="s">
        <v>2557</v>
      </c>
      <c r="Q15" s="1813" t="str">
        <f t="shared" si="6"/>
        <v>办公集聚程度</v>
      </c>
      <c r="R15" s="774" t="s">
        <v>17</v>
      </c>
      <c r="S15" s="775">
        <f t="shared" si="0"/>
        <v>100</v>
      </c>
      <c r="T15" s="774" t="s">
        <v>17</v>
      </c>
      <c r="U15" s="775">
        <f t="shared" si="1"/>
        <v>100</v>
      </c>
      <c r="V15" s="774" t="s">
        <v>17</v>
      </c>
      <c r="W15" s="775">
        <f t="shared" si="2"/>
        <v>100</v>
      </c>
      <c r="X15" s="1816"/>
      <c r="Y15" s="3291" t="s">
        <v>2557</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99"/>
      <c r="Q16" s="1813"/>
      <c r="R16" s="774"/>
      <c r="S16" s="775"/>
      <c r="T16" s="774"/>
      <c r="U16" s="775"/>
      <c r="V16" s="774"/>
      <c r="W16" s="775"/>
      <c r="X16" s="1816"/>
      <c r="Y16" s="3292"/>
      <c r="Z16" s="1817"/>
      <c r="AA16" s="1814">
        <v>1</v>
      </c>
      <c r="AB16" s="1814">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99"/>
      <c r="Q17" s="1813" t="str">
        <f>B17</f>
        <v>交通便捷度</v>
      </c>
      <c r="R17" s="774" t="s">
        <v>17</v>
      </c>
      <c r="S17" s="775">
        <f>F17</f>
        <v>100</v>
      </c>
      <c r="T17" s="774" t="s">
        <v>17</v>
      </c>
      <c r="U17" s="775">
        <f>H17</f>
        <v>100</v>
      </c>
      <c r="V17" s="774" t="s">
        <v>17</v>
      </c>
      <c r="W17" s="775">
        <f>J17</f>
        <v>100</v>
      </c>
      <c r="X17" s="1816"/>
      <c r="Y17" s="3292"/>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99"/>
      <c r="Q18" s="1813"/>
      <c r="R18" s="774"/>
      <c r="S18" s="775"/>
      <c r="T18" s="774"/>
      <c r="U18" s="775"/>
      <c r="V18" s="774"/>
      <c r="W18" s="775"/>
      <c r="X18" s="1816"/>
      <c r="Y18" s="3292"/>
      <c r="Z18" s="1817"/>
      <c r="AA18" s="1814">
        <v>1</v>
      </c>
      <c r="AB18" s="1814">
        <v>1</v>
      </c>
      <c r="AC18" s="2677">
        <v>1</v>
      </c>
    </row>
    <row r="19" spans="1:29" ht="42.75">
      <c r="A19" s="428"/>
      <c r="B19" s="631" t="s">
        <v>2685</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99"/>
      <c r="Q19" s="1813" t="str">
        <f>B19</f>
        <v>公共配套设施</v>
      </c>
      <c r="R19" s="774" t="s">
        <v>17</v>
      </c>
      <c r="S19" s="775">
        <f>F19</f>
        <v>100</v>
      </c>
      <c r="T19" s="774" t="s">
        <v>17</v>
      </c>
      <c r="U19" s="775">
        <f>H19</f>
        <v>100</v>
      </c>
      <c r="V19" s="774" t="s">
        <v>17</v>
      </c>
      <c r="W19" s="775">
        <f>J19</f>
        <v>100</v>
      </c>
      <c r="X19" s="1816"/>
      <c r="Y19" s="3292"/>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99"/>
      <c r="Q20" s="1813"/>
      <c r="R20" s="774"/>
      <c r="S20" s="775"/>
      <c r="T20" s="774"/>
      <c r="U20" s="775"/>
      <c r="V20" s="774"/>
      <c r="W20" s="775"/>
      <c r="X20" s="1816"/>
      <c r="Y20" s="3292"/>
      <c r="Z20" s="1817"/>
      <c r="AA20" s="1814">
        <v>1</v>
      </c>
      <c r="AB20" s="1814">
        <v>1</v>
      </c>
      <c r="AC20" s="2677">
        <v>1</v>
      </c>
    </row>
    <row r="21" spans="1:29" ht="28.5">
      <c r="A21" s="428"/>
      <c r="B21" s="633" t="s">
        <v>2686</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99"/>
      <c r="Q21" s="1813" t="str">
        <f>B21</f>
        <v>基础设施水平</v>
      </c>
      <c r="R21" s="774" t="s">
        <v>17</v>
      </c>
      <c r="S21" s="775">
        <f>F21</f>
        <v>100</v>
      </c>
      <c r="T21" s="774" t="s">
        <v>17</v>
      </c>
      <c r="U21" s="775">
        <f>H21</f>
        <v>100</v>
      </c>
      <c r="V21" s="774" t="s">
        <v>17</v>
      </c>
      <c r="W21" s="775">
        <f>J21</f>
        <v>100</v>
      </c>
      <c r="X21" s="1816"/>
      <c r="Y21" s="3292"/>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99"/>
      <c r="Q22" s="1813"/>
      <c r="R22" s="774"/>
      <c r="S22" s="775"/>
      <c r="T22" s="774"/>
      <c r="U22" s="775"/>
      <c r="V22" s="774"/>
      <c r="W22" s="775"/>
      <c r="X22" s="1816"/>
      <c r="Y22" s="3292"/>
      <c r="Z22" s="1817"/>
      <c r="AA22" s="1814">
        <v>1</v>
      </c>
      <c r="AB22" s="1814">
        <v>1</v>
      </c>
      <c r="AC22" s="2677">
        <v>1</v>
      </c>
    </row>
    <row r="23" spans="1:29" ht="42.75">
      <c r="A23" s="428"/>
      <c r="B23" s="631" t="s">
        <v>2687</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99"/>
      <c r="Q23" s="1813" t="str">
        <f>B23</f>
        <v>环境质量</v>
      </c>
      <c r="R23" s="774" t="s">
        <v>17</v>
      </c>
      <c r="S23" s="775">
        <f>F23</f>
        <v>100</v>
      </c>
      <c r="T23" s="774" t="s">
        <v>17</v>
      </c>
      <c r="U23" s="775">
        <f>H23</f>
        <v>100</v>
      </c>
      <c r="V23" s="774" t="s">
        <v>17</v>
      </c>
      <c r="W23" s="775">
        <f>J23</f>
        <v>100</v>
      </c>
      <c r="X23" s="1816"/>
      <c r="Y23" s="3292"/>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99"/>
      <c r="Q24" s="1813"/>
      <c r="R24" s="774"/>
      <c r="S24" s="775"/>
      <c r="T24" s="774"/>
      <c r="U24" s="775"/>
      <c r="V24" s="774"/>
      <c r="W24" s="775"/>
      <c r="X24" s="1816"/>
      <c r="Y24" s="3292"/>
      <c r="Z24" s="1817"/>
      <c r="AA24" s="1814">
        <v>1</v>
      </c>
      <c r="AB24" s="1814">
        <v>1</v>
      </c>
      <c r="AC24" s="2677">
        <v>1</v>
      </c>
    </row>
    <row r="25" spans="1:29" ht="27">
      <c r="A25" s="404"/>
      <c r="B25" s="631" t="s">
        <v>2688</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99"/>
      <c r="Q25" s="1813" t="str">
        <f>B25</f>
        <v>毗邻道路的类型与等级</v>
      </c>
      <c r="R25" s="774" t="s">
        <v>17</v>
      </c>
      <c r="S25" s="775">
        <f>F25</f>
        <v>100</v>
      </c>
      <c r="T25" s="774" t="s">
        <v>17</v>
      </c>
      <c r="U25" s="775">
        <f>H25</f>
        <v>100</v>
      </c>
      <c r="V25" s="774" t="s">
        <v>17</v>
      </c>
      <c r="W25" s="775">
        <f>J25</f>
        <v>100</v>
      </c>
      <c r="X25" s="1816"/>
      <c r="Y25" s="3292"/>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99"/>
      <c r="Q26" s="1813"/>
      <c r="R26" s="774"/>
      <c r="S26" s="775"/>
      <c r="T26" s="774"/>
      <c r="U26" s="775"/>
      <c r="V26" s="774"/>
      <c r="W26" s="775"/>
      <c r="X26" s="1816"/>
      <c r="Y26" s="3292"/>
      <c r="Z26" s="1817"/>
      <c r="AA26" s="1814">
        <v>1</v>
      </c>
      <c r="AB26" s="1814">
        <v>1</v>
      </c>
      <c r="AC26" s="2677">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99"/>
      <c r="Q27" s="1813" t="str">
        <f t="shared" ref="Q27:Q47" si="11">B27</f>
        <v>楼层</v>
      </c>
      <c r="R27" s="774" t="s">
        <v>17</v>
      </c>
      <c r="S27" s="775">
        <f>F27</f>
        <v>100</v>
      </c>
      <c r="T27" s="774" t="s">
        <v>17</v>
      </c>
      <c r="U27" s="775">
        <f>H27</f>
        <v>100</v>
      </c>
      <c r="V27" s="774" t="s">
        <v>17</v>
      </c>
      <c r="W27" s="775">
        <f>J27</f>
        <v>100</v>
      </c>
      <c r="X27" s="1816"/>
      <c r="Y27" s="3292"/>
      <c r="Z27" s="1817" t="str">
        <f>Q27</f>
        <v>楼层</v>
      </c>
      <c r="AA27" s="1814">
        <f t="shared" si="3"/>
        <v>1</v>
      </c>
      <c r="AB27" s="1814">
        <f t="shared" si="4"/>
        <v>1</v>
      </c>
      <c r="AC27" s="2677">
        <f t="shared" si="5"/>
        <v>1</v>
      </c>
    </row>
    <row r="28" spans="1:29" s="117" customFormat="1" ht="15">
      <c r="A28" s="431"/>
      <c r="B28" s="631" t="s">
        <v>2689</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99"/>
      <c r="Q28" s="1798" t="str">
        <f t="shared" si="11"/>
        <v>朝向</v>
      </c>
      <c r="R28" s="770" t="s">
        <v>17</v>
      </c>
      <c r="S28" s="771">
        <f>F28</f>
        <v>100</v>
      </c>
      <c r="T28" s="770" t="s">
        <v>17</v>
      </c>
      <c r="U28" s="771">
        <f>H28</f>
        <v>100</v>
      </c>
      <c r="V28" s="770" t="s">
        <v>17</v>
      </c>
      <c r="W28" s="771">
        <f>J28</f>
        <v>100</v>
      </c>
      <c r="X28" s="772"/>
      <c r="Y28" s="3292"/>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99"/>
      <c r="Q29" s="1813">
        <f t="shared" si="11"/>
        <v>111</v>
      </c>
      <c r="R29" s="774" t="s">
        <v>17</v>
      </c>
      <c r="S29" s="775">
        <f t="shared" ref="S29:S47" si="12">F29</f>
        <v>100</v>
      </c>
      <c r="T29" s="774" t="s">
        <v>17</v>
      </c>
      <c r="U29" s="775">
        <f t="shared" ref="U29:U47" si="13">H29</f>
        <v>100</v>
      </c>
      <c r="V29" s="774" t="s">
        <v>17</v>
      </c>
      <c r="W29" s="775">
        <f t="shared" ref="W29:W47" si="14">J29</f>
        <v>100</v>
      </c>
      <c r="X29" s="1816"/>
      <c r="Y29" s="3292"/>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99"/>
      <c r="Q30" s="1813">
        <f t="shared" si="11"/>
        <v>111</v>
      </c>
      <c r="R30" s="774" t="s">
        <v>17</v>
      </c>
      <c r="S30" s="775">
        <f t="shared" si="12"/>
        <v>100</v>
      </c>
      <c r="T30" s="774" t="s">
        <v>17</v>
      </c>
      <c r="U30" s="775">
        <f t="shared" si="13"/>
        <v>100</v>
      </c>
      <c r="V30" s="774" t="s">
        <v>17</v>
      </c>
      <c r="W30" s="775">
        <f t="shared" si="14"/>
        <v>100</v>
      </c>
      <c r="X30" s="1816"/>
      <c r="Y30" s="3292"/>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99"/>
      <c r="Q31" s="1813">
        <f t="shared" si="11"/>
        <v>111</v>
      </c>
      <c r="R31" s="774" t="s">
        <v>17</v>
      </c>
      <c r="S31" s="775">
        <f t="shared" si="12"/>
        <v>100</v>
      </c>
      <c r="T31" s="774" t="s">
        <v>17</v>
      </c>
      <c r="U31" s="775">
        <f t="shared" si="13"/>
        <v>100</v>
      </c>
      <c r="V31" s="774" t="s">
        <v>17</v>
      </c>
      <c r="W31" s="775">
        <f t="shared" si="14"/>
        <v>100</v>
      </c>
      <c r="X31" s="1816"/>
      <c r="Y31" s="3292"/>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99"/>
      <c r="Q32" s="1813">
        <f t="shared" si="11"/>
        <v>111</v>
      </c>
      <c r="R32" s="774" t="s">
        <v>17</v>
      </c>
      <c r="S32" s="775">
        <f t="shared" si="12"/>
        <v>100</v>
      </c>
      <c r="T32" s="774" t="s">
        <v>17</v>
      </c>
      <c r="U32" s="775">
        <f t="shared" si="13"/>
        <v>100</v>
      </c>
      <c r="V32" s="774" t="s">
        <v>17</v>
      </c>
      <c r="W32" s="775">
        <f t="shared" si="14"/>
        <v>100</v>
      </c>
      <c r="X32" s="1816"/>
      <c r="Y32" s="3292"/>
      <c r="Z32" s="1817">
        <f t="shared" si="15"/>
        <v>111</v>
      </c>
      <c r="AA32" s="1814">
        <f t="shared" si="3"/>
        <v>1</v>
      </c>
      <c r="AB32" s="1814">
        <f t="shared" si="4"/>
        <v>1</v>
      </c>
      <c r="AC32" s="2677">
        <f t="shared" si="5"/>
        <v>1</v>
      </c>
    </row>
    <row r="33" spans="1:29" ht="15">
      <c r="A33" s="440" t="s">
        <v>2560</v>
      </c>
      <c r="B33" s="71" t="s">
        <v>2690</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93" t="s">
        <v>2562</v>
      </c>
      <c r="Q33" s="1813" t="str">
        <f t="shared" si="11"/>
        <v>建筑类型</v>
      </c>
      <c r="R33" s="774" t="s">
        <v>17</v>
      </c>
      <c r="S33" s="775">
        <f t="shared" si="12"/>
        <v>100</v>
      </c>
      <c r="T33" s="774" t="s">
        <v>17</v>
      </c>
      <c r="U33" s="775">
        <f t="shared" si="13"/>
        <v>100</v>
      </c>
      <c r="V33" s="774" t="s">
        <v>17</v>
      </c>
      <c r="W33" s="775">
        <f t="shared" si="14"/>
        <v>100</v>
      </c>
      <c r="X33" s="1816"/>
      <c r="Y33" s="3296" t="s">
        <v>2562</v>
      </c>
      <c r="Z33" s="1817" t="str">
        <f t="shared" si="15"/>
        <v>建筑类型</v>
      </c>
      <c r="AA33" s="1814">
        <f t="shared" si="3"/>
        <v>1</v>
      </c>
      <c r="AB33" s="1814">
        <f t="shared" si="4"/>
        <v>1</v>
      </c>
      <c r="AC33" s="2677">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94"/>
      <c r="Q34" s="776" t="str">
        <f t="shared" si="11"/>
        <v>项目建筑规模</v>
      </c>
      <c r="R34" s="777" t="s">
        <v>17</v>
      </c>
      <c r="S34" s="778" t="e">
        <f t="shared" si="12"/>
        <v>#N/A</v>
      </c>
      <c r="T34" s="777" t="s">
        <v>17</v>
      </c>
      <c r="U34" s="778" t="e">
        <f t="shared" si="13"/>
        <v>#N/A</v>
      </c>
      <c r="V34" s="777" t="s">
        <v>17</v>
      </c>
      <c r="W34" s="778" t="e">
        <f t="shared" si="14"/>
        <v>#N/A</v>
      </c>
      <c r="X34" s="779"/>
      <c r="Y34" s="3296"/>
      <c r="Z34" s="780" t="str">
        <f t="shared" si="15"/>
        <v>项目建筑规模</v>
      </c>
      <c r="AA34" s="1814" t="e">
        <f t="shared" si="3"/>
        <v>#N/A</v>
      </c>
      <c r="AB34" s="1814" t="e">
        <f t="shared" si="4"/>
        <v>#N/A</v>
      </c>
      <c r="AC34" s="2677"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94"/>
      <c r="Q35" s="1813" t="str">
        <f t="shared" si="11"/>
        <v>建筑结构</v>
      </c>
      <c r="R35" s="774" t="s">
        <v>17</v>
      </c>
      <c r="S35" s="775">
        <f t="shared" si="12"/>
        <v>100</v>
      </c>
      <c r="T35" s="774" t="s">
        <v>17</v>
      </c>
      <c r="U35" s="775">
        <f t="shared" si="13"/>
        <v>100</v>
      </c>
      <c r="V35" s="774" t="s">
        <v>17</v>
      </c>
      <c r="W35" s="775">
        <f t="shared" si="14"/>
        <v>100</v>
      </c>
      <c r="X35" s="1816"/>
      <c r="Y35" s="3296"/>
      <c r="Z35" s="1817" t="str">
        <f t="shared" si="15"/>
        <v>建筑结构</v>
      </c>
      <c r="AA35" s="1814">
        <f t="shared" si="3"/>
        <v>1</v>
      </c>
      <c r="AB35" s="1814">
        <f t="shared" si="4"/>
        <v>1</v>
      </c>
      <c r="AC35" s="2677">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94"/>
      <c r="Q36" s="1813" t="str">
        <f t="shared" si="11"/>
        <v>公共部分装修</v>
      </c>
      <c r="R36" s="774" t="s">
        <v>17</v>
      </c>
      <c r="S36" s="775">
        <f t="shared" si="12"/>
        <v>100</v>
      </c>
      <c r="T36" s="774" t="s">
        <v>17</v>
      </c>
      <c r="U36" s="775">
        <f t="shared" si="13"/>
        <v>100</v>
      </c>
      <c r="V36" s="774" t="s">
        <v>17</v>
      </c>
      <c r="W36" s="775">
        <f t="shared" si="14"/>
        <v>100</v>
      </c>
      <c r="X36" s="1816"/>
      <c r="Y36" s="3296"/>
      <c r="Z36" s="1817" t="str">
        <f t="shared" si="15"/>
        <v>公共部分装修</v>
      </c>
      <c r="AA36" s="1814">
        <f t="shared" si="3"/>
        <v>1</v>
      </c>
      <c r="AB36" s="1814">
        <f t="shared" si="4"/>
        <v>1</v>
      </c>
      <c r="AC36" s="2677">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94"/>
      <c r="Q37" s="1813" t="str">
        <f t="shared" si="11"/>
        <v>成新度</v>
      </c>
      <c r="R37" s="774" t="s">
        <v>17</v>
      </c>
      <c r="S37" s="775" t="e">
        <f t="shared" si="12"/>
        <v>#N/A</v>
      </c>
      <c r="T37" s="774" t="s">
        <v>17</v>
      </c>
      <c r="U37" s="775" t="e">
        <f t="shared" si="13"/>
        <v>#N/A</v>
      </c>
      <c r="V37" s="774" t="s">
        <v>17</v>
      </c>
      <c r="W37" s="775" t="e">
        <f t="shared" si="14"/>
        <v>#N/A</v>
      </c>
      <c r="X37" s="1816"/>
      <c r="Y37" s="3296"/>
      <c r="Z37" s="1817" t="str">
        <f t="shared" si="15"/>
        <v>成新度</v>
      </c>
      <c r="AA37" s="1814" t="e">
        <f t="shared" si="3"/>
        <v>#N/A</v>
      </c>
      <c r="AB37" s="1814" t="e">
        <f t="shared" si="4"/>
        <v>#N/A</v>
      </c>
      <c r="AC37" s="2677"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94"/>
      <c r="Q38" s="1798" t="str">
        <f t="shared" si="11"/>
        <v>写字楼等级</v>
      </c>
      <c r="R38" s="770" t="s">
        <v>17</v>
      </c>
      <c r="S38" s="771">
        <f t="shared" si="12"/>
        <v>100</v>
      </c>
      <c r="T38" s="770" t="s">
        <v>17</v>
      </c>
      <c r="U38" s="771">
        <f t="shared" si="13"/>
        <v>100</v>
      </c>
      <c r="V38" s="770" t="s">
        <v>17</v>
      </c>
      <c r="W38" s="771">
        <f t="shared" si="14"/>
        <v>100</v>
      </c>
      <c r="X38" s="772"/>
      <c r="Y38" s="3296"/>
      <c r="Z38" s="55" t="str">
        <f t="shared" si="15"/>
        <v>写字楼等级</v>
      </c>
      <c r="AA38" s="773">
        <f t="shared" si="3"/>
        <v>1</v>
      </c>
      <c r="AB38" s="773">
        <f t="shared" si="4"/>
        <v>1</v>
      </c>
      <c r="AC38" s="2674">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94" t="s">
        <v>2562</v>
      </c>
      <c r="Q39" s="1813" t="str">
        <f t="shared" si="11"/>
        <v>物业管理</v>
      </c>
      <c r="R39" s="774" t="s">
        <v>17</v>
      </c>
      <c r="S39" s="775">
        <f t="shared" si="12"/>
        <v>100</v>
      </c>
      <c r="T39" s="774" t="s">
        <v>17</v>
      </c>
      <c r="U39" s="775">
        <f t="shared" si="13"/>
        <v>100</v>
      </c>
      <c r="V39" s="774" t="s">
        <v>17</v>
      </c>
      <c r="W39" s="775">
        <f t="shared" si="14"/>
        <v>100</v>
      </c>
      <c r="X39" s="1816"/>
      <c r="Y39" s="3296" t="s">
        <v>2562</v>
      </c>
      <c r="Z39" s="1817" t="str">
        <f t="shared" si="15"/>
        <v>物业管理</v>
      </c>
      <c r="AA39" s="1814">
        <f t="shared" si="3"/>
        <v>1</v>
      </c>
      <c r="AB39" s="1814">
        <f t="shared" si="4"/>
        <v>1</v>
      </c>
      <c r="AC39" s="2677">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94"/>
      <c r="Q40" s="1813" t="str">
        <f t="shared" si="11"/>
        <v>市政基础设施</v>
      </c>
      <c r="R40" s="774" t="s">
        <v>17</v>
      </c>
      <c r="S40" s="775">
        <f t="shared" si="12"/>
        <v>100</v>
      </c>
      <c r="T40" s="774" t="s">
        <v>17</v>
      </c>
      <c r="U40" s="775">
        <f t="shared" si="13"/>
        <v>100</v>
      </c>
      <c r="V40" s="774" t="s">
        <v>17</v>
      </c>
      <c r="W40" s="775">
        <f t="shared" si="14"/>
        <v>100</v>
      </c>
      <c r="X40" s="1816"/>
      <c r="Y40" s="3296"/>
      <c r="Z40" s="1817" t="str">
        <f t="shared" si="15"/>
        <v>市政基础设施</v>
      </c>
      <c r="AA40" s="1814">
        <f t="shared" si="3"/>
        <v>1</v>
      </c>
      <c r="AB40" s="1814">
        <f t="shared" si="4"/>
        <v>1</v>
      </c>
      <c r="AC40" s="2677">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94"/>
      <c r="Q41" s="1813" t="str">
        <f t="shared" si="11"/>
        <v>层高</v>
      </c>
      <c r="R41" s="774" t="s">
        <v>17</v>
      </c>
      <c r="S41" s="775">
        <f t="shared" si="12"/>
        <v>100</v>
      </c>
      <c r="T41" s="774" t="s">
        <v>17</v>
      </c>
      <c r="U41" s="775">
        <f t="shared" si="13"/>
        <v>100</v>
      </c>
      <c r="V41" s="774" t="s">
        <v>17</v>
      </c>
      <c r="W41" s="775">
        <f t="shared" si="14"/>
        <v>100</v>
      </c>
      <c r="X41" s="1816"/>
      <c r="Y41" s="3296"/>
      <c r="Z41" s="1817" t="str">
        <f t="shared" si="15"/>
        <v>层高</v>
      </c>
      <c r="AA41" s="1814">
        <f t="shared" si="3"/>
        <v>1</v>
      </c>
      <c r="AB41" s="1814">
        <f t="shared" si="4"/>
        <v>1</v>
      </c>
      <c r="AC41" s="2677">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94"/>
      <c r="Q42" s="776" t="str">
        <f t="shared" si="11"/>
        <v>单套建筑面积</v>
      </c>
      <c r="R42" s="777" t="s">
        <v>17</v>
      </c>
      <c r="S42" s="778">
        <f t="shared" si="12"/>
        <v>100</v>
      </c>
      <c r="T42" s="777" t="s">
        <v>17</v>
      </c>
      <c r="U42" s="778">
        <f t="shared" si="13"/>
        <v>100</v>
      </c>
      <c r="V42" s="777" t="s">
        <v>17</v>
      </c>
      <c r="W42" s="778">
        <f t="shared" si="14"/>
        <v>100</v>
      </c>
      <c r="X42" s="779"/>
      <c r="Y42" s="3296"/>
      <c r="Z42" s="780" t="str">
        <f t="shared" si="15"/>
        <v>单套建筑面积</v>
      </c>
      <c r="AA42" s="1814">
        <f t="shared" si="3"/>
        <v>1</v>
      </c>
      <c r="AB42" s="1814">
        <f t="shared" si="4"/>
        <v>1</v>
      </c>
      <c r="AC42" s="2677">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94"/>
      <c r="Q43" s="1813" t="str">
        <f t="shared" si="11"/>
        <v>内部装修</v>
      </c>
      <c r="R43" s="774" t="s">
        <v>17</v>
      </c>
      <c r="S43" s="775">
        <f t="shared" si="12"/>
        <v>100</v>
      </c>
      <c r="T43" s="774" t="s">
        <v>17</v>
      </c>
      <c r="U43" s="775">
        <f t="shared" si="13"/>
        <v>100</v>
      </c>
      <c r="V43" s="774" t="s">
        <v>17</v>
      </c>
      <c r="W43" s="775">
        <f t="shared" si="14"/>
        <v>100</v>
      </c>
      <c r="X43" s="1816"/>
      <c r="Y43" s="3296"/>
      <c r="Z43" s="1817" t="str">
        <f t="shared" si="15"/>
        <v>内部装修</v>
      </c>
      <c r="AA43" s="1814">
        <f t="shared" si="3"/>
        <v>1</v>
      </c>
      <c r="AB43" s="1814">
        <f t="shared" si="4"/>
        <v>1</v>
      </c>
      <c r="AC43" s="2677">
        <f t="shared" si="5"/>
        <v>1</v>
      </c>
    </row>
    <row r="44" spans="1:29" ht="15">
      <c r="A44" s="472"/>
      <c r="B44" s="422" t="s">
        <v>2573</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94"/>
      <c r="Q44" s="1813" t="str">
        <f t="shared" si="11"/>
        <v>内部装修维护情况</v>
      </c>
      <c r="R44" s="774" t="s">
        <v>17</v>
      </c>
      <c r="S44" s="775">
        <f t="shared" si="12"/>
        <v>100</v>
      </c>
      <c r="T44" s="774" t="s">
        <v>17</v>
      </c>
      <c r="U44" s="775">
        <f t="shared" si="13"/>
        <v>100</v>
      </c>
      <c r="V44" s="774" t="s">
        <v>17</v>
      </c>
      <c r="W44" s="775">
        <f t="shared" si="14"/>
        <v>100</v>
      </c>
      <c r="X44" s="1816"/>
      <c r="Y44" s="3296"/>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94"/>
      <c r="Q45" s="1798">
        <f t="shared" si="11"/>
        <v>111</v>
      </c>
      <c r="R45" s="770" t="s">
        <v>17</v>
      </c>
      <c r="S45" s="771">
        <f t="shared" si="12"/>
        <v>100</v>
      </c>
      <c r="T45" s="770" t="s">
        <v>17</v>
      </c>
      <c r="U45" s="771">
        <f t="shared" si="13"/>
        <v>100</v>
      </c>
      <c r="V45" s="770" t="s">
        <v>17</v>
      </c>
      <c r="W45" s="771">
        <f t="shared" si="14"/>
        <v>100</v>
      </c>
      <c r="X45" s="772"/>
      <c r="Y45" s="3296"/>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94"/>
      <c r="Q46" s="1813">
        <f t="shared" si="11"/>
        <v>111</v>
      </c>
      <c r="R46" s="774" t="s">
        <v>17</v>
      </c>
      <c r="S46" s="775">
        <f t="shared" si="12"/>
        <v>100</v>
      </c>
      <c r="T46" s="774" t="s">
        <v>17</v>
      </c>
      <c r="U46" s="775">
        <f t="shared" si="13"/>
        <v>100</v>
      </c>
      <c r="V46" s="774" t="s">
        <v>17</v>
      </c>
      <c r="W46" s="775">
        <f t="shared" si="14"/>
        <v>100</v>
      </c>
      <c r="X46" s="1816"/>
      <c r="Y46" s="3296"/>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95"/>
      <c r="Q47" s="1813">
        <f t="shared" si="11"/>
        <v>111</v>
      </c>
      <c r="R47" s="774" t="s">
        <v>17</v>
      </c>
      <c r="S47" s="775">
        <f t="shared" si="12"/>
        <v>100</v>
      </c>
      <c r="T47" s="774" t="s">
        <v>17</v>
      </c>
      <c r="U47" s="775">
        <f t="shared" si="13"/>
        <v>100</v>
      </c>
      <c r="V47" s="774" t="s">
        <v>17</v>
      </c>
      <c r="W47" s="775">
        <f t="shared" si="14"/>
        <v>100</v>
      </c>
      <c r="X47" s="1816"/>
      <c r="Y47" s="3297"/>
      <c r="Z47" s="1817">
        <f t="shared" si="15"/>
        <v>111</v>
      </c>
      <c r="AA47" s="1814">
        <f t="shared" si="3"/>
        <v>1</v>
      </c>
      <c r="AB47" s="1814">
        <f t="shared" si="4"/>
        <v>1</v>
      </c>
      <c r="AC47" s="2677">
        <f t="shared" si="5"/>
        <v>1</v>
      </c>
    </row>
    <row r="48" spans="1:29" ht="15">
      <c r="A48" s="479" t="s">
        <v>2574</v>
      </c>
      <c r="B48" s="480"/>
      <c r="C48" s="1410" t="s">
        <v>1</v>
      </c>
      <c r="D48" s="1411"/>
      <c r="E48" s="1412"/>
      <c r="F48" s="1413"/>
      <c r="G48" s="1414"/>
      <c r="H48" s="1415"/>
      <c r="I48" s="1412"/>
      <c r="J48" s="485"/>
      <c r="K48" s="783"/>
      <c r="L48" s="1146"/>
      <c r="M48" s="1134"/>
      <c r="N48" s="1134"/>
      <c r="O48" s="1134"/>
      <c r="P48" s="3271" t="str">
        <f>A48</f>
        <v>成交单价（元/平方米）</v>
      </c>
      <c r="Q48" s="3289"/>
      <c r="R48" s="3290">
        <f>E48</f>
        <v>0</v>
      </c>
      <c r="S48" s="3290"/>
      <c r="T48" s="3290">
        <f>G48</f>
        <v>0</v>
      </c>
      <c r="U48" s="3290"/>
      <c r="V48" s="3290">
        <f>I48</f>
        <v>0</v>
      </c>
      <c r="W48" s="3290"/>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271" t="str">
        <f>A49</f>
        <v>比较价值（元/平方米）</v>
      </c>
      <c r="Q49" s="3289"/>
      <c r="R49" s="3290" t="e">
        <f>IF(F1="售价",ROUND(PRODUCT(R48,AA7:AA47),0),ROUND(PRODUCT(R48,AA7:AA47),1))</f>
        <v>#DIV/0!</v>
      </c>
      <c r="S49" s="3290"/>
      <c r="T49" s="3290" t="e">
        <f>IF(F1="售价",ROUND(PRODUCT(T48,AB7:AB47),0),ROUND(PRODUCT(T48,AB7:AB47),1))</f>
        <v>#DIV/0!</v>
      </c>
      <c r="U49" s="3290"/>
      <c r="V49" s="3290" t="e">
        <f>IF(F1="售价",ROUND(PRODUCT(V48,AC7:AC47),0),ROUND(PRODUCT(V48,AC7:AC47),1))</f>
        <v>#DIV/0!</v>
      </c>
      <c r="W49" s="3290"/>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312" t="str">
        <f>A50</f>
        <v>估价对象XX用房的比较价值（楼面单价，元/平方米）</v>
      </c>
      <c r="Q50" s="3313"/>
      <c r="R50" s="3314" t="e">
        <f>IF(F1="售价",ROUND(AVERAGE(R49:V49),0),ROUND(AVERAGE(R49:V49),1))</f>
        <v>#DIV/0!</v>
      </c>
      <c r="S50" s="3314"/>
      <c r="T50" s="3314"/>
      <c r="U50" s="3314"/>
      <c r="V50" s="3314"/>
      <c r="W50" s="3314"/>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4"/>
      <c r="Q58" s="504"/>
    </row>
    <row r="59" spans="1:29" s="508" customFormat="1" ht="15">
      <c r="A59" s="505" t="s">
        <v>2545</v>
      </c>
      <c r="B59" s="506"/>
      <c r="C59" s="1577" t="str">
        <f>YEAR(C7)&amp;"-"&amp;MONTH(C7)</f>
        <v>2017-12</v>
      </c>
      <c r="D59" s="1578">
        <f>EDATE(C59,-1)</f>
        <v>43040</v>
      </c>
      <c r="E59" s="1578">
        <f>EDATE(D59,-1)</f>
        <v>43009</v>
      </c>
      <c r="F59" s="1578">
        <f t="shared" ref="F59:O59" si="16">EDATE(E59,-1)</f>
        <v>42979</v>
      </c>
      <c r="G59" s="1578">
        <f t="shared" si="16"/>
        <v>42948</v>
      </c>
      <c r="H59" s="1578">
        <f t="shared" si="16"/>
        <v>42917</v>
      </c>
      <c r="I59" s="1578">
        <f t="shared" si="16"/>
        <v>42887</v>
      </c>
      <c r="J59" s="1578">
        <f t="shared" si="16"/>
        <v>42856</v>
      </c>
      <c r="K59" s="1578">
        <f t="shared" si="16"/>
        <v>42826</v>
      </c>
      <c r="L59" s="1578">
        <f t="shared" si="16"/>
        <v>42795</v>
      </c>
      <c r="M59" s="1578">
        <f t="shared" si="16"/>
        <v>42767</v>
      </c>
      <c r="N59" s="1578">
        <f t="shared" si="16"/>
        <v>42736</v>
      </c>
      <c r="O59" s="1578">
        <f t="shared" si="16"/>
        <v>42705</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2582</v>
      </c>
      <c r="B61" s="516"/>
      <c r="C61" s="517"/>
      <c r="D61" s="518"/>
      <c r="E61" s="518"/>
      <c r="F61" s="518"/>
      <c r="G61" s="518"/>
      <c r="H61" s="518"/>
      <c r="I61" s="518"/>
      <c r="J61" s="518"/>
      <c r="K61" s="518"/>
      <c r="L61" s="518"/>
      <c r="M61" s="519"/>
      <c r="N61" s="518"/>
      <c r="O61" s="519"/>
      <c r="P61" s="2685"/>
      <c r="Q61" s="504"/>
    </row>
    <row r="62" spans="1:29" s="117" customFormat="1" ht="15">
      <c r="A62" s="521" t="s">
        <v>2547</v>
      </c>
      <c r="B62" s="510"/>
      <c r="C62" s="522" t="s">
        <v>2649</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2585</v>
      </c>
      <c r="B64" s="528" t="s">
        <v>2551</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2696</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2560</v>
      </c>
      <c r="B101" s="528" t="s">
        <v>2609</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2611</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2613</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2614</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2615</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2698</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2617</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北京昌平科技园发展有限公司：</v>
      </c>
    </row>
    <row r="4" spans="1:1" ht="18">
      <c r="A4" s="1951" t="str">
        <f>"受贵公司委托，我公司对"&amp;项目基本情况!S1&amp;"进行了预评估。"</f>
        <v>受贵公司委托，我公司对北京市昌平区昌盛路12号院进行了预评估。</v>
      </c>
    </row>
    <row r="5" spans="1:1" ht="18.75">
      <c r="A5" s="1952" t="s">
        <v>1613</v>
      </c>
    </row>
    <row r="6" spans="1:1" ht="18.75">
      <c r="A6" s="1953" t="s">
        <v>1614</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盛路12号院房地产，为北京昌平科技园发展有限公司所有。根据估价委托人提供的《LOHAS总图》，估价对象（分摊）出让国有建设用地使用权面积为11873.13平方米，建筑面积为21214.79平方米。</v>
      </c>
    </row>
    <row r="8" spans="1:1" ht="57.75">
      <c r="A8" s="1954" t="s">
        <v>1615</v>
      </c>
    </row>
    <row r="9" spans="1:1" ht="18.75">
      <c r="A9" s="1953" t="s">
        <v>1616</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盛路12号院房地产,属北京昌平科技园发展有限公司开发建设的工业项目，该项目尚在开发建设中。根据估价委托人提供的《LOHAS总图》，估价对象（分摊）出让国有建设用地使用权面积为11873.13平方米，规划建筑面积为21214.79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1619</v>
      </c>
    </row>
    <row r="15" spans="1:1" ht="18">
      <c r="A15" s="1957" t="str">
        <f>TEXT(项目基本情况!D3,"yyyy年m月d日;;")&amp;IF(项目基本情况!D3=项目基本情况!B3,"（评估专业人员实地查勘之日）","")</f>
        <v>2017年12月31日</v>
      </c>
    </row>
    <row r="16" spans="1:1" ht="18.75">
      <c r="A16" s="1956" t="s">
        <v>1620</v>
      </c>
    </row>
    <row r="17" spans="1:1" ht="75">
      <c r="A17" s="1951" t="s">
        <v>1621</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31日，估价对象规划用途为，土地取得方式为出让，出让国有建设用地使用权剩余土地使用年限为工业44.59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工业44.59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3095</v>
      </c>
      <c r="D1" s="1823" t="s">
        <v>70</v>
      </c>
      <c r="E1" s="1824" t="s">
        <v>1387</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t="e">
        <f ca="1">C40+J29+L46</f>
        <v>#N/A</v>
      </c>
      <c r="C2" s="1848" t="s">
        <v>1517</v>
      </c>
      <c r="D2" s="1848"/>
      <c r="E2" s="1849"/>
      <c r="F2" s="1850"/>
      <c r="G2" s="1851"/>
      <c r="H2" s="1843"/>
      <c r="I2" s="1843"/>
      <c r="J2" s="1843"/>
      <c r="K2" s="1844"/>
      <c r="L2" s="1843"/>
      <c r="M2" s="1843"/>
    </row>
    <row r="3" spans="1:37" ht="18" customHeight="1" thickBot="1">
      <c r="A3" s="1852" t="s">
        <v>1518</v>
      </c>
      <c r="B3" s="1853">
        <f ca="1">IF(ISERROR(B2*10000/F43),0,ROUND(B2*10000/F43,0))</f>
        <v>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t="e">
        <f ca="1">C6+C10+C12</f>
        <v>#N/A</v>
      </c>
      <c r="D5" s="1825" t="s">
        <v>1402</v>
      </c>
      <c r="E5" s="1296"/>
      <c r="F5" s="1297"/>
      <c r="G5" s="1854"/>
      <c r="H5" s="344">
        <v>1</v>
      </c>
      <c r="I5" s="345" t="s">
        <v>1401</v>
      </c>
      <c r="J5" s="1295" t="e">
        <f ca="1">J6+J10+J12</f>
        <v>#N/A</v>
      </c>
      <c r="K5" s="1825" t="s">
        <v>1402</v>
      </c>
      <c r="L5" s="1296"/>
      <c r="M5" s="1297"/>
    </row>
    <row r="6" spans="1:37" ht="18" customHeight="1">
      <c r="A6" s="1294" t="s">
        <v>1035</v>
      </c>
      <c r="B6" s="3230" t="s">
        <v>1403</v>
      </c>
      <c r="C6" s="1299" t="e">
        <f ca="1">ROUND(F6*F8*F7*(1-F9)/10000,0)</f>
        <v>#N/A</v>
      </c>
      <c r="D6" s="164" t="s">
        <v>3030</v>
      </c>
      <c r="E6" s="347" t="s">
        <v>1405</v>
      </c>
      <c r="F6" s="348" t="e">
        <f ca="1">INDIRECT("'数据-取费表'!u"&amp;$G$1)</f>
        <v>#N/A</v>
      </c>
      <c r="G6" s="1854"/>
      <c r="H6" s="1294" t="s">
        <v>1035</v>
      </c>
      <c r="I6" s="3230" t="s">
        <v>1403</v>
      </c>
      <c r="J6" s="346" t="e">
        <f ca="1">ROUND(M6*M8*M7*(1-M9)/10000,0)</f>
        <v>#N/A</v>
      </c>
      <c r="K6" s="164" t="s">
        <v>3029</v>
      </c>
      <c r="L6" s="347" t="s">
        <v>1405</v>
      </c>
      <c r="M6" s="348" t="e">
        <f ca="1">INDIRECT("'数据-取费表'!z"&amp;$G$1)</f>
        <v>#N/A</v>
      </c>
    </row>
    <row r="7" spans="1:37" ht="18" customHeight="1">
      <c r="A7" s="1298"/>
      <c r="B7" s="3231"/>
      <c r="C7" s="1300"/>
      <c r="D7" s="352"/>
      <c r="E7" s="2950" t="s">
        <v>1406</v>
      </c>
      <c r="F7" s="348" t="e">
        <f ca="1">IF(INDIRECT("'数据-取费表'!ah"&amp;$G$1)="",INDIRECT("'数据-取费表'!k"&amp;$G$1),INDIRECT("'数据-取费表'!ah"&amp;$G$1))</f>
        <v>#N/A</v>
      </c>
      <c r="G7" s="1854"/>
      <c r="H7" s="349"/>
      <c r="I7" s="3231"/>
      <c r="J7" s="351"/>
      <c r="K7" s="352"/>
      <c r="L7" s="347" t="s">
        <v>1406</v>
      </c>
      <c r="M7" s="348" t="e">
        <f ca="1">F7</f>
        <v>#N/A</v>
      </c>
    </row>
    <row r="8" spans="1:37" ht="18" customHeight="1">
      <c r="A8" s="349"/>
      <c r="B8" s="3231"/>
      <c r="C8" s="351"/>
      <c r="D8" s="352"/>
      <c r="E8" s="347" t="s">
        <v>1407</v>
      </c>
      <c r="F8" s="348" t="e">
        <f ca="1">INDIRECT("'数据-取费表'!ai"&amp;$G$1)</f>
        <v>#N/A</v>
      </c>
      <c r="G8" s="1854"/>
      <c r="H8" s="349"/>
      <c r="I8" s="3231"/>
      <c r="J8" s="351"/>
      <c r="K8" s="352"/>
      <c r="L8" s="347" t="s">
        <v>1407</v>
      </c>
      <c r="M8" s="348" t="e">
        <f ca="1">INDIRECT("'数据-取费表'!ai"&amp;$G$1)</f>
        <v>#N/A</v>
      </c>
    </row>
    <row r="9" spans="1:37" ht="18" customHeight="1">
      <c r="A9" s="349"/>
      <c r="B9" s="3232"/>
      <c r="C9" s="351"/>
      <c r="D9" s="352"/>
      <c r="E9" s="347" t="s">
        <v>1408</v>
      </c>
      <c r="F9" s="357" t="e">
        <f ca="1">INDIRECT("'数据-取费表'!w"&amp;$G$1)</f>
        <v>#N/A</v>
      </c>
      <c r="G9" s="1854"/>
      <c r="H9" s="349"/>
      <c r="I9" s="3232"/>
      <c r="J9" s="351"/>
      <c r="K9" s="352"/>
      <c r="L9" s="358" t="s">
        <v>1408</v>
      </c>
      <c r="M9" s="359" t="e">
        <f ca="1">INDIRECT("'数据-取费表'!ab"&amp;$G$1)</f>
        <v>#N/A</v>
      </c>
    </row>
    <row r="10" spans="1:37" ht="18" customHeight="1">
      <c r="A10" s="1294" t="s">
        <v>1039</v>
      </c>
      <c r="B10" s="1826" t="s">
        <v>1409</v>
      </c>
      <c r="C10" s="361">
        <f ca="1">ROUND(IF(F10="押一",F6*F8*F7/12*F11,IF(F10="押二",F6*F8*F7/12*2*F11,IF(F10="押三",F6*F8*F7/12*3*F11,C11*F11)))/10000,0)</f>
        <v>0</v>
      </c>
      <c r="D10" s="1827" t="s">
        <v>3026</v>
      </c>
      <c r="E10" s="358" t="s">
        <v>1411</v>
      </c>
      <c r="F10" s="1369" t="s">
        <v>3091</v>
      </c>
      <c r="G10" s="1854"/>
      <c r="H10" s="1294" t="s">
        <v>1039</v>
      </c>
      <c r="I10" s="1826" t="s">
        <v>1409</v>
      </c>
      <c r="J10" s="346" t="e">
        <f ca="1">ROUND(IF(M10="押一",M6*M8*M7/12*M11,IF(M10="押二",M6*M8*M7/12*2*M11,IF(M10="押三",M6*M8*M7/12*3*M11,J11*M11)))/10000,0)</f>
        <v>#N/A</v>
      </c>
      <c r="K10" s="1827" t="s">
        <v>3026</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t="e">
        <f ca="1">ROUND(C29*F13,0)</f>
        <v>#N/A</v>
      </c>
      <c r="D13" s="1334" t="s">
        <v>1416</v>
      </c>
      <c r="E13" s="1334" t="s">
        <v>1417</v>
      </c>
      <c r="F13" s="1335" t="e">
        <f ca="1">INDIRECT("'数据-取费表'!y"&amp;$G$1)</f>
        <v>#N/A</v>
      </c>
      <c r="G13" s="1854"/>
      <c r="H13" s="1332">
        <v>2</v>
      </c>
      <c r="I13" s="1333" t="s">
        <v>1415</v>
      </c>
      <c r="J13" s="1293" t="e">
        <f ca="1">ROUND(J14*J15,0)</f>
        <v>#N/A</v>
      </c>
      <c r="K13" s="1340" t="s">
        <v>1416</v>
      </c>
      <c r="L13" s="1855"/>
      <c r="M13" s="1856"/>
    </row>
    <row r="14" spans="1:37" ht="18" customHeight="1">
      <c r="A14" s="1204" t="s">
        <v>1034</v>
      </c>
      <c r="B14" s="347" t="s">
        <v>1418</v>
      </c>
      <c r="C14" s="363" t="e">
        <f ca="1">INDIRECT("'数据-取费表'!m"&amp;$G$1)+INDIRECT("'数据-取费表'!t"&amp;$G$1)</f>
        <v>#N/A</v>
      </c>
      <c r="D14" s="2944" t="s">
        <v>1419</v>
      </c>
      <c r="E14" s="2942"/>
      <c r="F14" s="364"/>
      <c r="G14" s="1854"/>
      <c r="H14" s="1204" t="s">
        <v>1035</v>
      </c>
      <c r="I14" s="347" t="s">
        <v>1420</v>
      </c>
      <c r="J14" s="24" t="e">
        <f ca="1">C29</f>
        <v>#N/A</v>
      </c>
      <c r="K14" s="2949"/>
      <c r="L14" s="982"/>
      <c r="M14" s="983"/>
    </row>
    <row r="15" spans="1:37" s="1861" customFormat="1" ht="18" customHeight="1" thickBot="1">
      <c r="A15" s="1204" t="s">
        <v>1036</v>
      </c>
      <c r="B15" s="347" t="s">
        <v>1421</v>
      </c>
      <c r="C15" s="24" t="e">
        <f ca="1">ROUND(C14*F15,0)</f>
        <v>#N/A</v>
      </c>
      <c r="D15" s="365" t="s">
        <v>1422</v>
      </c>
      <c r="E15" s="365" t="s">
        <v>1423</v>
      </c>
      <c r="F15" s="366">
        <f>'数据-取费表'!B33</f>
        <v>0.05</v>
      </c>
      <c r="G15" s="1857"/>
      <c r="H15" s="1342" t="s">
        <v>1039</v>
      </c>
      <c r="I15" s="1343" t="s">
        <v>1417</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t="e">
        <f ca="1">ROUND(INDIRECT("'数据-取费表'!m"&amp;$G$1)*F16,0)</f>
        <v>#N/A</v>
      </c>
      <c r="D16" s="347" t="s">
        <v>1422</v>
      </c>
      <c r="E16" s="347" t="s">
        <v>1423</v>
      </c>
      <c r="F16" s="367" t="e">
        <f ca="1">IF(INDIRECT("'数据-取费表'!c"&amp;$G$1)="住宅",'数据-取费表'!B34,0)</f>
        <v>#N/A</v>
      </c>
      <c r="G16" s="1854"/>
      <c r="H16" s="1332" t="s">
        <v>1030</v>
      </c>
      <c r="I16" s="1333" t="s">
        <v>1425</v>
      </c>
      <c r="J16" s="355" t="e">
        <f ca="1">ROUND(J17+J22+J23+J24,0)</f>
        <v>#N/A</v>
      </c>
      <c r="K16" s="1340" t="s">
        <v>1426</v>
      </c>
      <c r="L16" s="2945"/>
      <c r="M16" s="1297"/>
    </row>
    <row r="17" spans="1:37" s="1861" customFormat="1" ht="18" customHeight="1">
      <c r="A17" s="1204" t="s">
        <v>1390</v>
      </c>
      <c r="B17" s="347" t="s">
        <v>1427</v>
      </c>
      <c r="C17" s="24" t="e">
        <f ca="1">ROUND(F17*(F43+INDIRECT("'数据-取费表'!S"&amp;$G$1))/10000,0)</f>
        <v>#N/A</v>
      </c>
      <c r="D17" s="347" t="s">
        <v>1428</v>
      </c>
      <c r="E17" s="347" t="s">
        <v>1429</v>
      </c>
      <c r="F17" s="26">
        <f>'数据-取费表'!B35</f>
        <v>200</v>
      </c>
      <c r="G17" s="1857"/>
      <c r="H17" s="1204" t="s">
        <v>1035</v>
      </c>
      <c r="I17" s="347" t="s">
        <v>1430</v>
      </c>
      <c r="J17" s="24" t="e">
        <f ca="1">ROUND(IF(项目基本情况!B11="自然人",J5*M17,J18+J19+J20),1)</f>
        <v>#N/A</v>
      </c>
      <c r="K17" s="2944" t="s">
        <v>1431</v>
      </c>
      <c r="L17" s="2943"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t="e">
        <f ca="1">ROUND(C14*F18,0)</f>
        <v>#N/A</v>
      </c>
      <c r="D18" s="347" t="s">
        <v>1422</v>
      </c>
      <c r="E18" s="347" t="s">
        <v>1423</v>
      </c>
      <c r="F18" s="367">
        <f>'数据-取费表'!B36</f>
        <v>1.4999999999999999E-2</v>
      </c>
      <c r="G18" s="1857"/>
      <c r="H18" s="1204" t="s">
        <v>1034</v>
      </c>
      <c r="I18" s="347" t="s">
        <v>1434</v>
      </c>
      <c r="J18" s="24" t="e">
        <f ca="1">ROUND(J5*M18/(1+'数据-取费表'!C42),2)</f>
        <v>#N/A</v>
      </c>
      <c r="K18" s="2943"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t="e">
        <f ca="1">SUM(C14:C18)</f>
        <v>#N/A</v>
      </c>
      <c r="D19" s="140" t="s">
        <v>1437</v>
      </c>
      <c r="E19" s="2948"/>
      <c r="F19" s="26"/>
      <c r="G19" s="1854"/>
      <c r="H19" s="1204" t="s">
        <v>1036</v>
      </c>
      <c r="I19" s="347" t="s">
        <v>1438</v>
      </c>
      <c r="J19" s="24" t="e">
        <f ca="1">IF(K19="按租金收入计税",ROUND(J5*M19,2),ROUND(C29*M19*0.7,2))</f>
        <v>#N/A</v>
      </c>
      <c r="K19" s="1831" t="s">
        <v>1439</v>
      </c>
      <c r="L19" s="347" t="s">
        <v>1423</v>
      </c>
      <c r="M19" s="367">
        <f>IF(K19="按租金收入计税",'数据-取费表'!B51,'数据-取费表'!B50)</f>
        <v>1.2E-2</v>
      </c>
    </row>
    <row r="20" spans="1:37" s="1861" customFormat="1" ht="18" customHeight="1">
      <c r="A20" s="1204" t="s">
        <v>1039</v>
      </c>
      <c r="B20" s="347" t="s">
        <v>1440</v>
      </c>
      <c r="C20" s="24" t="e">
        <f ca="1">ROUND(C19*F20,0)</f>
        <v>#N/A</v>
      </c>
      <c r="D20" s="369" t="s">
        <v>1441</v>
      </c>
      <c r="E20" s="347" t="s">
        <v>1423</v>
      </c>
      <c r="F20" s="367">
        <f>'数据-取费表'!B37</f>
        <v>0.02</v>
      </c>
      <c r="G20" s="1857"/>
      <c r="H20" s="1204" t="s">
        <v>1389</v>
      </c>
      <c r="I20" s="164" t="s">
        <v>1442</v>
      </c>
      <c r="J20" s="25" t="e">
        <f ca="1">ROUND(M20*M21/10000,2)</f>
        <v>#N/A</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2948"/>
      <c r="F22" s="26"/>
      <c r="G22" s="1854"/>
      <c r="H22" s="1204" t="s">
        <v>1039</v>
      </c>
      <c r="I22" s="347" t="s">
        <v>1450</v>
      </c>
      <c r="J22" s="24" t="e">
        <f ca="1">ROUND(J14*M22,1)</f>
        <v>#N/A</v>
      </c>
      <c r="K22" s="2943" t="s">
        <v>1451</v>
      </c>
      <c r="L22" s="347" t="s">
        <v>1423</v>
      </c>
      <c r="M22" s="374" t="e">
        <f ca="1">INDIRECT("'数据-取费表'!Ak"&amp;$G$1)</f>
        <v>#N/A</v>
      </c>
    </row>
    <row r="23" spans="1:37" s="1861" customFormat="1" ht="18" customHeight="1">
      <c r="A23" s="1204"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t="e">
        <f ca="1">ROUND(J13*M23,1)</f>
        <v>#N/A</v>
      </c>
      <c r="K23" s="2943" t="s">
        <v>1455</v>
      </c>
      <c r="L23" s="347" t="s">
        <v>1423</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1392</v>
      </c>
      <c r="I24" s="1343" t="s">
        <v>1440</v>
      </c>
      <c r="J24" s="1344" t="e">
        <f ca="1">ROUND(J5*M24,1)</f>
        <v>#N/A</v>
      </c>
      <c r="K24" s="1345" t="s">
        <v>1460</v>
      </c>
      <c r="L24" s="1343" t="s">
        <v>1423</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2948"/>
      <c r="F25" s="26"/>
      <c r="G25" s="1854"/>
      <c r="H25" s="1332" t="s">
        <v>1031</v>
      </c>
      <c r="I25" s="1347" t="s">
        <v>1464</v>
      </c>
      <c r="J25" s="355" t="e">
        <f ca="1">J5-J16</f>
        <v>#N/A</v>
      </c>
      <c r="K25" s="1348" t="s">
        <v>1465</v>
      </c>
      <c r="L25" s="1349"/>
      <c r="M25" s="1350"/>
    </row>
    <row r="26" spans="1:37">
      <c r="A26" s="1204" t="s">
        <v>1034</v>
      </c>
      <c r="B26" s="347" t="s">
        <v>1466</v>
      </c>
      <c r="C26" s="24" t="e">
        <f ca="1">ROUND((C19+C20)*F26,0)</f>
        <v>#N/A</v>
      </c>
      <c r="D26" s="369" t="s">
        <v>1467</v>
      </c>
      <c r="E26" s="358" t="s">
        <v>1468</v>
      </c>
      <c r="F26" s="357" t="e">
        <f ca="1">INDIRECT("'数据-取费表'!q"&amp;$G$1)</f>
        <v>#N/A</v>
      </c>
      <c r="G26" s="1854"/>
      <c r="H26" s="344" t="s">
        <v>1032</v>
      </c>
      <c r="I26" s="345" t="s">
        <v>1469</v>
      </c>
      <c r="J26" s="346" t="e">
        <f ca="1">IF(J5&lt;&gt;0,ROUND(J25*(1-((1+M28)/(1+M26))^M27)/(M26-M28),0),0)</f>
        <v>#N/A</v>
      </c>
      <c r="K26" s="370" t="s">
        <v>1470</v>
      </c>
      <c r="L26" s="347" t="s">
        <v>1471</v>
      </c>
      <c r="M26" s="357" t="e">
        <f ca="1">INDIRECT("'数据-取费表'!I"&amp;$G$1)</f>
        <v>#N/A</v>
      </c>
    </row>
    <row r="27" spans="1:37" ht="18" customHeight="1">
      <c r="A27" s="1204" t="s">
        <v>1036</v>
      </c>
      <c r="B27" s="347" t="s">
        <v>1472</v>
      </c>
      <c r="C27" s="24" t="e">
        <f ca="1">ROUND(F21*F26,4)</f>
        <v>#N/A</v>
      </c>
      <c r="D27" s="369" t="s">
        <v>1473</v>
      </c>
      <c r="E27" s="365"/>
      <c r="F27" s="366"/>
      <c r="G27" s="1854"/>
      <c r="H27" s="349"/>
      <c r="I27" s="350"/>
      <c r="J27" s="351"/>
      <c r="K27" s="378" t="s">
        <v>1474</v>
      </c>
      <c r="L27" s="347" t="s">
        <v>1475</v>
      </c>
      <c r="M27" s="379" t="e">
        <f ca="1">INDIRECT("'数据-取费表'!ag"&amp;$G$1)</f>
        <v>#N/A</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t="e">
        <f ca="1">ROUND((C19+C20+C23+C26)/(1-F21-C24-C27-C28),0)</f>
        <v>#N/A</v>
      </c>
      <c r="D29" s="1345"/>
      <c r="E29" s="1343"/>
      <c r="F29" s="1346"/>
      <c r="G29" s="1857"/>
      <c r="H29" s="380" t="s">
        <v>1033</v>
      </c>
      <c r="I29" s="381" t="s">
        <v>1480</v>
      </c>
      <c r="J29" s="382" t="e">
        <f ca="1">ROUND(J26/(1+F40)^F41,0)</f>
        <v>#N/A</v>
      </c>
      <c r="K29" s="383" t="s">
        <v>1481</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t="e">
        <f ca="1">ROUND(C31+C36+C37+C38,0)</f>
        <v>#N/A</v>
      </c>
      <c r="D30" s="1340" t="s">
        <v>1426</v>
      </c>
      <c r="E30" s="2945"/>
      <c r="F30" s="1297"/>
      <c r="G30" s="1854"/>
      <c r="H30" s="745"/>
      <c r="I30" s="746"/>
      <c r="J30" s="747"/>
      <c r="K30" s="748"/>
      <c r="L30" s="749"/>
      <c r="M30" s="750"/>
    </row>
    <row r="31" spans="1:37" ht="18" customHeight="1">
      <c r="A31" s="1204" t="s">
        <v>1035</v>
      </c>
      <c r="B31" s="347" t="s">
        <v>1430</v>
      </c>
      <c r="C31" s="24" t="e">
        <f ca="1">ROUND(IF(项目基本情况!B11="自然人",C5*F31,C32+C33+C34),1)</f>
        <v>#N/A</v>
      </c>
      <c r="D31" s="2944" t="s">
        <v>1431</v>
      </c>
      <c r="E31" s="2943"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t="e">
        <f ca="1">IF(项目基本情况!B11="自然人","——",ROUND(C5*F32/(1+'数据-取费表'!C42),2))</f>
        <v>#N/A</v>
      </c>
      <c r="D32" s="2943" t="s">
        <v>1435</v>
      </c>
      <c r="E32" s="347" t="s">
        <v>1423</v>
      </c>
      <c r="F32" s="377">
        <f>'数据-取费表'!B41</f>
        <v>5.5000000000000007E-2</v>
      </c>
      <c r="G32" s="1854"/>
      <c r="H32" s="745"/>
      <c r="I32" s="746"/>
      <c r="J32" s="747"/>
      <c r="K32" s="748"/>
      <c r="L32" s="749"/>
      <c r="M32" s="750"/>
    </row>
    <row r="33" spans="1:18" ht="18" customHeight="1">
      <c r="A33" s="1204" t="s">
        <v>1036</v>
      </c>
      <c r="B33" s="347" t="s">
        <v>1438</v>
      </c>
      <c r="C33" s="24" t="e">
        <f ca="1">IF(项目基本情况!B11="自然人","——",IF(D33="按租金收入计税",ROUND(C5*F33,2),IF(D33="按房产原值计税",ROUND(C29*F33*0.7,2),INDIRECT("'数据-取费表'!Aj"&amp;$G$1))))</f>
        <v>#N/A</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t="e">
        <f ca="1">IF(项目基本情况!B11="自然人","——",ROUND(F34*F35/10000,2))</f>
        <v>#N/A</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t="e">
        <f ca="1">INDIRECT("'数据-取费表'!r"&amp;$G$1)</f>
        <v>#N/A</v>
      </c>
      <c r="G35" s="1854"/>
      <c r="H35" s="745"/>
      <c r="I35" s="1863"/>
      <c r="J35" s="1864"/>
      <c r="K35" s="1865"/>
      <c r="L35" s="1862"/>
      <c r="M35" s="1862"/>
    </row>
    <row r="36" spans="1:18" ht="18" customHeight="1">
      <c r="A36" s="1355" t="s">
        <v>1039</v>
      </c>
      <c r="B36" s="347" t="s">
        <v>1450</v>
      </c>
      <c r="C36" s="24" t="e">
        <f ca="1">ROUND(C29*F36,1)</f>
        <v>#N/A</v>
      </c>
      <c r="D36" s="2943" t="s">
        <v>1483</v>
      </c>
      <c r="E36" s="347" t="s">
        <v>1423</v>
      </c>
      <c r="F36" s="374" t="e">
        <f ca="1">INDIRECT("'数据-取费表'!Ak"&amp;$G$1)</f>
        <v>#N/A</v>
      </c>
      <c r="G36" s="1854"/>
      <c r="H36" s="1862"/>
      <c r="I36" s="1863"/>
      <c r="J36" s="1864"/>
      <c r="K36" s="751"/>
      <c r="L36" s="1862"/>
      <c r="M36" s="1862"/>
    </row>
    <row r="37" spans="1:18" ht="18" customHeight="1">
      <c r="A37" s="1204" t="s">
        <v>1075</v>
      </c>
      <c r="B37" s="347" t="s">
        <v>1454</v>
      </c>
      <c r="C37" s="24" t="e">
        <f ca="1">ROUND(C13*F37,1)</f>
        <v>#N/A</v>
      </c>
      <c r="D37" s="2943" t="s">
        <v>1455</v>
      </c>
      <c r="E37" s="347" t="s">
        <v>1423</v>
      </c>
      <c r="F37" s="376" t="e">
        <f ca="1">INDIRECT("'数据-取费表'!Al"&amp;$G$1)</f>
        <v>#N/A</v>
      </c>
      <c r="G37" s="1854"/>
      <c r="H37" s="1862"/>
      <c r="I37" s="1863"/>
      <c r="J37" s="1864"/>
      <c r="K37" s="751"/>
      <c r="L37" s="1862"/>
      <c r="M37" s="1862"/>
    </row>
    <row r="38" spans="1:18" ht="18" customHeight="1" thickBot="1">
      <c r="A38" s="1342" t="s">
        <v>1392</v>
      </c>
      <c r="B38" s="1343" t="s">
        <v>1440</v>
      </c>
      <c r="C38" s="1344" t="e">
        <f ca="1">ROUND(C5*F38,1)</f>
        <v>#N/A</v>
      </c>
      <c r="D38" s="1345" t="s">
        <v>1460</v>
      </c>
      <c r="E38" s="1343" t="s">
        <v>1423</v>
      </c>
      <c r="F38" s="1339" t="e">
        <f ca="1">INDIRECT("'数据-取费表'!Am"&amp;$G$1)</f>
        <v>#N/A</v>
      </c>
      <c r="G38" s="1854"/>
      <c r="H38" s="1862"/>
      <c r="I38" s="1863"/>
      <c r="J38" s="1864"/>
      <c r="K38" s="1868"/>
      <c r="L38" s="1862"/>
      <c r="M38" s="1862"/>
    </row>
    <row r="39" spans="1:18" ht="24.6" customHeight="1" thickTop="1">
      <c r="A39" s="1332" t="s">
        <v>1031</v>
      </c>
      <c r="B39" s="1347" t="s">
        <v>1464</v>
      </c>
      <c r="C39" s="355" t="e">
        <f ca="1">C5-C30</f>
        <v>#N/A</v>
      </c>
      <c r="D39" s="1348" t="s">
        <v>1465</v>
      </c>
      <c r="E39" s="1349"/>
      <c r="F39" s="1350"/>
      <c r="G39" s="1854"/>
      <c r="H39" s="1862"/>
      <c r="I39" s="1863"/>
      <c r="J39" s="1864"/>
      <c r="K39" s="1868"/>
      <c r="L39" s="1862"/>
      <c r="M39" s="1862"/>
    </row>
    <row r="40" spans="1:18" ht="18" customHeight="1">
      <c r="A40" s="344" t="s">
        <v>1032</v>
      </c>
      <c r="B40" s="345" t="s">
        <v>1486</v>
      </c>
      <c r="C40" s="346" t="e">
        <f ca="1">ROUND(C39*(1-((1+F42)/(1+F40))^F41)/(F40-F42),0)</f>
        <v>#N/A</v>
      </c>
      <c r="D40" s="370" t="s">
        <v>1470</v>
      </c>
      <c r="E40" s="347" t="s">
        <v>1471</v>
      </c>
      <c r="F40" s="357" t="e">
        <f ca="1">INDIRECT("'数据-取费表'!I"&amp;$G$1)</f>
        <v>#N/A</v>
      </c>
      <c r="G40" s="1854"/>
      <c r="H40" s="1842"/>
      <c r="I40" s="1863"/>
      <c r="J40" s="1864"/>
      <c r="K40" s="1868"/>
      <c r="L40" s="1842"/>
      <c r="M40" s="1842"/>
    </row>
    <row r="41" spans="1:18" ht="18" customHeight="1">
      <c r="A41" s="349"/>
      <c r="B41" s="350"/>
      <c r="C41" s="351"/>
      <c r="D41" s="378" t="s">
        <v>1487</v>
      </c>
      <c r="E41" s="347" t="s">
        <v>1475</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1478</v>
      </c>
      <c r="F42" s="357" t="e">
        <f ca="1">INDIRECT("'数据-取费表'!v"&amp;$G$1)</f>
        <v>#N/A</v>
      </c>
      <c r="G42" s="1854"/>
      <c r="H42" s="732"/>
      <c r="I42" s="1863"/>
      <c r="J42" s="1864"/>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t="e">
        <f ca="1">C68-C40</f>
        <v>#N/A</v>
      </c>
      <c r="D46" s="1875" t="str">
        <f>C2</f>
        <v>万元</v>
      </c>
      <c r="E46" s="1869"/>
      <c r="F46" s="1869"/>
      <c r="I46" s="1876" t="s">
        <v>1522</v>
      </c>
      <c r="J46" s="1877"/>
      <c r="K46" s="1878"/>
      <c r="L46" s="1879" t="e">
        <f ca="1">IF(M47="住宅",0,IF(L48&gt;J51,L60,J60))</f>
        <v>#N/A</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3083</v>
      </c>
      <c r="K47" s="1885" t="s">
        <v>1528</v>
      </c>
      <c r="L47" s="1886" t="e">
        <f ca="1">INDIRECT("'数据-取费表'!d"&amp;$G$1)</f>
        <v>#N/A</v>
      </c>
      <c r="M47" s="1841" t="str">
        <f>IF(ISNUMBER(FIND("住宅",C1)),"住宅","非住宅")</f>
        <v>非住宅</v>
      </c>
      <c r="O47" s="1887" t="s">
        <v>1040</v>
      </c>
      <c r="P47" s="1888" t="s">
        <v>1529</v>
      </c>
      <c r="Q47" s="1889" t="e">
        <f ca="1">C40+J29</f>
        <v>#N/A</v>
      </c>
      <c r="R47" s="1889" t="s">
        <v>1530</v>
      </c>
    </row>
    <row r="48" spans="1:18" s="1845" customFormat="1" ht="28.5" thickBot="1">
      <c r="A48" s="1363" t="s">
        <v>1135</v>
      </c>
      <c r="B48" s="345" t="s">
        <v>1401</v>
      </c>
      <c r="C48" s="2947" t="e">
        <f ca="1">C49+C53+C55</f>
        <v>#N/A</v>
      </c>
      <c r="D48" s="1365"/>
      <c r="E48" s="1366"/>
      <c r="F48" s="1184"/>
      <c r="G48" s="792"/>
      <c r="H48" s="793"/>
      <c r="I48" s="1890" t="s">
        <v>1531</v>
      </c>
      <c r="J48" s="1891" t="s">
        <v>3084</v>
      </c>
      <c r="K48" s="1892" t="s">
        <v>1532</v>
      </c>
      <c r="L48" s="1893" t="e">
        <f ca="1">INDIRECT("'数据-取费表'!f"&amp;$G$1)</f>
        <v>#N/A</v>
      </c>
      <c r="O48" s="1887" t="s">
        <v>1041</v>
      </c>
      <c r="P48" s="1888" t="s">
        <v>1533</v>
      </c>
      <c r="Q48" s="1889" t="e">
        <f ca="1">J60</f>
        <v>#N/A</v>
      </c>
      <c r="R48" s="1889" t="s">
        <v>1534</v>
      </c>
    </row>
    <row r="49" spans="1:18" s="1845" customFormat="1" ht="13.5" thickBot="1">
      <c r="A49" s="1197" t="s">
        <v>1136</v>
      </c>
      <c r="B49" s="1832" t="s">
        <v>1491</v>
      </c>
      <c r="C49" s="1367" t="e">
        <f ca="1">ROUND(F49*F51*F50*(1-F52)/10000,0)</f>
        <v>#N/A</v>
      </c>
      <c r="D49" s="1279" t="s">
        <v>3029</v>
      </c>
      <c r="E49" s="1833" t="s">
        <v>1492</v>
      </c>
      <c r="F49" s="1284"/>
      <c r="G49" s="1894"/>
      <c r="H49" s="793"/>
      <c r="I49" s="1890" t="s">
        <v>1535</v>
      </c>
      <c r="J49" s="1895">
        <v>2016</v>
      </c>
      <c r="K49" s="1892" t="s">
        <v>1536</v>
      </c>
      <c r="L49" s="1896"/>
      <c r="O49" s="1897" t="s">
        <v>1042</v>
      </c>
      <c r="P49" s="1888" t="s">
        <v>1537</v>
      </c>
      <c r="Q49" s="1889" t="e">
        <f ca="1">C29</f>
        <v>#N/A</v>
      </c>
      <c r="R49" s="1889" t="s">
        <v>1530</v>
      </c>
    </row>
    <row r="50" spans="1:18" s="1845" customFormat="1" ht="13.5" thickBot="1">
      <c r="A50" s="1198"/>
      <c r="B50" s="1201"/>
      <c r="C50" s="1371"/>
      <c r="D50" s="1175"/>
      <c r="E50" s="1280" t="s">
        <v>1406</v>
      </c>
      <c r="F50" s="1281" t="e">
        <f ca="1">F7</f>
        <v>#N/A</v>
      </c>
      <c r="H50" s="793"/>
      <c r="I50" s="1890" t="s">
        <v>1538</v>
      </c>
      <c r="J50" s="1898">
        <f>SUMPRODUCT((I63:I65=J47)*(J62:L62=J48)*(J63:L65))</f>
        <v>60</v>
      </c>
      <c r="K50" s="1892" t="s">
        <v>1539</v>
      </c>
      <c r="L50" s="1896"/>
      <c r="M50" s="1899"/>
      <c r="O50" s="1897" t="s">
        <v>1043</v>
      </c>
      <c r="P50" s="1888" t="s">
        <v>1540</v>
      </c>
      <c r="Q50" s="1900" t="e">
        <f ca="1">J58</f>
        <v>#N/A</v>
      </c>
      <c r="R50" s="1889"/>
    </row>
    <row r="51" spans="1:18" s="1845" customFormat="1" ht="13.5" thickBot="1">
      <c r="A51" s="1199"/>
      <c r="B51" s="1201"/>
      <c r="C51" s="1202"/>
      <c r="D51" s="1175"/>
      <c r="E51" s="1203" t="s">
        <v>1407</v>
      </c>
      <c r="F51" s="348" t="e">
        <f ca="1">F8</f>
        <v>#N/A</v>
      </c>
      <c r="I51" s="1901" t="s">
        <v>1541</v>
      </c>
      <c r="J51" s="1902">
        <f>IF(J49="",J50,J49+J50-YEAR('数据-取费表'!B2))</f>
        <v>59</v>
      </c>
      <c r="K51" s="1903" t="s">
        <v>1542</v>
      </c>
      <c r="L51" s="1904" t="e">
        <f ca="1">ROUND(-PV(INDIRECT("'数据-取费表'!h"&amp;$G$1),L48,(C39-C13*C76),0),0)</f>
        <v>#N/A</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e">
        <f ca="1">J53</f>
        <v>#N/A</v>
      </c>
      <c r="R52" s="1889" t="s">
        <v>1547</v>
      </c>
    </row>
    <row r="53" spans="1:18" s="1845" customFormat="1" ht="24.75" thickBot="1">
      <c r="A53" s="1408" t="s">
        <v>1137</v>
      </c>
      <c r="B53" s="1834" t="s">
        <v>1409</v>
      </c>
      <c r="C53" s="361">
        <f ca="1">ROUND(IF(F53="押一",F49*F51*F50/12*F11,IF(F53="押二",F49*F51*F50/12*2*F11,IF(F53="押三",F49*F51*F50/12*3*F11,C54*F11)))/10000,0)</f>
        <v>0</v>
      </c>
      <c r="D53" s="1827" t="s">
        <v>3026</v>
      </c>
      <c r="E53" s="358" t="s">
        <v>1411</v>
      </c>
      <c r="F53" s="1369"/>
      <c r="I53" s="1908" t="s">
        <v>1548</v>
      </c>
      <c r="J53" s="1909" t="e">
        <f ca="1">IF(M47="住宅",J51,IF(D1="——",MIN(J51,L48),IF(D1="在建（套用方法）",MIN(J51,L48-'数据-取费表'!B24),IF(D1="土地（套用方法）",MIN(J51,L48-'数据-取费表'!B20)))))</f>
        <v>#N/A</v>
      </c>
      <c r="K53" s="3228" t="s">
        <v>1549</v>
      </c>
      <c r="L53" s="3229"/>
      <c r="O53" s="1887" t="s">
        <v>1046</v>
      </c>
      <c r="P53" s="1888" t="s">
        <v>1550</v>
      </c>
      <c r="Q53" s="1889" t="e">
        <f ca="1">Q47+Q48</f>
        <v>#N/A</v>
      </c>
      <c r="R53" s="1889" t="s">
        <v>1047</v>
      </c>
    </row>
    <row r="54" spans="1:18" s="1845" customFormat="1" ht="13.5" thickBot="1">
      <c r="A54" s="1409"/>
      <c r="B54" s="1828" t="s">
        <v>1388</v>
      </c>
      <c r="C54" s="1181"/>
      <c r="D54" s="1827"/>
      <c r="E54" s="2946"/>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1551</v>
      </c>
      <c r="P54" s="1842"/>
      <c r="Q54" s="1842"/>
      <c r="R54" s="1842"/>
    </row>
    <row r="55" spans="1:18" s="1845" customFormat="1" ht="13.5" thickBot="1">
      <c r="A55" s="1336" t="s">
        <v>1075</v>
      </c>
      <c r="B55" s="1830" t="s">
        <v>1414</v>
      </c>
      <c r="C55" s="1337"/>
      <c r="D55" s="1827"/>
      <c r="E55" s="2946"/>
      <c r="F55" s="1910"/>
      <c r="I55" s="1913" t="s">
        <v>1552</v>
      </c>
      <c r="J55" s="1914" t="e">
        <f ca="1">ROUND(IF(J47="钢混",J57/J50,1-(1-2%)*(J50-J57)/J50),3)</f>
        <v>#N/A</v>
      </c>
      <c r="K55" s="1915" t="s">
        <v>1553</v>
      </c>
      <c r="L55" s="1916" t="s">
        <v>1554</v>
      </c>
      <c r="O55" s="1880" t="s">
        <v>1523</v>
      </c>
      <c r="P55" s="1881" t="s">
        <v>1524</v>
      </c>
      <c r="Q55" s="1882" t="s">
        <v>1525</v>
      </c>
      <c r="R55" s="1882" t="s">
        <v>1526</v>
      </c>
    </row>
    <row r="56" spans="1:18" s="1845" customFormat="1" ht="25.5" thickTop="1" thickBot="1">
      <c r="A56" s="1179">
        <v>2</v>
      </c>
      <c r="B56" s="1180" t="s">
        <v>1415</v>
      </c>
      <c r="C56" s="276" t="e">
        <f ca="1">C13</f>
        <v>#N/A</v>
      </c>
      <c r="D56" s="1917"/>
      <c r="E56" s="1918"/>
      <c r="F56" s="1910"/>
      <c r="I56" s="1919" t="s">
        <v>1555</v>
      </c>
      <c r="J56" s="1920" t="s">
        <v>3072</v>
      </c>
      <c r="K56" s="1890" t="s">
        <v>1556</v>
      </c>
      <c r="L56" s="1893" t="e">
        <f ca="1">IF(L48&lt;J51,"——",L48-J53)</f>
        <v>#N/A</v>
      </c>
      <c r="O56" s="1887" t="s">
        <v>1040</v>
      </c>
      <c r="P56" s="1888" t="s">
        <v>1529</v>
      </c>
      <c r="Q56" s="1889" t="e">
        <f ca="1">C40+J29</f>
        <v>#N/A</v>
      </c>
      <c r="R56" s="1889" t="s">
        <v>1530</v>
      </c>
    </row>
    <row r="57" spans="1:18" s="1845" customFormat="1" ht="24.75" thickBot="1">
      <c r="A57" s="1921"/>
      <c r="B57" s="1172" t="s">
        <v>1479</v>
      </c>
      <c r="C57" s="282" t="e">
        <f ca="1">C29</f>
        <v>#N/A</v>
      </c>
      <c r="D57" s="1922"/>
      <c r="E57" s="1923"/>
      <c r="F57" s="1924"/>
      <c r="I57" s="1925" t="s">
        <v>1557</v>
      </c>
      <c r="J57" s="1926" t="e">
        <f ca="1">IF(OR(M47="住宅",J51&lt;L48,J56="是"),"——",J51-L48)</f>
        <v>#N/A</v>
      </c>
      <c r="K57" s="1890" t="s">
        <v>1558</v>
      </c>
      <c r="L57" s="1893" t="e">
        <f ca="1">IF(L48&lt;J51,"——",IF(L55="比较法",L49,IF(L55="基准地价",L50,L51)))</f>
        <v>#N/A</v>
      </c>
      <c r="O57" s="1887" t="s">
        <v>1041</v>
      </c>
      <c r="P57" s="1888" t="s">
        <v>1559</v>
      </c>
      <c r="Q57" s="1889" t="e">
        <f ca="1">L60</f>
        <v>#N/A</v>
      </c>
      <c r="R57" s="1889" t="s">
        <v>1560</v>
      </c>
    </row>
    <row r="58" spans="1:18" s="1845" customFormat="1" ht="24.75" thickBot="1">
      <c r="A58" s="360" t="s">
        <v>1030</v>
      </c>
      <c r="B58" s="1180" t="s">
        <v>1425</v>
      </c>
      <c r="C58" s="361" t="e">
        <f ca="1">ROUND(C59+C64+C65+C66,0)</f>
        <v>#N/A</v>
      </c>
      <c r="D58" s="1182" t="s">
        <v>1426</v>
      </c>
      <c r="E58" s="1183"/>
      <c r="F58" s="1184"/>
      <c r="I58" s="1925" t="s">
        <v>1561</v>
      </c>
      <c r="J58" s="1927" t="e">
        <f ca="1">IF(J55&lt;0.4,0.4,J55)</f>
        <v>#N/A</v>
      </c>
      <c r="K58" s="1903" t="s">
        <v>1562</v>
      </c>
      <c r="L58" s="1893" t="e">
        <f ca="1">ROUND(POWER(1+L52,L47-L48)*(POWER(1+L52,L48)-1)/(POWER(1+L52,L47)-1),4)</f>
        <v>#N/A</v>
      </c>
      <c r="O58" s="1897" t="s">
        <v>1042</v>
      </c>
      <c r="P58" s="1888" t="s">
        <v>1563</v>
      </c>
      <c r="Q58" s="1889">
        <f>IF(L55="比较法",L49,IF(L55="基准地价",L50,0))</f>
        <v>0</v>
      </c>
      <c r="R58" s="1889" t="s">
        <v>1530</v>
      </c>
    </row>
    <row r="59" spans="1:18" s="1845" customFormat="1" ht="24.75" thickBot="1">
      <c r="A59" s="1204" t="s">
        <v>1035</v>
      </c>
      <c r="B59" s="1172" t="s">
        <v>1430</v>
      </c>
      <c r="C59" s="24" t="e">
        <f ca="1">ROUND(IF(项目基本情况!B11="自然人",C48*F59,C60+C61+C62),1)</f>
        <v>#N/A</v>
      </c>
      <c r="D59" s="1185" t="s">
        <v>1431</v>
      </c>
      <c r="E59" s="1186" t="s">
        <v>1432</v>
      </c>
      <c r="F59" s="368" t="str">
        <f ca="1">IF(项目基本情况!B11="企业","",IF(INDIRECT("'数据-取费表'!c"&amp;$G$1)="住宅",5%,IF(F49*F50*F51/12/(1+'数据-取费表'!C42)&gt;20000,12%,7%)))</f>
        <v/>
      </c>
      <c r="I59" s="1925" t="s">
        <v>1564</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1043</v>
      </c>
      <c r="P59" s="1888" t="s">
        <v>1565</v>
      </c>
      <c r="Q59" s="1900">
        <f>L52</f>
        <v>0</v>
      </c>
      <c r="R59" s="1889"/>
    </row>
    <row r="60" spans="1:18" s="1845" customFormat="1" ht="16.5" thickBot="1">
      <c r="A60" s="1204" t="s">
        <v>1034</v>
      </c>
      <c r="B60" s="1172" t="s">
        <v>1434</v>
      </c>
      <c r="C60" s="24" t="e">
        <f ca="1">IF(项目基本情况!B11="自然人","——",ROUND(C48*F60/(1+'数据-取费表'!C42),2))</f>
        <v>#N/A</v>
      </c>
      <c r="D60" s="1186" t="s">
        <v>1435</v>
      </c>
      <c r="E60" s="1172" t="s">
        <v>1423</v>
      </c>
      <c r="F60" s="377">
        <f t="shared" ref="F60:F66" si="0">F32</f>
        <v>5.5000000000000007E-2</v>
      </c>
      <c r="I60" s="1928" t="s">
        <v>1566</v>
      </c>
      <c r="J60" s="1929" t="e">
        <f ca="1">IF(OR(M47="住宅",J51&lt;L48,J56="是"),"0",ROUND(J59/(1+J52)^J53,0))</f>
        <v>#N/A</v>
      </c>
      <c r="K60" s="1930" t="s">
        <v>1567</v>
      </c>
      <c r="L60" s="1929" t="e">
        <f ca="1">IF(OR(M47="住宅",L48&lt;J51),0,ROUND(L57*(L58/L59-1),0))</f>
        <v>#N/A</v>
      </c>
      <c r="O60" s="1897" t="s">
        <v>1044</v>
      </c>
      <c r="P60" s="1888" t="s">
        <v>1568</v>
      </c>
      <c r="Q60" s="1889" t="e">
        <f ca="1">L58</f>
        <v>#N/A</v>
      </c>
      <c r="R60" s="1889" t="s">
        <v>1569</v>
      </c>
    </row>
    <row r="61" spans="1:18" s="1845" customFormat="1" ht="13.5" thickBot="1">
      <c r="A61" s="1204" t="s">
        <v>1493</v>
      </c>
      <c r="B61" s="1172" t="s">
        <v>1438</v>
      </c>
      <c r="C61" s="24" t="e">
        <f ca="1">IF(项目基本情况!B11="自然人","——",IF(D61="按租金收入计税",ROUND(C48*F61,2),IF(D61="按房产原值计税",ROUND(C57*F61*0.7,2),INDIRECT("'数据-取费表'!Aj"&amp;$G$1))))</f>
        <v>#N/A</v>
      </c>
      <c r="D61" s="1831" t="s">
        <v>1439</v>
      </c>
      <c r="E61" s="1172" t="s">
        <v>1423</v>
      </c>
      <c r="F61" s="367">
        <f t="shared" si="0"/>
        <v>1.2E-2</v>
      </c>
      <c r="I61" s="1931"/>
      <c r="J61" s="1931"/>
      <c r="K61" s="1931"/>
      <c r="L61" s="1931"/>
      <c r="O61" s="1897" t="s">
        <v>1045</v>
      </c>
      <c r="P61" s="1888" t="str">
        <f>K59</f>
        <v>建筑物剩余耐用年限下的土地年期修正系数Kn</v>
      </c>
      <c r="Q61" s="1889" t="e">
        <f ca="1">L59</f>
        <v>#N/A</v>
      </c>
      <c r="R61" s="1889" t="s">
        <v>1570</v>
      </c>
    </row>
    <row r="62" spans="1:18" s="1845" customFormat="1" ht="13.5" thickBot="1">
      <c r="A62" s="1204" t="s">
        <v>1496</v>
      </c>
      <c r="B62" s="1171" t="s">
        <v>1442</v>
      </c>
      <c r="C62" s="25" t="e">
        <f ca="1">IF(项目基本情况!B11="自然人","——",ROUND(F62*F63/10000,2))</f>
        <v>#N/A</v>
      </c>
      <c r="D62" s="1187" t="s">
        <v>1443</v>
      </c>
      <c r="E62" s="1172" t="s">
        <v>1444</v>
      </c>
      <c r="F62" s="371">
        <f t="shared" si="0"/>
        <v>1.5</v>
      </c>
      <c r="I62" s="1932" t="s">
        <v>1571</v>
      </c>
      <c r="J62" s="1933" t="s">
        <v>1572</v>
      </c>
      <c r="K62" s="1933" t="s">
        <v>1573</v>
      </c>
      <c r="L62" s="1933" t="s">
        <v>1574</v>
      </c>
      <c r="M62" s="1934" t="s">
        <v>1575</v>
      </c>
      <c r="O62" s="1887" t="s">
        <v>1046</v>
      </c>
      <c r="P62" s="1888" t="s">
        <v>1550</v>
      </c>
      <c r="Q62" s="1889" t="e">
        <f ca="1">Q56+Q57</f>
        <v>#N/A</v>
      </c>
      <c r="R62" s="1889" t="s">
        <v>1047</v>
      </c>
    </row>
    <row r="63" spans="1:18" s="1845" customFormat="1" ht="13.5" thickBot="1">
      <c r="A63" s="372"/>
      <c r="B63" s="1178"/>
      <c r="C63" s="29"/>
      <c r="D63" s="1188"/>
      <c r="E63" s="1172" t="s">
        <v>1448</v>
      </c>
      <c r="F63" s="348" t="e">
        <f t="shared" ca="1" si="0"/>
        <v>#N/A</v>
      </c>
      <c r="I63" s="1932" t="s">
        <v>1577</v>
      </c>
      <c r="J63" s="1933">
        <v>70</v>
      </c>
      <c r="K63" s="1933">
        <v>50</v>
      </c>
      <c r="L63" s="1933">
        <v>80</v>
      </c>
      <c r="M63" s="1935">
        <v>0.02</v>
      </c>
      <c r="O63" s="1872" t="s">
        <v>1578</v>
      </c>
      <c r="P63" s="1842"/>
      <c r="Q63" s="1842"/>
      <c r="R63" s="1842"/>
    </row>
    <row r="64" spans="1:18" s="1845" customFormat="1" ht="13.5" thickBot="1">
      <c r="A64" s="1204" t="s">
        <v>1039</v>
      </c>
      <c r="B64" s="1172" t="s">
        <v>1450</v>
      </c>
      <c r="C64" s="24" t="e">
        <f ca="1">ROUND(C57*F64,1)</f>
        <v>#N/A</v>
      </c>
      <c r="D64" s="1186" t="s">
        <v>1483</v>
      </c>
      <c r="E64" s="1172" t="s">
        <v>1423</v>
      </c>
      <c r="F64" s="374" t="e">
        <f t="shared" ca="1" si="0"/>
        <v>#N/A</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t="e">
        <f ca="1">ROUND(C56*F65,1)</f>
        <v>#N/A</v>
      </c>
      <c r="D65" s="1186" t="s">
        <v>1455</v>
      </c>
      <c r="E65" s="1172" t="s">
        <v>1423</v>
      </c>
      <c r="F65" s="376" t="e">
        <f t="shared" ca="1" si="0"/>
        <v>#N/A</v>
      </c>
      <c r="I65" s="1932" t="s">
        <v>1580</v>
      </c>
      <c r="J65" s="1933">
        <v>40</v>
      </c>
      <c r="K65" s="1933">
        <v>30</v>
      </c>
      <c r="L65" s="1933">
        <v>50</v>
      </c>
      <c r="M65" s="1935">
        <v>0.02</v>
      </c>
      <c r="O65" s="1887" t="s">
        <v>1040</v>
      </c>
      <c r="P65" s="1888" t="s">
        <v>1529</v>
      </c>
      <c r="Q65" s="1889" t="e">
        <f ca="1">C40+J29</f>
        <v>#N/A</v>
      </c>
      <c r="R65" s="1889" t="s">
        <v>1530</v>
      </c>
    </row>
    <row r="66" spans="1:18" s="1845" customFormat="1" ht="16.5" thickBot="1">
      <c r="A66" s="1204" t="s">
        <v>1505</v>
      </c>
      <c r="B66" s="1172" t="s">
        <v>1440</v>
      </c>
      <c r="C66" s="24" t="e">
        <f ca="1">ROUND(C48*F66,1)</f>
        <v>#N/A</v>
      </c>
      <c r="D66" s="1186" t="s">
        <v>1460</v>
      </c>
      <c r="E66" s="1172" t="s">
        <v>1423</v>
      </c>
      <c r="F66" s="357" t="e">
        <f t="shared" ca="1" si="0"/>
        <v>#N/A</v>
      </c>
      <c r="O66" s="1887" t="s">
        <v>1041</v>
      </c>
      <c r="P66" s="1888" t="s">
        <v>1559</v>
      </c>
      <c r="Q66" s="1889" t="e">
        <f ca="1">L60</f>
        <v>#N/A</v>
      </c>
      <c r="R66" s="1889" t="s">
        <v>1582</v>
      </c>
    </row>
    <row r="67" spans="1:18" s="1845" customFormat="1" ht="16.5" thickBot="1">
      <c r="A67" s="1179" t="s">
        <v>1031</v>
      </c>
      <c r="B67" s="1189" t="s">
        <v>1464</v>
      </c>
      <c r="C67" s="361" t="e">
        <f ca="1">C48-C58</f>
        <v>#N/A</v>
      </c>
      <c r="D67" s="1185" t="s">
        <v>1465</v>
      </c>
      <c r="E67" s="1190"/>
      <c r="F67" s="1191"/>
      <c r="O67" s="1897" t="s">
        <v>1042</v>
      </c>
      <c r="P67" s="1888" t="s">
        <v>1563</v>
      </c>
      <c r="Q67" s="1936" t="e">
        <f ca="1">L51</f>
        <v>#N/A</v>
      </c>
      <c r="R67" s="1889" t="s">
        <v>1583</v>
      </c>
    </row>
    <row r="68" spans="1:18" s="1845" customFormat="1" ht="16.5" thickBot="1">
      <c r="A68" s="1169" t="s">
        <v>1032</v>
      </c>
      <c r="B68" s="1170" t="s">
        <v>1486</v>
      </c>
      <c r="C68" s="346" t="e">
        <f ca="1">ROUND(C67*(1-((1+F70)/(1+F68))^F69)/(F68-F70),0)</f>
        <v>#N/A</v>
      </c>
      <c r="D68" s="1187" t="s">
        <v>1470</v>
      </c>
      <c r="E68" s="1172" t="s">
        <v>1471</v>
      </c>
      <c r="F68" s="357" t="e">
        <f ca="1">F40</f>
        <v>#N/A</v>
      </c>
      <c r="O68" s="1897" t="s">
        <v>1043</v>
      </c>
      <c r="P68" s="1937" t="s">
        <v>1584</v>
      </c>
      <c r="Q68" s="1889" t="e">
        <f ca="1">ROUND(Q69-Q70*Q71,0)</f>
        <v>#N/A</v>
      </c>
      <c r="R68" s="1889" t="s">
        <v>1051</v>
      </c>
    </row>
    <row r="69" spans="1:18" s="1845" customFormat="1" ht="13.5" thickBot="1">
      <c r="A69" s="1173"/>
      <c r="B69" s="1174"/>
      <c r="C69" s="351"/>
      <c r="D69" s="1192" t="s">
        <v>1474</v>
      </c>
      <c r="E69" s="1172" t="s">
        <v>1475</v>
      </c>
      <c r="F69" s="379" t="e">
        <f ca="1">F41</f>
        <v>#N/A</v>
      </c>
      <c r="O69" s="1897" t="s">
        <v>1048</v>
      </c>
      <c r="P69" s="1937" t="s">
        <v>1585</v>
      </c>
      <c r="Q69" s="1889" t="e">
        <f ca="1">C39</f>
        <v>#N/A</v>
      </c>
      <c r="R69" s="1889" t="s">
        <v>1530</v>
      </c>
    </row>
    <row r="70" spans="1:18" s="1845" customFormat="1" ht="13.5" thickBot="1">
      <c r="A70" s="1176"/>
      <c r="B70" s="1177"/>
      <c r="C70" s="355"/>
      <c r="D70" s="1188"/>
      <c r="E70" s="1172" t="s">
        <v>1478</v>
      </c>
      <c r="F70" s="1278"/>
      <c r="O70" s="1897" t="s">
        <v>1049</v>
      </c>
      <c r="P70" s="1937" t="s">
        <v>1586</v>
      </c>
      <c r="Q70" s="1889" t="e">
        <f ca="1">C13</f>
        <v>#N/A</v>
      </c>
      <c r="R70" s="1889" t="s">
        <v>1530</v>
      </c>
    </row>
    <row r="71" spans="1:18" s="1845" customFormat="1" ht="13.5" thickBot="1">
      <c r="A71" s="1193" t="s">
        <v>1033</v>
      </c>
      <c r="B71" s="1194" t="s">
        <v>1488</v>
      </c>
      <c r="C71" s="382" t="e">
        <f ca="1">ROUND(C68*10000/F71,0)</f>
        <v>#N/A</v>
      </c>
      <c r="D71" s="1195" t="s">
        <v>1489</v>
      </c>
      <c r="E71" s="1196" t="s">
        <v>1490</v>
      </c>
      <c r="F71" s="385" t="e">
        <f ca="1">F43</f>
        <v>#N/A</v>
      </c>
      <c r="O71" s="1897" t="s">
        <v>1050</v>
      </c>
      <c r="P71" s="1937" t="s">
        <v>1587</v>
      </c>
      <c r="Q71" s="1900" t="e">
        <f ca="1">C76</f>
        <v>#N/A</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#N/A</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#N/A</v>
      </c>
      <c r="R74" s="1889" t="s">
        <v>1570</v>
      </c>
    </row>
    <row r="75" spans="1:18" ht="13.5" thickBot="1">
      <c r="A75" s="1845"/>
      <c r="B75" s="386" t="s">
        <v>1507</v>
      </c>
      <c r="C75" s="387" t="e">
        <f ca="1">ROUND(C13*C76,0)</f>
        <v>#N/A</v>
      </c>
      <c r="D75" s="1845"/>
      <c r="E75" s="1845"/>
      <c r="F75" s="1845"/>
      <c r="K75" s="1871"/>
      <c r="L75" s="1845"/>
      <c r="O75" s="1887" t="s">
        <v>1046</v>
      </c>
      <c r="P75" s="1888" t="s">
        <v>1550</v>
      </c>
      <c r="Q75" s="1889" t="e">
        <f ca="1">Q65+Q66</f>
        <v>#N/A</v>
      </c>
      <c r="R75" s="1889" t="s">
        <v>1047</v>
      </c>
    </row>
    <row r="76" spans="1:18">
      <c r="B76" s="388" t="s">
        <v>1508</v>
      </c>
      <c r="C76" s="389" t="e">
        <f ca="1">INDIRECT("'数据-取费表'!j"&amp;$G$1)</f>
        <v>#N/A</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6" priority="4">
      <formula>$L$48&gt;$J$51</formula>
    </cfRule>
  </conditionalFormatting>
  <conditionalFormatting sqref="I55 I60">
    <cfRule type="expression" dxfId="75" priority="5">
      <formula>$J$51&gt;$L$48</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4">
    <cfRule type="expression" dxfId="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38" sqref="A38:XFD4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2699</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9"/>
      <c r="D2" s="1127"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21214.79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72" t="s">
        <v>2643</v>
      </c>
      <c r="D4" s="3273"/>
      <c r="E4" s="3274" t="s">
        <v>2644</v>
      </c>
      <c r="F4" s="3275"/>
      <c r="G4" s="3272" t="s">
        <v>2645</v>
      </c>
      <c r="H4" s="3273"/>
      <c r="I4" s="3272" t="s">
        <v>2646</v>
      </c>
      <c r="J4" s="3273"/>
      <c r="K4" s="610" t="s">
        <v>2647</v>
      </c>
      <c r="L4" s="1133"/>
      <c r="M4" s="1134"/>
      <c r="N4" s="1134"/>
      <c r="O4" s="1134"/>
      <c r="P4" s="3276" t="s">
        <v>2648</v>
      </c>
      <c r="Q4" s="3277"/>
      <c r="R4" s="3259" t="s">
        <v>2644</v>
      </c>
      <c r="S4" s="3260"/>
      <c r="T4" s="3259" t="s">
        <v>2645</v>
      </c>
      <c r="U4" s="3260"/>
      <c r="V4" s="3284" t="s">
        <v>2646</v>
      </c>
      <c r="W4" s="3284"/>
      <c r="X4" s="1816"/>
      <c r="Y4" s="3259" t="s">
        <v>2648</v>
      </c>
      <c r="Z4" s="3260"/>
      <c r="AA4" s="3254" t="s">
        <v>2644</v>
      </c>
      <c r="AB4" s="3255" t="s">
        <v>2645</v>
      </c>
      <c r="AC4" s="3254" t="s">
        <v>2646</v>
      </c>
    </row>
    <row r="5" spans="1:29" ht="15">
      <c r="A5" s="404"/>
      <c r="B5" s="405"/>
      <c r="C5" s="3265" t="s">
        <v>2539</v>
      </c>
      <c r="D5" s="3266"/>
      <c r="E5" s="3263" t="s">
        <v>2540</v>
      </c>
      <c r="F5" s="3264"/>
      <c r="G5" s="3265" t="s">
        <v>2541</v>
      </c>
      <c r="H5" s="3266"/>
      <c r="I5" s="3265" t="s">
        <v>2542</v>
      </c>
      <c r="J5" s="3266"/>
      <c r="K5" s="610"/>
      <c r="L5" s="1133"/>
      <c r="M5" s="1134"/>
      <c r="N5" s="1134"/>
      <c r="O5" s="1134"/>
      <c r="P5" s="3278"/>
      <c r="Q5" s="3279"/>
      <c r="R5" s="3261"/>
      <c r="S5" s="3262"/>
      <c r="T5" s="3261"/>
      <c r="U5" s="3262"/>
      <c r="V5" s="3284"/>
      <c r="W5" s="3284"/>
      <c r="X5" s="1816"/>
      <c r="Y5" s="3261"/>
      <c r="Z5" s="3262"/>
      <c r="AA5" s="3255"/>
      <c r="AB5" s="3255"/>
      <c r="AC5" s="3255"/>
    </row>
    <row r="6" spans="1:29" ht="15.75" thickBot="1">
      <c r="A6" s="406"/>
      <c r="B6" s="407"/>
      <c r="C6" s="3267" t="s">
        <v>2543</v>
      </c>
      <c r="D6" s="3268"/>
      <c r="E6" s="3269" t="s">
        <v>2543</v>
      </c>
      <c r="F6" s="3270"/>
      <c r="G6" s="3267" t="s">
        <v>2543</v>
      </c>
      <c r="H6" s="3268"/>
      <c r="I6" s="3267" t="s">
        <v>2543</v>
      </c>
      <c r="J6" s="3268"/>
      <c r="K6" s="610" t="s">
        <v>2544</v>
      </c>
      <c r="L6" s="1133"/>
      <c r="M6" s="1134"/>
      <c r="N6" s="1134"/>
      <c r="O6" s="1134"/>
      <c r="P6" s="3280"/>
      <c r="Q6" s="3281"/>
      <c r="R6" s="3261"/>
      <c r="S6" s="3262"/>
      <c r="T6" s="3282"/>
      <c r="U6" s="3283"/>
      <c r="V6" s="3284"/>
      <c r="W6" s="3284"/>
      <c r="X6" s="1816"/>
      <c r="Y6" s="3282"/>
      <c r="Z6" s="3283"/>
      <c r="AA6" s="3256"/>
      <c r="AB6" s="3256"/>
      <c r="AC6" s="3256"/>
    </row>
    <row r="7" spans="1:29" s="117" customFormat="1" ht="15.75" thickBot="1">
      <c r="A7" s="408" t="s">
        <v>2545</v>
      </c>
      <c r="B7" s="409"/>
      <c r="C7" s="410">
        <f>'数据-取费表'!B2</f>
        <v>43100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57" t="s">
        <v>2546</v>
      </c>
      <c r="Q7" s="3285"/>
      <c r="R7" s="770" t="s">
        <v>17</v>
      </c>
      <c r="S7" s="771">
        <f t="shared" ref="S7:S15" si="0">F7</f>
        <v>0</v>
      </c>
      <c r="T7" s="770" t="s">
        <v>17</v>
      </c>
      <c r="U7" s="771">
        <f t="shared" ref="U7:U15" si="1">H7</f>
        <v>0</v>
      </c>
      <c r="V7" s="770" t="s">
        <v>17</v>
      </c>
      <c r="W7" s="771">
        <f t="shared" ref="W7:W15" si="2">J7</f>
        <v>0</v>
      </c>
      <c r="X7" s="772"/>
      <c r="Y7" s="3257" t="s">
        <v>2546</v>
      </c>
      <c r="Z7" s="3258"/>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57" t="s">
        <v>2549</v>
      </c>
      <c r="Q8" s="3258"/>
      <c r="R8" s="770" t="s">
        <v>17</v>
      </c>
      <c r="S8" s="771">
        <f t="shared" si="0"/>
        <v>0</v>
      </c>
      <c r="T8" s="770" t="s">
        <v>17</v>
      </c>
      <c r="U8" s="771">
        <f t="shared" si="1"/>
        <v>0</v>
      </c>
      <c r="V8" s="770" t="s">
        <v>17</v>
      </c>
      <c r="W8" s="771">
        <f t="shared" si="2"/>
        <v>0</v>
      </c>
      <c r="X8" s="772"/>
      <c r="Y8" s="3257" t="s">
        <v>2549</v>
      </c>
      <c r="Z8" s="3258"/>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89" t="s">
        <v>2552</v>
      </c>
      <c r="Q9" s="1798" t="str">
        <f t="shared" ref="Q9:Q15" si="6">B9</f>
        <v>用途</v>
      </c>
      <c r="R9" s="770" t="s">
        <v>17</v>
      </c>
      <c r="S9" s="771">
        <f t="shared" si="0"/>
        <v>100</v>
      </c>
      <c r="T9" s="770" t="s">
        <v>17</v>
      </c>
      <c r="U9" s="771">
        <f t="shared" si="1"/>
        <v>100</v>
      </c>
      <c r="V9" s="770" t="s">
        <v>17</v>
      </c>
      <c r="W9" s="771">
        <f t="shared" si="2"/>
        <v>100</v>
      </c>
      <c r="X9" s="772"/>
      <c r="Y9" s="3084"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89"/>
      <c r="Q10" s="1798"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75" thickBot="1">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89"/>
      <c r="Q11" s="1798"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hidden="1">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89"/>
      <c r="Q12" s="1798">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hidden="1">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89"/>
      <c r="Q13" s="1798">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hidden="1"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89"/>
      <c r="Q14" s="1798">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114">
      <c r="A15" s="440" t="s">
        <v>2556</v>
      </c>
      <c r="B15" s="69" t="s">
        <v>2700</v>
      </c>
      <c r="C15" s="2696" t="str">
        <f>估价对象房地状况!G3</f>
        <v>估价对象位于乐华仕健康产业园，园区建设成熟度较好，周边有中国电子产品科技园等项目，产业集聚程度较好。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91" t="s">
        <v>2557</v>
      </c>
      <c r="Q15" s="1813" t="str">
        <f t="shared" si="6"/>
        <v>产业集聚程度</v>
      </c>
      <c r="R15" s="774" t="s">
        <v>17</v>
      </c>
      <c r="S15" s="775">
        <f t="shared" si="0"/>
        <v>100</v>
      </c>
      <c r="T15" s="774" t="s">
        <v>17</v>
      </c>
      <c r="U15" s="775">
        <f t="shared" si="1"/>
        <v>100</v>
      </c>
      <c r="V15" s="774" t="s">
        <v>17</v>
      </c>
      <c r="W15" s="775">
        <f t="shared" si="2"/>
        <v>100</v>
      </c>
      <c r="X15" s="1816"/>
      <c r="Y15" s="3291"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92"/>
      <c r="Q16" s="1813"/>
      <c r="R16" s="774"/>
      <c r="S16" s="775"/>
      <c r="T16" s="774"/>
      <c r="U16" s="775"/>
      <c r="V16" s="774"/>
      <c r="W16" s="775"/>
      <c r="X16" s="1816"/>
      <c r="Y16" s="3292"/>
      <c r="Z16" s="1817"/>
      <c r="AA16" s="1814">
        <v>1</v>
      </c>
      <c r="AB16" s="1814">
        <v>1</v>
      </c>
      <c r="AC16" s="1814">
        <v>1</v>
      </c>
    </row>
    <row r="17" spans="1:29" ht="128.25">
      <c r="A17" s="428"/>
      <c r="B17" s="451" t="s">
        <v>2095</v>
      </c>
      <c r="C17" s="2610" t="str">
        <f>估价对象房地状况!G4</f>
        <v>估价对象周边路网较密集，公共交通通达情况较好，有889路、昌1路等公共交通，停车便捷程度较好，综合评价交通便捷度较好。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92"/>
      <c r="Q17" s="1813" t="str">
        <f>B17</f>
        <v>交通便捷度</v>
      </c>
      <c r="R17" s="774" t="s">
        <v>17</v>
      </c>
      <c r="S17" s="775">
        <f>F17</f>
        <v>100</v>
      </c>
      <c r="T17" s="774" t="s">
        <v>17</v>
      </c>
      <c r="U17" s="775">
        <f>H17</f>
        <v>100</v>
      </c>
      <c r="V17" s="774" t="s">
        <v>17</v>
      </c>
      <c r="W17" s="775">
        <f>J17</f>
        <v>100</v>
      </c>
      <c r="X17" s="1816"/>
      <c r="Y17" s="3292"/>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92"/>
      <c r="Q18" s="1813"/>
      <c r="R18" s="774"/>
      <c r="S18" s="775"/>
      <c r="T18" s="774"/>
      <c r="U18" s="775"/>
      <c r="V18" s="774"/>
      <c r="W18" s="775"/>
      <c r="X18" s="1816"/>
      <c r="Y18" s="3292"/>
      <c r="Z18" s="1817"/>
      <c r="AA18" s="1814">
        <v>1</v>
      </c>
      <c r="AB18" s="1814">
        <v>1</v>
      </c>
      <c r="AC18" s="1814">
        <v>1</v>
      </c>
    </row>
    <row r="19" spans="1:29" ht="213.75">
      <c r="A19" s="428"/>
      <c r="B19" s="451" t="s">
        <v>2685</v>
      </c>
      <c r="C19" s="2610" t="str">
        <f>估价对象房地状况!G5</f>
        <v>估价对象所在区域2公里范围内有：银行（中国银行、中国民生银行），购物（金隅万科购物中心，菓岭假日广场），医院（北京龙山中医医院），学校（中国石油大学附属小学、附属中学）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92"/>
      <c r="Q19" s="1813" t="str">
        <f>B19</f>
        <v>公共配套设施</v>
      </c>
      <c r="R19" s="774" t="s">
        <v>17</v>
      </c>
      <c r="S19" s="775">
        <f>F19</f>
        <v>100</v>
      </c>
      <c r="T19" s="774" t="s">
        <v>17</v>
      </c>
      <c r="U19" s="775">
        <f>H19</f>
        <v>100</v>
      </c>
      <c r="V19" s="774" t="s">
        <v>17</v>
      </c>
      <c r="W19" s="775">
        <f>J19</f>
        <v>100</v>
      </c>
      <c r="X19" s="1816"/>
      <c r="Y19" s="3292"/>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92"/>
      <c r="Q20" s="1813"/>
      <c r="R20" s="774"/>
      <c r="S20" s="775"/>
      <c r="T20" s="774"/>
      <c r="U20" s="775"/>
      <c r="V20" s="774"/>
      <c r="W20" s="775"/>
      <c r="X20" s="1816"/>
      <c r="Y20" s="3292"/>
      <c r="Z20" s="1817"/>
      <c r="AA20" s="1814">
        <v>1</v>
      </c>
      <c r="AB20" s="1814">
        <v>1</v>
      </c>
      <c r="AC20" s="1814">
        <v>1</v>
      </c>
    </row>
    <row r="21" spans="1:29" ht="42.75">
      <c r="A21" s="428"/>
      <c r="B21" s="1387" t="s">
        <v>2686</v>
      </c>
      <c r="C21" s="2610" t="str">
        <f>估价对象房地状况!G6</f>
        <v>估价对象所在区域基础设施水平达到“七通”。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92"/>
      <c r="Q21" s="1813" t="str">
        <f>B21</f>
        <v>基础设施水平</v>
      </c>
      <c r="R21" s="774" t="s">
        <v>17</v>
      </c>
      <c r="S21" s="775">
        <f>F21</f>
        <v>100</v>
      </c>
      <c r="T21" s="774" t="s">
        <v>17</v>
      </c>
      <c r="U21" s="775">
        <f>H21</f>
        <v>100</v>
      </c>
      <c r="V21" s="774" t="s">
        <v>17</v>
      </c>
      <c r="W21" s="775">
        <f>J21</f>
        <v>100</v>
      </c>
      <c r="X21" s="1816"/>
      <c r="Y21" s="3292"/>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92"/>
      <c r="Q22" s="1813"/>
      <c r="R22" s="774"/>
      <c r="S22" s="775"/>
      <c r="T22" s="774"/>
      <c r="U22" s="775"/>
      <c r="V22" s="774"/>
      <c r="W22" s="775"/>
      <c r="X22" s="1816"/>
      <c r="Y22" s="3292"/>
      <c r="Z22" s="1817"/>
      <c r="AA22" s="1814">
        <v>1</v>
      </c>
      <c r="AB22" s="1814">
        <v>1</v>
      </c>
      <c r="AC22" s="1814">
        <v>1</v>
      </c>
    </row>
    <row r="23" spans="1:29" ht="71.25">
      <c r="A23" s="428"/>
      <c r="B23" s="451" t="s">
        <v>2687</v>
      </c>
      <c r="C23" s="2610" t="str">
        <f>估价对象房地状况!G7</f>
        <v>该园区内是无污染型企业，绿化情况较好，卫生条件较好，整体环境状况较好。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92"/>
      <c r="Q23" s="1813" t="str">
        <f>B23</f>
        <v>环境质量</v>
      </c>
      <c r="R23" s="774" t="s">
        <v>17</v>
      </c>
      <c r="S23" s="775">
        <f>F23</f>
        <v>100</v>
      </c>
      <c r="T23" s="774" t="s">
        <v>17</v>
      </c>
      <c r="U23" s="775">
        <f>H23</f>
        <v>100</v>
      </c>
      <c r="V23" s="774" t="s">
        <v>17</v>
      </c>
      <c r="W23" s="775">
        <f>J23</f>
        <v>100</v>
      </c>
      <c r="X23" s="1816"/>
      <c r="Y23" s="3292"/>
      <c r="Z23" s="1817" t="str">
        <f>Q23</f>
        <v>环境质量</v>
      </c>
      <c r="AA23" s="1814">
        <f t="shared" si="3"/>
        <v>1</v>
      </c>
      <c r="AB23" s="1814">
        <f t="shared" si="4"/>
        <v>1</v>
      </c>
      <c r="AC23" s="1814">
        <f t="shared" si="5"/>
        <v>1</v>
      </c>
    </row>
    <row r="24" spans="1:29" ht="15.75" thickBot="1">
      <c r="A24" s="428"/>
      <c r="B24" s="1387"/>
      <c r="C24" s="447"/>
      <c r="D24" s="448"/>
      <c r="E24" s="2608"/>
      <c r="F24" s="449"/>
      <c r="G24" s="2607"/>
      <c r="H24" s="448"/>
      <c r="I24" s="2608"/>
      <c r="J24" s="448"/>
      <c r="K24" s="615"/>
      <c r="L24" s="1143"/>
      <c r="M24" s="1134"/>
      <c r="N24" s="1134"/>
      <c r="O24" s="1142"/>
      <c r="P24" s="3292"/>
      <c r="Q24" s="1813"/>
      <c r="R24" s="774"/>
      <c r="S24" s="775"/>
      <c r="T24" s="774"/>
      <c r="U24" s="775"/>
      <c r="V24" s="774"/>
      <c r="W24" s="775"/>
      <c r="X24" s="1816"/>
      <c r="Y24" s="3292"/>
      <c r="Z24" s="1817"/>
      <c r="AA24" s="1814">
        <v>1</v>
      </c>
      <c r="AB24" s="1814">
        <v>1</v>
      </c>
      <c r="AC24" s="1814">
        <v>1</v>
      </c>
    </row>
    <row r="25" spans="1:29" ht="15" hidden="1">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92"/>
      <c r="Q25" s="1813">
        <f>B25</f>
        <v>111</v>
      </c>
      <c r="R25" s="774" t="s">
        <v>17</v>
      </c>
      <c r="S25" s="775">
        <f>F25</f>
        <v>100</v>
      </c>
      <c r="T25" s="774" t="s">
        <v>17</v>
      </c>
      <c r="U25" s="775">
        <f>H25</f>
        <v>100</v>
      </c>
      <c r="V25" s="774" t="s">
        <v>17</v>
      </c>
      <c r="W25" s="775">
        <f>J25</f>
        <v>100</v>
      </c>
      <c r="X25" s="1816"/>
      <c r="Y25" s="3292"/>
      <c r="Z25" s="1817">
        <f>Q25</f>
        <v>111</v>
      </c>
      <c r="AA25" s="1814">
        <f t="shared" si="3"/>
        <v>1</v>
      </c>
      <c r="AB25" s="1814">
        <f t="shared" si="4"/>
        <v>1</v>
      </c>
      <c r="AC25" s="1814">
        <f t="shared" si="5"/>
        <v>1</v>
      </c>
    </row>
    <row r="26" spans="1:29" ht="15" hidden="1">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92"/>
      <c r="Q26" s="1813">
        <f t="shared" ref="Q26:Q40" si="11">B26</f>
        <v>111</v>
      </c>
      <c r="R26" s="774" t="s">
        <v>17</v>
      </c>
      <c r="S26" s="775">
        <f>F26</f>
        <v>100</v>
      </c>
      <c r="T26" s="774" t="s">
        <v>17</v>
      </c>
      <c r="U26" s="775">
        <f>H26</f>
        <v>100</v>
      </c>
      <c r="V26" s="774" t="s">
        <v>17</v>
      </c>
      <c r="W26" s="775">
        <f>J26</f>
        <v>100</v>
      </c>
      <c r="X26" s="1816"/>
      <c r="Y26" s="3292"/>
      <c r="Z26" s="1817">
        <f>Q26</f>
        <v>111</v>
      </c>
      <c r="AA26" s="1814">
        <f t="shared" si="3"/>
        <v>1</v>
      </c>
      <c r="AB26" s="1814">
        <f t="shared" si="4"/>
        <v>1</v>
      </c>
      <c r="AC26" s="1814">
        <f t="shared" si="5"/>
        <v>1</v>
      </c>
    </row>
    <row r="27" spans="1:29" s="117" customFormat="1" ht="15" hidden="1">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92"/>
      <c r="Q27" s="1798">
        <f t="shared" si="11"/>
        <v>111</v>
      </c>
      <c r="R27" s="770" t="s">
        <v>17</v>
      </c>
      <c r="S27" s="771">
        <f>F27</f>
        <v>100</v>
      </c>
      <c r="T27" s="770" t="s">
        <v>17</v>
      </c>
      <c r="U27" s="771">
        <f>H27</f>
        <v>100</v>
      </c>
      <c r="V27" s="770" t="s">
        <v>17</v>
      </c>
      <c r="W27" s="771">
        <f>J27</f>
        <v>100</v>
      </c>
      <c r="X27" s="772"/>
      <c r="Y27" s="3292"/>
      <c r="Z27" s="55">
        <f>Q27</f>
        <v>111</v>
      </c>
      <c r="AA27" s="1814">
        <f>D27/F27</f>
        <v>1</v>
      </c>
      <c r="AB27" s="1814">
        <f>D27/H27</f>
        <v>1</v>
      </c>
      <c r="AC27" s="1814">
        <f>D27/J27</f>
        <v>1</v>
      </c>
    </row>
    <row r="28" spans="1:29" ht="15.75" hidden="1"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92"/>
      <c r="Q28" s="1813">
        <f t="shared" si="11"/>
        <v>111</v>
      </c>
      <c r="R28" s="774" t="s">
        <v>17</v>
      </c>
      <c r="S28" s="775">
        <f t="shared" ref="S28:S40" si="12">F28</f>
        <v>100</v>
      </c>
      <c r="T28" s="774" t="s">
        <v>17</v>
      </c>
      <c r="U28" s="775">
        <f t="shared" ref="U28:U40" si="13">H28</f>
        <v>100</v>
      </c>
      <c r="V28" s="774" t="s">
        <v>17</v>
      </c>
      <c r="W28" s="775">
        <f t="shared" ref="W28:W40" si="14">J28</f>
        <v>100</v>
      </c>
      <c r="X28" s="1816"/>
      <c r="Y28" s="3292"/>
      <c r="Z28" s="1817">
        <f t="shared" ref="Z28:Z40" si="15">Q28</f>
        <v>111</v>
      </c>
      <c r="AA28" s="1814">
        <f t="shared" si="3"/>
        <v>1</v>
      </c>
      <c r="AB28" s="1814">
        <f t="shared" si="4"/>
        <v>1</v>
      </c>
      <c r="AC28" s="1814">
        <f t="shared" si="5"/>
        <v>1</v>
      </c>
    </row>
    <row r="29" spans="1:29" ht="15">
      <c r="A29" s="466" t="s">
        <v>2560</v>
      </c>
      <c r="B29" s="71" t="s">
        <v>2690</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315" t="s">
        <v>2562</v>
      </c>
      <c r="Q29" s="1813" t="str">
        <f t="shared" si="11"/>
        <v>建筑类型</v>
      </c>
      <c r="R29" s="774" t="s">
        <v>17</v>
      </c>
      <c r="S29" s="775">
        <f t="shared" si="12"/>
        <v>100</v>
      </c>
      <c r="T29" s="774" t="s">
        <v>17</v>
      </c>
      <c r="U29" s="775">
        <f t="shared" si="13"/>
        <v>100</v>
      </c>
      <c r="V29" s="774" t="s">
        <v>17</v>
      </c>
      <c r="W29" s="775">
        <f t="shared" si="14"/>
        <v>100</v>
      </c>
      <c r="X29" s="1816"/>
      <c r="Y29" s="3296"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96"/>
      <c r="Q30" s="776" t="str">
        <f t="shared" si="11"/>
        <v>项目建筑规模</v>
      </c>
      <c r="R30" s="777" t="s">
        <v>17</v>
      </c>
      <c r="S30" s="778" t="e">
        <f t="shared" si="12"/>
        <v>#N/A</v>
      </c>
      <c r="T30" s="777" t="s">
        <v>17</v>
      </c>
      <c r="U30" s="778" t="e">
        <f t="shared" si="13"/>
        <v>#N/A</v>
      </c>
      <c r="V30" s="777" t="s">
        <v>17</v>
      </c>
      <c r="W30" s="778" t="e">
        <f t="shared" si="14"/>
        <v>#N/A</v>
      </c>
      <c r="X30" s="779"/>
      <c r="Y30" s="3296"/>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96"/>
      <c r="Q31" s="1813" t="str">
        <f t="shared" si="11"/>
        <v>建筑结构</v>
      </c>
      <c r="R31" s="774" t="s">
        <v>17</v>
      </c>
      <c r="S31" s="775">
        <f t="shared" si="12"/>
        <v>100</v>
      </c>
      <c r="T31" s="774" t="s">
        <v>17</v>
      </c>
      <c r="U31" s="775">
        <f t="shared" si="13"/>
        <v>100</v>
      </c>
      <c r="V31" s="774" t="s">
        <v>17</v>
      </c>
      <c r="W31" s="775">
        <f t="shared" si="14"/>
        <v>100</v>
      </c>
      <c r="X31" s="1816"/>
      <c r="Y31" s="3296"/>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96"/>
      <c r="Q32" s="1813" t="str">
        <f t="shared" si="11"/>
        <v>公共部分装修</v>
      </c>
      <c r="R32" s="774" t="s">
        <v>17</v>
      </c>
      <c r="S32" s="775">
        <f t="shared" si="12"/>
        <v>100</v>
      </c>
      <c r="T32" s="774" t="s">
        <v>17</v>
      </c>
      <c r="U32" s="775">
        <f t="shared" si="13"/>
        <v>100</v>
      </c>
      <c r="V32" s="774" t="s">
        <v>17</v>
      </c>
      <c r="W32" s="775">
        <f t="shared" si="14"/>
        <v>100</v>
      </c>
      <c r="X32" s="1816"/>
      <c r="Y32" s="3296"/>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96"/>
      <c r="Q33" s="1813" t="str">
        <f t="shared" si="11"/>
        <v>成新度</v>
      </c>
      <c r="R33" s="774" t="s">
        <v>17</v>
      </c>
      <c r="S33" s="775" t="e">
        <f t="shared" si="12"/>
        <v>#N/A</v>
      </c>
      <c r="T33" s="774" t="s">
        <v>17</v>
      </c>
      <c r="U33" s="775" t="e">
        <f t="shared" si="13"/>
        <v>#N/A</v>
      </c>
      <c r="V33" s="774" t="s">
        <v>17</v>
      </c>
      <c r="W33" s="775" t="e">
        <f t="shared" si="14"/>
        <v>#N/A</v>
      </c>
      <c r="X33" s="1816"/>
      <c r="Y33" s="3296"/>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96"/>
      <c r="Q34" s="1798" t="str">
        <f t="shared" si="11"/>
        <v>物业管理</v>
      </c>
      <c r="R34" s="770" t="s">
        <v>17</v>
      </c>
      <c r="S34" s="771">
        <f t="shared" si="12"/>
        <v>100</v>
      </c>
      <c r="T34" s="770" t="s">
        <v>17</v>
      </c>
      <c r="U34" s="771">
        <f t="shared" si="13"/>
        <v>100</v>
      </c>
      <c r="V34" s="770" t="s">
        <v>17</v>
      </c>
      <c r="W34" s="771">
        <f t="shared" si="14"/>
        <v>100</v>
      </c>
      <c r="X34" s="772"/>
      <c r="Y34" s="3296"/>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96" t="s">
        <v>2562</v>
      </c>
      <c r="Q35" s="1813" t="str">
        <f t="shared" si="11"/>
        <v>市政基础设施</v>
      </c>
      <c r="R35" s="774" t="s">
        <v>17</v>
      </c>
      <c r="S35" s="775">
        <f t="shared" si="12"/>
        <v>100</v>
      </c>
      <c r="T35" s="774" t="s">
        <v>17</v>
      </c>
      <c r="U35" s="775">
        <f t="shared" si="13"/>
        <v>100</v>
      </c>
      <c r="V35" s="774" t="s">
        <v>17</v>
      </c>
      <c r="W35" s="775">
        <f t="shared" si="14"/>
        <v>100</v>
      </c>
      <c r="X35" s="1816"/>
      <c r="Y35" s="3296"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96"/>
      <c r="Q36" s="1813" t="str">
        <f t="shared" si="11"/>
        <v>内部装修</v>
      </c>
      <c r="R36" s="774" t="s">
        <v>17</v>
      </c>
      <c r="S36" s="775">
        <f t="shared" si="12"/>
        <v>100</v>
      </c>
      <c r="T36" s="774" t="s">
        <v>17</v>
      </c>
      <c r="U36" s="775">
        <f t="shared" si="13"/>
        <v>100</v>
      </c>
      <c r="V36" s="774" t="s">
        <v>17</v>
      </c>
      <c r="W36" s="775">
        <f t="shared" si="14"/>
        <v>100</v>
      </c>
      <c r="X36" s="1816"/>
      <c r="Y36" s="3296"/>
      <c r="Z36" s="1817" t="str">
        <f t="shared" si="15"/>
        <v>内部装修</v>
      </c>
      <c r="AA36" s="1814">
        <f t="shared" si="3"/>
        <v>1</v>
      </c>
      <c r="AB36" s="1814">
        <f t="shared" si="4"/>
        <v>1</v>
      </c>
      <c r="AC36" s="1814">
        <f t="shared" si="5"/>
        <v>1</v>
      </c>
    </row>
    <row r="37" spans="1:29" ht="15.75" thickBot="1">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96"/>
      <c r="Q37" s="1813" t="str">
        <f t="shared" si="11"/>
        <v>内部装修状况</v>
      </c>
      <c r="R37" s="774" t="s">
        <v>17</v>
      </c>
      <c r="S37" s="775">
        <f t="shared" si="12"/>
        <v>100</v>
      </c>
      <c r="T37" s="774" t="s">
        <v>17</v>
      </c>
      <c r="U37" s="775">
        <f t="shared" si="13"/>
        <v>100</v>
      </c>
      <c r="V37" s="774" t="s">
        <v>17</v>
      </c>
      <c r="W37" s="775">
        <f t="shared" si="14"/>
        <v>100</v>
      </c>
      <c r="X37" s="1816"/>
      <c r="Y37" s="3296"/>
      <c r="Z37" s="1817" t="str">
        <f t="shared" si="15"/>
        <v>内部装修状况</v>
      </c>
      <c r="AA37" s="1814">
        <f t="shared" si="3"/>
        <v>1</v>
      </c>
      <c r="AB37" s="1814">
        <f t="shared" si="4"/>
        <v>1</v>
      </c>
      <c r="AC37" s="1814">
        <f t="shared" si="5"/>
        <v>1</v>
      </c>
    </row>
    <row r="38" spans="1:29" s="471" customFormat="1" ht="15" hidden="1">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96"/>
      <c r="Q38" s="776">
        <f t="shared" si="11"/>
        <v>111</v>
      </c>
      <c r="R38" s="777" t="s">
        <v>17</v>
      </c>
      <c r="S38" s="778">
        <f t="shared" si="12"/>
        <v>100</v>
      </c>
      <c r="T38" s="777" t="s">
        <v>17</v>
      </c>
      <c r="U38" s="778">
        <f t="shared" si="13"/>
        <v>100</v>
      </c>
      <c r="V38" s="777" t="s">
        <v>17</v>
      </c>
      <c r="W38" s="778">
        <f t="shared" si="14"/>
        <v>100</v>
      </c>
      <c r="X38" s="779"/>
      <c r="Y38" s="3296"/>
      <c r="Z38" s="780">
        <f t="shared" si="15"/>
        <v>111</v>
      </c>
      <c r="AA38" s="1814">
        <f t="shared" si="3"/>
        <v>1</v>
      </c>
      <c r="AB38" s="1814">
        <f t="shared" si="4"/>
        <v>1</v>
      </c>
      <c r="AC38" s="1814">
        <f t="shared" si="5"/>
        <v>1</v>
      </c>
    </row>
    <row r="39" spans="1:29" ht="15" hidden="1">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96"/>
      <c r="Q39" s="1813">
        <f t="shared" si="11"/>
        <v>111</v>
      </c>
      <c r="R39" s="774" t="s">
        <v>17</v>
      </c>
      <c r="S39" s="775">
        <f t="shared" si="12"/>
        <v>100</v>
      </c>
      <c r="T39" s="774" t="s">
        <v>17</v>
      </c>
      <c r="U39" s="775">
        <f t="shared" si="13"/>
        <v>100</v>
      </c>
      <c r="V39" s="774" t="s">
        <v>17</v>
      </c>
      <c r="W39" s="775">
        <f t="shared" si="14"/>
        <v>100</v>
      </c>
      <c r="X39" s="1816"/>
      <c r="Y39" s="3296"/>
      <c r="Z39" s="1817">
        <f t="shared" si="15"/>
        <v>111</v>
      </c>
      <c r="AA39" s="1814">
        <f t="shared" si="3"/>
        <v>1</v>
      </c>
      <c r="AB39" s="1814">
        <f t="shared" si="4"/>
        <v>1</v>
      </c>
      <c r="AC39" s="1814">
        <f t="shared" si="5"/>
        <v>1</v>
      </c>
    </row>
    <row r="40" spans="1:29" ht="15.75" hidden="1"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97"/>
      <c r="Q40" s="1813">
        <f t="shared" si="11"/>
        <v>111</v>
      </c>
      <c r="R40" s="774" t="s">
        <v>17</v>
      </c>
      <c r="S40" s="775">
        <f t="shared" si="12"/>
        <v>100</v>
      </c>
      <c r="T40" s="774" t="s">
        <v>17</v>
      </c>
      <c r="U40" s="775">
        <f t="shared" si="13"/>
        <v>100</v>
      </c>
      <c r="V40" s="774" t="s">
        <v>17</v>
      </c>
      <c r="W40" s="775">
        <f t="shared" si="14"/>
        <v>100</v>
      </c>
      <c r="X40" s="1816"/>
      <c r="Y40" s="3297"/>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89" t="str">
        <f>A41</f>
        <v>成交单价（元/平方米）</v>
      </c>
      <c r="Q41" s="3289"/>
      <c r="R41" s="3290">
        <f>E41</f>
        <v>0</v>
      </c>
      <c r="S41" s="3290"/>
      <c r="T41" s="3290">
        <f>G41</f>
        <v>0</v>
      </c>
      <c r="U41" s="3290"/>
      <c r="V41" s="3290">
        <f>I41</f>
        <v>0</v>
      </c>
      <c r="W41" s="3290"/>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89" t="str">
        <f>A42</f>
        <v>比较价值（元/平方米）</v>
      </c>
      <c r="Q42" s="3289"/>
      <c r="R42" s="3290" t="e">
        <f>IF(F1="售价",ROUND(PRODUCT(R41,AA7:AA40),0),ROUND(PRODUCT(R41,AA7:AA40),1))</f>
        <v>#DIV/0!</v>
      </c>
      <c r="S42" s="3290"/>
      <c r="T42" s="3290" t="e">
        <f>IF(F1="售价",ROUND(PRODUCT(T41,AB7:AB40),0),ROUND(PRODUCT(T41,AB7:AB40),1))</f>
        <v>#DIV/0!</v>
      </c>
      <c r="U42" s="3290"/>
      <c r="V42" s="3290" t="e">
        <f>IF(F1="售价",ROUND(PRODUCT(V41,AC7:AC40),0),ROUND(PRODUCT(V41,AC7:AC40),1))</f>
        <v>#DIV/0!</v>
      </c>
      <c r="W42" s="3290"/>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286" t="str">
        <f>A43</f>
        <v>估价对象XX用房的比较价值（楼面单价，元/平方米）</v>
      </c>
      <c r="Q43" s="3287"/>
      <c r="R43" s="3288" t="e">
        <f>IF(F1="售价",ROUND(AVERAGE(R42:V42),0),ROUND(AVERAGE(R42:V42),1))</f>
        <v>#DIV/0!</v>
      </c>
      <c r="S43" s="3288"/>
      <c r="T43" s="3288"/>
      <c r="U43" s="3288"/>
      <c r="V43" s="3288"/>
      <c r="W43" s="328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2017-12</v>
      </c>
      <c r="D52" s="1578">
        <f>EDATE(C52,-1)</f>
        <v>43040</v>
      </c>
      <c r="E52" s="1578">
        <f t="shared" ref="E52:O52" si="16">EDATE(D52,-1)</f>
        <v>43009</v>
      </c>
      <c r="F52" s="1578">
        <f t="shared" si="16"/>
        <v>42979</v>
      </c>
      <c r="G52" s="1578">
        <f t="shared" si="16"/>
        <v>42948</v>
      </c>
      <c r="H52" s="1578">
        <f t="shared" si="16"/>
        <v>42917</v>
      </c>
      <c r="I52" s="1578">
        <f t="shared" si="16"/>
        <v>42887</v>
      </c>
      <c r="J52" s="1578">
        <f t="shared" si="16"/>
        <v>42856</v>
      </c>
      <c r="K52" s="1578">
        <f t="shared" si="16"/>
        <v>42826</v>
      </c>
      <c r="L52" s="1578">
        <f t="shared" si="16"/>
        <v>42795</v>
      </c>
      <c r="M52" s="1578">
        <f t="shared" si="16"/>
        <v>42767</v>
      </c>
      <c r="N52" s="1578">
        <f t="shared" si="16"/>
        <v>42736</v>
      </c>
      <c r="O52" s="1578">
        <f t="shared" si="16"/>
        <v>42705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7"/>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72" t="s">
        <v>2643</v>
      </c>
      <c r="D4" s="3273"/>
      <c r="E4" s="3274" t="s">
        <v>2644</v>
      </c>
      <c r="F4" s="3275"/>
      <c r="G4" s="3272" t="s">
        <v>2645</v>
      </c>
      <c r="H4" s="3273"/>
      <c r="I4" s="3272" t="s">
        <v>2646</v>
      </c>
      <c r="J4" s="3273"/>
      <c r="K4" s="610" t="s">
        <v>2647</v>
      </c>
      <c r="L4" s="1133"/>
      <c r="M4" s="1134"/>
      <c r="N4" s="1134"/>
      <c r="O4" s="1134"/>
      <c r="P4" s="3276" t="s">
        <v>2648</v>
      </c>
      <c r="Q4" s="3277"/>
      <c r="R4" s="3259" t="s">
        <v>2644</v>
      </c>
      <c r="S4" s="3260"/>
      <c r="T4" s="3259" t="s">
        <v>2645</v>
      </c>
      <c r="U4" s="3260"/>
      <c r="V4" s="3284" t="s">
        <v>2646</v>
      </c>
      <c r="W4" s="3284"/>
      <c r="X4" s="1816"/>
      <c r="Y4" s="3259" t="s">
        <v>2648</v>
      </c>
      <c r="Z4" s="3260"/>
      <c r="AA4" s="3254" t="s">
        <v>2644</v>
      </c>
      <c r="AB4" s="3255" t="s">
        <v>2645</v>
      </c>
      <c r="AC4" s="3254" t="s">
        <v>2646</v>
      </c>
    </row>
    <row r="5" spans="1:29" ht="15">
      <c r="A5" s="404"/>
      <c r="B5" s="405"/>
      <c r="C5" s="3265" t="s">
        <v>2539</v>
      </c>
      <c r="D5" s="3266"/>
      <c r="E5" s="3263" t="s">
        <v>2540</v>
      </c>
      <c r="F5" s="3264"/>
      <c r="G5" s="3265" t="s">
        <v>2541</v>
      </c>
      <c r="H5" s="3266"/>
      <c r="I5" s="3265" t="s">
        <v>2542</v>
      </c>
      <c r="J5" s="3266"/>
      <c r="K5" s="610"/>
      <c r="L5" s="1133"/>
      <c r="M5" s="1134"/>
      <c r="N5" s="1134"/>
      <c r="O5" s="1134"/>
      <c r="P5" s="3278"/>
      <c r="Q5" s="3279"/>
      <c r="R5" s="3261"/>
      <c r="S5" s="3262"/>
      <c r="T5" s="3261"/>
      <c r="U5" s="3262"/>
      <c r="V5" s="3284"/>
      <c r="W5" s="3284"/>
      <c r="X5" s="1816"/>
      <c r="Y5" s="3261"/>
      <c r="Z5" s="3262"/>
      <c r="AA5" s="3255"/>
      <c r="AB5" s="3255"/>
      <c r="AC5" s="3255"/>
    </row>
    <row r="6" spans="1:29" ht="15.75" thickBot="1">
      <c r="A6" s="406"/>
      <c r="B6" s="407"/>
      <c r="C6" s="3267" t="s">
        <v>2543</v>
      </c>
      <c r="D6" s="3268"/>
      <c r="E6" s="3269" t="s">
        <v>2543</v>
      </c>
      <c r="F6" s="3270"/>
      <c r="G6" s="3267" t="s">
        <v>2543</v>
      </c>
      <c r="H6" s="3268"/>
      <c r="I6" s="3267" t="s">
        <v>2543</v>
      </c>
      <c r="J6" s="3268"/>
      <c r="K6" s="610" t="s">
        <v>2544</v>
      </c>
      <c r="L6" s="1133"/>
      <c r="M6" s="1134"/>
      <c r="N6" s="1134"/>
      <c r="O6" s="1134"/>
      <c r="P6" s="3280"/>
      <c r="Q6" s="3281"/>
      <c r="R6" s="3261"/>
      <c r="S6" s="3262"/>
      <c r="T6" s="3282"/>
      <c r="U6" s="3283"/>
      <c r="V6" s="3284"/>
      <c r="W6" s="3284"/>
      <c r="X6" s="1816"/>
      <c r="Y6" s="3282"/>
      <c r="Z6" s="3283"/>
      <c r="AA6" s="3256"/>
      <c r="AB6" s="3256"/>
      <c r="AC6" s="3256"/>
    </row>
    <row r="7" spans="1:29" s="117" customFormat="1" ht="15.75" thickBot="1">
      <c r="A7" s="408" t="s">
        <v>2545</v>
      </c>
      <c r="B7" s="409"/>
      <c r="C7" s="410">
        <f>'数据-取费表'!B2</f>
        <v>43100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57" t="s">
        <v>2546</v>
      </c>
      <c r="Q7" s="3285"/>
      <c r="R7" s="770" t="s">
        <v>17</v>
      </c>
      <c r="S7" s="771">
        <f t="shared" ref="S7:S14" si="0">F7</f>
        <v>0</v>
      </c>
      <c r="T7" s="770" t="s">
        <v>17</v>
      </c>
      <c r="U7" s="771">
        <f t="shared" ref="U7:U14" si="1">H7</f>
        <v>0</v>
      </c>
      <c r="V7" s="770" t="s">
        <v>17</v>
      </c>
      <c r="W7" s="771">
        <f t="shared" ref="W7:W14" si="2">J7</f>
        <v>0</v>
      </c>
      <c r="X7" s="772"/>
      <c r="Y7" s="3257" t="s">
        <v>2546</v>
      </c>
      <c r="Z7" s="3258"/>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57" t="s">
        <v>2549</v>
      </c>
      <c r="Q8" s="3258"/>
      <c r="R8" s="770" t="s">
        <v>17</v>
      </c>
      <c r="S8" s="771">
        <f t="shared" si="0"/>
        <v>0</v>
      </c>
      <c r="T8" s="770" t="s">
        <v>17</v>
      </c>
      <c r="U8" s="771">
        <f t="shared" si="1"/>
        <v>0</v>
      </c>
      <c r="V8" s="770" t="s">
        <v>17</v>
      </c>
      <c r="W8" s="771">
        <f t="shared" si="2"/>
        <v>0</v>
      </c>
      <c r="X8" s="772"/>
      <c r="Y8" s="3257" t="s">
        <v>2549</v>
      </c>
      <c r="Z8" s="3258"/>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89" t="s">
        <v>2552</v>
      </c>
      <c r="Q9" s="1798" t="str">
        <f t="shared" ref="Q9:Q14" si="6">B9</f>
        <v>用途</v>
      </c>
      <c r="R9" s="770" t="s">
        <v>17</v>
      </c>
      <c r="S9" s="771">
        <f t="shared" si="0"/>
        <v>100</v>
      </c>
      <c r="T9" s="770" t="s">
        <v>17</v>
      </c>
      <c r="U9" s="771">
        <f t="shared" si="1"/>
        <v>100</v>
      </c>
      <c r="V9" s="770" t="s">
        <v>17</v>
      </c>
      <c r="W9" s="771">
        <f t="shared" si="2"/>
        <v>100</v>
      </c>
      <c r="X9" s="772"/>
      <c r="Y9" s="3084"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89"/>
      <c r="Q10" s="1798"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89"/>
      <c r="Q11" s="1798">
        <f t="shared" si="6"/>
        <v>111</v>
      </c>
      <c r="R11" s="770" t="s">
        <v>17</v>
      </c>
      <c r="S11" s="771">
        <f t="shared" si="0"/>
        <v>100</v>
      </c>
      <c r="T11" s="770" t="s">
        <v>17</v>
      </c>
      <c r="U11" s="771">
        <f t="shared" si="1"/>
        <v>100</v>
      </c>
      <c r="V11" s="770" t="s">
        <v>17</v>
      </c>
      <c r="W11" s="771">
        <f t="shared" si="2"/>
        <v>100</v>
      </c>
      <c r="X11" s="772"/>
      <c r="Y11" s="308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89"/>
      <c r="Q12" s="1798">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89"/>
      <c r="Q13" s="1798">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85.5">
      <c r="A14" s="401" t="s">
        <v>2556</v>
      </c>
      <c r="B14" s="629" t="s">
        <v>2706</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91" t="s">
        <v>2557</v>
      </c>
      <c r="Q14" s="1813" t="str">
        <f t="shared" si="6"/>
        <v>交通便捷度</v>
      </c>
      <c r="R14" s="774" t="s">
        <v>17</v>
      </c>
      <c r="S14" s="775">
        <f t="shared" si="0"/>
        <v>100</v>
      </c>
      <c r="T14" s="774" t="s">
        <v>17</v>
      </c>
      <c r="U14" s="775">
        <f t="shared" si="1"/>
        <v>100</v>
      </c>
      <c r="V14" s="774" t="s">
        <v>17</v>
      </c>
      <c r="W14" s="775">
        <f t="shared" si="2"/>
        <v>100</v>
      </c>
      <c r="X14" s="1816"/>
      <c r="Y14" s="3291"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92"/>
      <c r="Q15" s="1813"/>
      <c r="R15" s="774"/>
      <c r="S15" s="775"/>
      <c r="T15" s="774"/>
      <c r="U15" s="775"/>
      <c r="V15" s="774"/>
      <c r="W15" s="775"/>
      <c r="X15" s="1816"/>
      <c r="Y15" s="3292"/>
      <c r="Z15" s="1817"/>
      <c r="AA15" s="1814">
        <v>1</v>
      </c>
      <c r="AB15" s="1814">
        <v>1</v>
      </c>
      <c r="AC15" s="1814">
        <v>1</v>
      </c>
    </row>
    <row r="16" spans="1:29" ht="42.75">
      <c r="A16" s="404"/>
      <c r="B16" s="631" t="s">
        <v>2685</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92"/>
      <c r="Q16" s="1813" t="str">
        <f>B16</f>
        <v>公共配套设施</v>
      </c>
      <c r="R16" s="774" t="s">
        <v>17</v>
      </c>
      <c r="S16" s="775">
        <f>F16</f>
        <v>100</v>
      </c>
      <c r="T16" s="774" t="s">
        <v>17</v>
      </c>
      <c r="U16" s="775">
        <f>H16</f>
        <v>100</v>
      </c>
      <c r="V16" s="774" t="s">
        <v>17</v>
      </c>
      <c r="W16" s="775">
        <f>J16</f>
        <v>100</v>
      </c>
      <c r="X16" s="1816"/>
      <c r="Y16" s="3292"/>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92"/>
      <c r="Q17" s="1813"/>
      <c r="R17" s="774"/>
      <c r="S17" s="775"/>
      <c r="T17" s="774"/>
      <c r="U17" s="775"/>
      <c r="V17" s="774"/>
      <c r="W17" s="775"/>
      <c r="X17" s="1816"/>
      <c r="Y17" s="3292"/>
      <c r="Z17" s="1817"/>
      <c r="AA17" s="1814">
        <v>1</v>
      </c>
      <c r="AB17" s="1814">
        <v>1</v>
      </c>
      <c r="AC17" s="1814">
        <v>1</v>
      </c>
    </row>
    <row r="18" spans="1:29" ht="28.5">
      <c r="A18" s="404"/>
      <c r="B18" s="633" t="s">
        <v>2686</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92"/>
      <c r="Q18" s="1813" t="str">
        <f>B18</f>
        <v>基础设施水平</v>
      </c>
      <c r="R18" s="774" t="s">
        <v>17</v>
      </c>
      <c r="S18" s="775">
        <f>F18</f>
        <v>100</v>
      </c>
      <c r="T18" s="774" t="s">
        <v>17</v>
      </c>
      <c r="U18" s="775">
        <f>H18</f>
        <v>100</v>
      </c>
      <c r="V18" s="774" t="s">
        <v>17</v>
      </c>
      <c r="W18" s="775">
        <f>J18</f>
        <v>100</v>
      </c>
      <c r="X18" s="1816"/>
      <c r="Y18" s="3292"/>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92"/>
      <c r="Q19" s="1813"/>
      <c r="R19" s="774"/>
      <c r="S19" s="775"/>
      <c r="T19" s="774"/>
      <c r="U19" s="775"/>
      <c r="V19" s="774"/>
      <c r="W19" s="775"/>
      <c r="X19" s="1816"/>
      <c r="Y19" s="3292"/>
      <c r="Z19" s="1817"/>
      <c r="AA19" s="1814">
        <v>1</v>
      </c>
      <c r="AB19" s="1814">
        <v>1</v>
      </c>
      <c r="AC19" s="1814">
        <v>1</v>
      </c>
    </row>
    <row r="20" spans="1:29" ht="57">
      <c r="A20" s="404"/>
      <c r="B20" s="631" t="s">
        <v>2707</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92"/>
      <c r="Q20" s="1813" t="str">
        <f>B20</f>
        <v>自然及人文环境</v>
      </c>
      <c r="R20" s="774" t="s">
        <v>17</v>
      </c>
      <c r="S20" s="775">
        <f>F20</f>
        <v>100</v>
      </c>
      <c r="T20" s="774" t="s">
        <v>17</v>
      </c>
      <c r="U20" s="775">
        <f>H20</f>
        <v>100</v>
      </c>
      <c r="V20" s="774" t="s">
        <v>17</v>
      </c>
      <c r="W20" s="775">
        <f>J20</f>
        <v>100</v>
      </c>
      <c r="X20" s="1816"/>
      <c r="Y20" s="329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92"/>
      <c r="Q21" s="1813"/>
      <c r="R21" s="774"/>
      <c r="S21" s="775"/>
      <c r="T21" s="774"/>
      <c r="U21" s="775"/>
      <c r="V21" s="774"/>
      <c r="W21" s="775"/>
      <c r="X21" s="1816"/>
      <c r="Y21" s="3292"/>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92"/>
      <c r="Q22" s="1813" t="str">
        <f>B22</f>
        <v>楼层</v>
      </c>
      <c r="R22" s="774" t="s">
        <v>17</v>
      </c>
      <c r="S22" s="775">
        <f>F22</f>
        <v>100</v>
      </c>
      <c r="T22" s="774" t="s">
        <v>17</v>
      </c>
      <c r="U22" s="775">
        <f>H22</f>
        <v>100</v>
      </c>
      <c r="V22" s="774" t="s">
        <v>17</v>
      </c>
      <c r="W22" s="775">
        <f>J22</f>
        <v>100</v>
      </c>
      <c r="X22" s="1816"/>
      <c r="Y22" s="329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92"/>
      <c r="Q23" s="1813">
        <f>B23</f>
        <v>111</v>
      </c>
      <c r="R23" s="774" t="s">
        <v>17</v>
      </c>
      <c r="S23" s="775">
        <f>F23</f>
        <v>100</v>
      </c>
      <c r="T23" s="774" t="s">
        <v>17</v>
      </c>
      <c r="U23" s="775">
        <f>H23</f>
        <v>100</v>
      </c>
      <c r="V23" s="774" t="s">
        <v>17</v>
      </c>
      <c r="W23" s="775">
        <f>J23</f>
        <v>100</v>
      </c>
      <c r="X23" s="1816"/>
      <c r="Y23" s="329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92"/>
      <c r="Q24" s="1813">
        <f t="shared" ref="Q24:Q36" si="11">B24</f>
        <v>111</v>
      </c>
      <c r="R24" s="774" t="s">
        <v>17</v>
      </c>
      <c r="S24" s="775">
        <f>F24</f>
        <v>100</v>
      </c>
      <c r="T24" s="774" t="s">
        <v>17</v>
      </c>
      <c r="U24" s="775">
        <f>H24</f>
        <v>100</v>
      </c>
      <c r="V24" s="774" t="s">
        <v>17</v>
      </c>
      <c r="W24" s="775">
        <f>J24</f>
        <v>100</v>
      </c>
      <c r="X24" s="1816"/>
      <c r="Y24" s="329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92"/>
      <c r="Q25" s="1798">
        <f t="shared" si="11"/>
        <v>111</v>
      </c>
      <c r="R25" s="770" t="s">
        <v>17</v>
      </c>
      <c r="S25" s="771">
        <f>F25</f>
        <v>100</v>
      </c>
      <c r="T25" s="770" t="s">
        <v>17</v>
      </c>
      <c r="U25" s="771">
        <f>H25</f>
        <v>100</v>
      </c>
      <c r="V25" s="770" t="s">
        <v>17</v>
      </c>
      <c r="W25" s="771">
        <f>J25</f>
        <v>100</v>
      </c>
      <c r="X25" s="772"/>
      <c r="Y25" s="3292"/>
      <c r="Z25" s="55">
        <f>Q25</f>
        <v>111</v>
      </c>
      <c r="AA25" s="1814">
        <f>D25/F25</f>
        <v>1</v>
      </c>
      <c r="AB25" s="1814">
        <f>D25/H25</f>
        <v>1</v>
      </c>
      <c r="AC25" s="1814">
        <f>D25/J25</f>
        <v>1</v>
      </c>
    </row>
    <row r="26" spans="1:29" ht="15">
      <c r="A26" s="652" t="s">
        <v>2560</v>
      </c>
      <c r="B26" s="70" t="s">
        <v>2709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15"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96"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96"/>
      <c r="Q27" s="776" t="str">
        <f t="shared" si="11"/>
        <v>项目停车位配比</v>
      </c>
      <c r="R27" s="777" t="s">
        <v>17</v>
      </c>
      <c r="S27" s="778">
        <f t="shared" si="12"/>
        <v>100</v>
      </c>
      <c r="T27" s="777" t="s">
        <v>17</v>
      </c>
      <c r="U27" s="778">
        <f t="shared" si="13"/>
        <v>100</v>
      </c>
      <c r="V27" s="777" t="s">
        <v>17</v>
      </c>
      <c r="W27" s="778">
        <f t="shared" si="14"/>
        <v>100</v>
      </c>
      <c r="X27" s="779"/>
      <c r="Y27" s="3296"/>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96"/>
      <c r="Q28" s="1813" t="str">
        <f t="shared" si="11"/>
        <v>公共部分装修</v>
      </c>
      <c r="R28" s="774" t="s">
        <v>17</v>
      </c>
      <c r="S28" s="775">
        <f t="shared" si="12"/>
        <v>100</v>
      </c>
      <c r="T28" s="774" t="s">
        <v>17</v>
      </c>
      <c r="U28" s="775">
        <f t="shared" si="13"/>
        <v>100</v>
      </c>
      <c r="V28" s="774" t="s">
        <v>17</v>
      </c>
      <c r="W28" s="775">
        <f t="shared" si="14"/>
        <v>100</v>
      </c>
      <c r="X28" s="1816"/>
      <c r="Y28" s="3296"/>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96"/>
      <c r="Q29" s="1813" t="str">
        <f t="shared" si="11"/>
        <v>成新率</v>
      </c>
      <c r="R29" s="774" t="s">
        <v>17</v>
      </c>
      <c r="S29" s="775" t="e">
        <f t="shared" si="12"/>
        <v>#N/A</v>
      </c>
      <c r="T29" s="774" t="s">
        <v>17</v>
      </c>
      <c r="U29" s="775" t="e">
        <f t="shared" si="13"/>
        <v>#N/A</v>
      </c>
      <c r="V29" s="774" t="s">
        <v>17</v>
      </c>
      <c r="W29" s="775" t="e">
        <f t="shared" si="14"/>
        <v>#N/A</v>
      </c>
      <c r="X29" s="1816"/>
      <c r="Y29" s="3296"/>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96"/>
      <c r="Q30" s="1813" t="str">
        <f t="shared" si="11"/>
        <v>物业等级</v>
      </c>
      <c r="R30" s="774" t="s">
        <v>17</v>
      </c>
      <c r="S30" s="775">
        <f t="shared" si="12"/>
        <v>100</v>
      </c>
      <c r="T30" s="774" t="s">
        <v>17</v>
      </c>
      <c r="U30" s="775">
        <f t="shared" si="13"/>
        <v>100</v>
      </c>
      <c r="V30" s="774" t="s">
        <v>17</v>
      </c>
      <c r="W30" s="775">
        <f t="shared" si="14"/>
        <v>100</v>
      </c>
      <c r="X30" s="1816"/>
      <c r="Y30" s="3296"/>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96"/>
      <c r="Q31" s="1798" t="str">
        <f t="shared" si="11"/>
        <v>停车位面积</v>
      </c>
      <c r="R31" s="770" t="s">
        <v>17</v>
      </c>
      <c r="S31" s="771" t="e">
        <f t="shared" si="12"/>
        <v>#N/A</v>
      </c>
      <c r="T31" s="770" t="s">
        <v>17</v>
      </c>
      <c r="U31" s="771" t="e">
        <f t="shared" si="13"/>
        <v>#N/A</v>
      </c>
      <c r="V31" s="770" t="s">
        <v>17</v>
      </c>
      <c r="W31" s="771" t="e">
        <f t="shared" si="14"/>
        <v>#N/A</v>
      </c>
      <c r="X31" s="772"/>
      <c r="Y31" s="3296"/>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96" t="s">
        <v>2562</v>
      </c>
      <c r="Q32" s="1813" t="str">
        <f t="shared" si="11"/>
        <v>车位类型</v>
      </c>
      <c r="R32" s="774" t="s">
        <v>17</v>
      </c>
      <c r="S32" s="775">
        <f t="shared" si="12"/>
        <v>100</v>
      </c>
      <c r="T32" s="774" t="s">
        <v>17</v>
      </c>
      <c r="U32" s="775">
        <f t="shared" si="13"/>
        <v>100</v>
      </c>
      <c r="V32" s="774" t="s">
        <v>17</v>
      </c>
      <c r="W32" s="775">
        <f t="shared" si="14"/>
        <v>100</v>
      </c>
      <c r="X32" s="1816"/>
      <c r="Y32" s="3296"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96"/>
      <c r="Q33" s="1813" t="str">
        <f t="shared" si="11"/>
        <v>是否直接入户</v>
      </c>
      <c r="R33" s="774" t="s">
        <v>17</v>
      </c>
      <c r="S33" s="775">
        <f t="shared" si="12"/>
        <v>100</v>
      </c>
      <c r="T33" s="774" t="s">
        <v>17</v>
      </c>
      <c r="U33" s="775">
        <f t="shared" si="13"/>
        <v>100</v>
      </c>
      <c r="V33" s="774" t="s">
        <v>17</v>
      </c>
      <c r="W33" s="775">
        <f t="shared" si="14"/>
        <v>100</v>
      </c>
      <c r="X33" s="1816"/>
      <c r="Y33" s="329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96"/>
      <c r="Q34" s="1813">
        <f t="shared" si="11"/>
        <v>111</v>
      </c>
      <c r="R34" s="774" t="s">
        <v>17</v>
      </c>
      <c r="S34" s="775">
        <f t="shared" si="12"/>
        <v>100</v>
      </c>
      <c r="T34" s="774" t="s">
        <v>17</v>
      </c>
      <c r="U34" s="775">
        <f t="shared" si="13"/>
        <v>100</v>
      </c>
      <c r="V34" s="774" t="s">
        <v>17</v>
      </c>
      <c r="W34" s="775">
        <f t="shared" si="14"/>
        <v>100</v>
      </c>
      <c r="X34" s="1816"/>
      <c r="Y34" s="329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96"/>
      <c r="Q35" s="776">
        <f t="shared" si="11"/>
        <v>111</v>
      </c>
      <c r="R35" s="777" t="s">
        <v>17</v>
      </c>
      <c r="S35" s="778">
        <f t="shared" si="12"/>
        <v>100</v>
      </c>
      <c r="T35" s="777" t="s">
        <v>17</v>
      </c>
      <c r="U35" s="778">
        <f t="shared" si="13"/>
        <v>100</v>
      </c>
      <c r="V35" s="777" t="s">
        <v>17</v>
      </c>
      <c r="W35" s="778">
        <f t="shared" si="14"/>
        <v>100</v>
      </c>
      <c r="X35" s="779"/>
      <c r="Y35" s="329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96"/>
      <c r="Q36" s="1813">
        <f t="shared" si="11"/>
        <v>111</v>
      </c>
      <c r="R36" s="774" t="s">
        <v>17</v>
      </c>
      <c r="S36" s="775">
        <f t="shared" si="12"/>
        <v>100</v>
      </c>
      <c r="T36" s="774" t="s">
        <v>17</v>
      </c>
      <c r="U36" s="775">
        <f t="shared" si="13"/>
        <v>100</v>
      </c>
      <c r="V36" s="774" t="s">
        <v>17</v>
      </c>
      <c r="W36" s="775">
        <f t="shared" si="14"/>
        <v>100</v>
      </c>
      <c r="X36" s="1816"/>
      <c r="Y36" s="3296"/>
      <c r="Z36" s="1817">
        <f t="shared" si="15"/>
        <v>111</v>
      </c>
      <c r="AA36" s="1814">
        <f t="shared" si="3"/>
        <v>1</v>
      </c>
      <c r="AB36" s="1814">
        <f t="shared" si="4"/>
        <v>1</v>
      </c>
      <c r="AC36" s="1814">
        <f t="shared" si="5"/>
        <v>1</v>
      </c>
    </row>
    <row r="37" spans="1:29" ht="15">
      <c r="A37" s="479" t="s">
        <v>2717</v>
      </c>
      <c r="B37" s="2698" t="s">
        <v>2718</v>
      </c>
      <c r="C37" s="1410" t="s">
        <v>1</v>
      </c>
      <c r="D37" s="1411"/>
      <c r="E37" s="1412"/>
      <c r="F37" s="1413"/>
      <c r="G37" s="1414"/>
      <c r="H37" s="1415"/>
      <c r="I37" s="1412"/>
      <c r="J37" s="1415"/>
      <c r="K37" s="619"/>
      <c r="L37" s="1146"/>
      <c r="M37" s="1147"/>
      <c r="N37" s="1134"/>
      <c r="O37" s="1147"/>
      <c r="P37" s="3289" t="str">
        <f>A37</f>
        <v>成交单价</v>
      </c>
      <c r="Q37" s="3289"/>
      <c r="R37" s="3290">
        <f>E37</f>
        <v>0</v>
      </c>
      <c r="S37" s="3290"/>
      <c r="T37" s="3290">
        <f>G37</f>
        <v>0</v>
      </c>
      <c r="U37" s="3290"/>
      <c r="V37" s="3290">
        <f>I37</f>
        <v>0</v>
      </c>
      <c r="W37" s="3290"/>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89" t="str">
        <f>A38</f>
        <v>比较价值（元/平方米）</v>
      </c>
      <c r="Q38" s="3289"/>
      <c r="R38" s="3290" t="e">
        <f>IF(F1="售价",ROUND(PRODUCT(R37,AA7:AA36),0),ROUND(PRODUCT(R37,AA7:AA36),1))</f>
        <v>#DIV/0!</v>
      </c>
      <c r="S38" s="3290"/>
      <c r="T38" s="3290" t="e">
        <f>IF(F1="售价",ROUND(PRODUCT(T37,AB7:AB36),0),ROUND(PRODUCT(T37,AB7:AB36),1))</f>
        <v>#DIV/0!</v>
      </c>
      <c r="U38" s="3290"/>
      <c r="V38" s="3290" t="e">
        <f>IF(F1="售价",ROUND(PRODUCT(V37,AC7:AC36),0),ROUND(PRODUCT(V37,AC7:AC36),1))</f>
        <v>#DIV/0!</v>
      </c>
      <c r="W38" s="3290"/>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86" t="str">
        <f>A39</f>
        <v>估价对象XX用房的比较价值（楼面单价，元/平方米）</v>
      </c>
      <c r="Q39" s="3287"/>
      <c r="R39" s="3288" t="e">
        <f>IF(F1="售价",ROUND(AVERAGE(R38:V38),0),ROUND(AVERAGE(R38:V38),1))</f>
        <v>#DIV/0!</v>
      </c>
      <c r="S39" s="3288"/>
      <c r="T39" s="3288"/>
      <c r="U39" s="3288"/>
      <c r="V39" s="3288"/>
      <c r="W39" s="328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2017-12</v>
      </c>
      <c r="D48" s="1578">
        <f>EDATE(C48,-1)</f>
        <v>43040</v>
      </c>
      <c r="E48" s="1578">
        <f t="shared" ref="E48:O48" si="16">EDATE(D48,-1)</f>
        <v>43009</v>
      </c>
      <c r="F48" s="1578">
        <f t="shared" si="16"/>
        <v>42979</v>
      </c>
      <c r="G48" s="1578">
        <f t="shared" si="16"/>
        <v>42948</v>
      </c>
      <c r="H48" s="1578">
        <f t="shared" si="16"/>
        <v>42917</v>
      </c>
      <c r="I48" s="1578">
        <f t="shared" si="16"/>
        <v>42887</v>
      </c>
      <c r="J48" s="1578">
        <f t="shared" si="16"/>
        <v>42856</v>
      </c>
      <c r="K48" s="1578">
        <f t="shared" si="16"/>
        <v>42826</v>
      </c>
      <c r="L48" s="1578">
        <f t="shared" si="16"/>
        <v>42795</v>
      </c>
      <c r="M48" s="1578">
        <f t="shared" si="16"/>
        <v>42767</v>
      </c>
      <c r="N48" s="1578">
        <f t="shared" si="16"/>
        <v>42736</v>
      </c>
      <c r="O48" s="1578">
        <f t="shared" si="16"/>
        <v>42705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72" t="s">
        <v>2643</v>
      </c>
      <c r="D4" s="3273"/>
      <c r="E4" s="3274" t="s">
        <v>2644</v>
      </c>
      <c r="F4" s="3275"/>
      <c r="G4" s="3272" t="s">
        <v>2645</v>
      </c>
      <c r="H4" s="3273"/>
      <c r="I4" s="3272" t="s">
        <v>2646</v>
      </c>
      <c r="J4" s="3273"/>
      <c r="K4" s="610" t="s">
        <v>2647</v>
      </c>
      <c r="L4" s="1133"/>
      <c r="M4" s="1134"/>
      <c r="N4" s="1134"/>
      <c r="O4" s="1134"/>
      <c r="P4" s="3276" t="s">
        <v>2648</v>
      </c>
      <c r="Q4" s="3277"/>
      <c r="R4" s="3259" t="s">
        <v>2644</v>
      </c>
      <c r="S4" s="3260"/>
      <c r="T4" s="3259" t="s">
        <v>2645</v>
      </c>
      <c r="U4" s="3260"/>
      <c r="V4" s="3284" t="s">
        <v>2646</v>
      </c>
      <c r="W4" s="3284"/>
      <c r="X4" s="1816"/>
      <c r="Y4" s="3259" t="s">
        <v>2648</v>
      </c>
      <c r="Z4" s="3260"/>
      <c r="AA4" s="3254" t="s">
        <v>2644</v>
      </c>
      <c r="AB4" s="3255" t="s">
        <v>2645</v>
      </c>
      <c r="AC4" s="3254" t="s">
        <v>2646</v>
      </c>
    </row>
    <row r="5" spans="1:29" ht="15">
      <c r="A5" s="404"/>
      <c r="B5" s="405"/>
      <c r="C5" s="3265" t="s">
        <v>2539</v>
      </c>
      <c r="D5" s="3266"/>
      <c r="E5" s="3263" t="s">
        <v>2540</v>
      </c>
      <c r="F5" s="3264"/>
      <c r="G5" s="3265" t="s">
        <v>2541</v>
      </c>
      <c r="H5" s="3266"/>
      <c r="I5" s="3265" t="s">
        <v>2542</v>
      </c>
      <c r="J5" s="3266"/>
      <c r="K5" s="610"/>
      <c r="L5" s="1133"/>
      <c r="M5" s="1134"/>
      <c r="N5" s="1134"/>
      <c r="O5" s="1134"/>
      <c r="P5" s="3278"/>
      <c r="Q5" s="3279"/>
      <c r="R5" s="3261"/>
      <c r="S5" s="3262"/>
      <c r="T5" s="3261"/>
      <c r="U5" s="3262"/>
      <c r="V5" s="3284"/>
      <c r="W5" s="3284"/>
      <c r="X5" s="1816"/>
      <c r="Y5" s="3261"/>
      <c r="Z5" s="3262"/>
      <c r="AA5" s="3255"/>
      <c r="AB5" s="3255"/>
      <c r="AC5" s="3255"/>
    </row>
    <row r="6" spans="1:29" ht="15.75" thickBot="1">
      <c r="A6" s="406"/>
      <c r="B6" s="407"/>
      <c r="C6" s="3267" t="s">
        <v>2543</v>
      </c>
      <c r="D6" s="3268"/>
      <c r="E6" s="3269" t="s">
        <v>2543</v>
      </c>
      <c r="F6" s="3270"/>
      <c r="G6" s="3267" t="s">
        <v>2543</v>
      </c>
      <c r="H6" s="3268"/>
      <c r="I6" s="3267" t="s">
        <v>2543</v>
      </c>
      <c r="J6" s="3268"/>
      <c r="K6" s="610" t="s">
        <v>2544</v>
      </c>
      <c r="L6" s="1133"/>
      <c r="M6" s="1134"/>
      <c r="N6" s="1134"/>
      <c r="O6" s="1134"/>
      <c r="P6" s="3280"/>
      <c r="Q6" s="3281"/>
      <c r="R6" s="3261"/>
      <c r="S6" s="3262"/>
      <c r="T6" s="3282"/>
      <c r="U6" s="3283"/>
      <c r="V6" s="3284"/>
      <c r="W6" s="3284"/>
      <c r="X6" s="1816"/>
      <c r="Y6" s="3282"/>
      <c r="Z6" s="3283"/>
      <c r="AA6" s="3256"/>
      <c r="AB6" s="3256"/>
      <c r="AC6" s="3256"/>
    </row>
    <row r="7" spans="1:29" s="117" customFormat="1" ht="15.75" thickBot="1">
      <c r="A7" s="408" t="s">
        <v>2545</v>
      </c>
      <c r="B7" s="409"/>
      <c r="C7" s="410">
        <f>'数据-取费表'!B2</f>
        <v>43100</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57" t="s">
        <v>2546</v>
      </c>
      <c r="Q7" s="3285"/>
      <c r="R7" s="770" t="s">
        <v>17</v>
      </c>
      <c r="S7" s="771">
        <f t="shared" ref="S7:S14" si="0">F7</f>
        <v>0</v>
      </c>
      <c r="T7" s="770" t="s">
        <v>17</v>
      </c>
      <c r="U7" s="771">
        <f t="shared" ref="U7:U14" si="1">H7</f>
        <v>0</v>
      </c>
      <c r="V7" s="770" t="s">
        <v>17</v>
      </c>
      <c r="W7" s="771">
        <f t="shared" ref="W7:W14" si="2">J7</f>
        <v>0</v>
      </c>
      <c r="X7" s="772"/>
      <c r="Y7" s="3257" t="s">
        <v>2546</v>
      </c>
      <c r="Z7" s="3258"/>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7" t="s">
        <v>2549</v>
      </c>
      <c r="Q8" s="3258"/>
      <c r="R8" s="770" t="s">
        <v>17</v>
      </c>
      <c r="S8" s="771">
        <f t="shared" si="0"/>
        <v>0</v>
      </c>
      <c r="T8" s="770" t="s">
        <v>17</v>
      </c>
      <c r="U8" s="771">
        <f t="shared" si="1"/>
        <v>0</v>
      </c>
      <c r="V8" s="770" t="s">
        <v>17</v>
      </c>
      <c r="W8" s="771">
        <f t="shared" si="2"/>
        <v>0</v>
      </c>
      <c r="X8" s="772"/>
      <c r="Y8" s="3257" t="s">
        <v>2549</v>
      </c>
      <c r="Z8" s="3258"/>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89" t="s">
        <v>2552</v>
      </c>
      <c r="Q9" s="1798" t="str">
        <f t="shared" ref="Q9:Q14" si="6">B9</f>
        <v>用途</v>
      </c>
      <c r="R9" s="770" t="s">
        <v>17</v>
      </c>
      <c r="S9" s="771">
        <f t="shared" si="0"/>
        <v>100</v>
      </c>
      <c r="T9" s="770" t="s">
        <v>17</v>
      </c>
      <c r="U9" s="771">
        <f t="shared" si="1"/>
        <v>100</v>
      </c>
      <c r="V9" s="770" t="s">
        <v>17</v>
      </c>
      <c r="W9" s="771">
        <f t="shared" si="2"/>
        <v>100</v>
      </c>
      <c r="X9" s="772"/>
      <c r="Y9" s="3084"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89"/>
      <c r="Q10" s="1798"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89"/>
      <c r="Q11" s="1798">
        <f t="shared" si="6"/>
        <v>111</v>
      </c>
      <c r="R11" s="770" t="s">
        <v>17</v>
      </c>
      <c r="S11" s="771">
        <f t="shared" si="0"/>
        <v>100</v>
      </c>
      <c r="T11" s="770" t="s">
        <v>17</v>
      </c>
      <c r="U11" s="771">
        <f t="shared" si="1"/>
        <v>100</v>
      </c>
      <c r="V11" s="770" t="s">
        <v>17</v>
      </c>
      <c r="W11" s="771">
        <f t="shared" si="2"/>
        <v>100</v>
      </c>
      <c r="X11" s="772"/>
      <c r="Y11" s="3084"/>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89"/>
      <c r="Q12" s="1798">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89"/>
      <c r="Q13" s="1798">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85.5">
      <c r="A14" s="440" t="s">
        <v>2556</v>
      </c>
      <c r="B14" s="69" t="s">
        <v>2706</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91" t="s">
        <v>2557</v>
      </c>
      <c r="Q14" s="1813" t="str">
        <f t="shared" si="6"/>
        <v>交通便捷度</v>
      </c>
      <c r="R14" s="774" t="s">
        <v>17</v>
      </c>
      <c r="S14" s="775">
        <f t="shared" si="0"/>
        <v>100</v>
      </c>
      <c r="T14" s="774" t="s">
        <v>17</v>
      </c>
      <c r="U14" s="775">
        <f t="shared" si="1"/>
        <v>100</v>
      </c>
      <c r="V14" s="774" t="s">
        <v>17</v>
      </c>
      <c r="W14" s="775">
        <f t="shared" si="2"/>
        <v>100</v>
      </c>
      <c r="X14" s="1816"/>
      <c r="Y14" s="3291"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92"/>
      <c r="Q15" s="1813"/>
      <c r="R15" s="774"/>
      <c r="S15" s="775"/>
      <c r="T15" s="774"/>
      <c r="U15" s="775"/>
      <c r="V15" s="774"/>
      <c r="W15" s="775"/>
      <c r="X15" s="1816"/>
      <c r="Y15" s="3292"/>
      <c r="Z15" s="1817"/>
      <c r="AA15" s="1814">
        <v>1</v>
      </c>
      <c r="AB15" s="1814">
        <v>1</v>
      </c>
      <c r="AC15" s="1814">
        <v>1</v>
      </c>
    </row>
    <row r="16" spans="1:29" ht="42.75">
      <c r="A16" s="428"/>
      <c r="B16" s="451" t="s">
        <v>2685</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92"/>
      <c r="Q16" s="1813" t="str">
        <f>B16</f>
        <v>公共配套设施</v>
      </c>
      <c r="R16" s="774" t="s">
        <v>17</v>
      </c>
      <c r="S16" s="775">
        <f>F16</f>
        <v>100</v>
      </c>
      <c r="T16" s="774" t="s">
        <v>17</v>
      </c>
      <c r="U16" s="775">
        <f>H16</f>
        <v>100</v>
      </c>
      <c r="V16" s="774" t="s">
        <v>17</v>
      </c>
      <c r="W16" s="775">
        <f>J16</f>
        <v>100</v>
      </c>
      <c r="X16" s="1816"/>
      <c r="Y16" s="3292"/>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92"/>
      <c r="Q17" s="1813"/>
      <c r="R17" s="774"/>
      <c r="S17" s="775"/>
      <c r="T17" s="774"/>
      <c r="U17" s="775"/>
      <c r="V17" s="774"/>
      <c r="W17" s="775"/>
      <c r="X17" s="1816"/>
      <c r="Y17" s="3292"/>
      <c r="Z17" s="1817"/>
      <c r="AA17" s="1814">
        <v>1</v>
      </c>
      <c r="AB17" s="1814">
        <v>1</v>
      </c>
      <c r="AC17" s="1814">
        <v>1</v>
      </c>
    </row>
    <row r="18" spans="1:29" ht="28.5">
      <c r="A18" s="428"/>
      <c r="B18" s="1387" t="s">
        <v>2686</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92"/>
      <c r="Q18" s="1813" t="str">
        <f>B18</f>
        <v>基础设施水平</v>
      </c>
      <c r="R18" s="774" t="s">
        <v>17</v>
      </c>
      <c r="S18" s="775">
        <f>F18</f>
        <v>100</v>
      </c>
      <c r="T18" s="774" t="s">
        <v>17</v>
      </c>
      <c r="U18" s="775">
        <f>H18</f>
        <v>100</v>
      </c>
      <c r="V18" s="774" t="s">
        <v>17</v>
      </c>
      <c r="W18" s="775">
        <f>J18</f>
        <v>100</v>
      </c>
      <c r="X18" s="1816"/>
      <c r="Y18" s="3292"/>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92"/>
      <c r="Q19" s="1813"/>
      <c r="R19" s="774"/>
      <c r="S19" s="775"/>
      <c r="T19" s="774"/>
      <c r="U19" s="775"/>
      <c r="V19" s="774"/>
      <c r="W19" s="775"/>
      <c r="X19" s="1816"/>
      <c r="Y19" s="3292"/>
      <c r="Z19" s="1817"/>
      <c r="AA19" s="1814">
        <v>1</v>
      </c>
      <c r="AB19" s="1814">
        <v>1</v>
      </c>
      <c r="AC19" s="1814">
        <v>1</v>
      </c>
    </row>
    <row r="20" spans="1:29" ht="57">
      <c r="A20" s="428"/>
      <c r="B20" s="451" t="s">
        <v>2707</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92"/>
      <c r="Q20" s="1813" t="str">
        <f>B20</f>
        <v>自然及人文环境</v>
      </c>
      <c r="R20" s="774" t="s">
        <v>17</v>
      </c>
      <c r="S20" s="775">
        <f>F20</f>
        <v>100</v>
      </c>
      <c r="T20" s="774" t="s">
        <v>17</v>
      </c>
      <c r="U20" s="775">
        <f>H20</f>
        <v>100</v>
      </c>
      <c r="V20" s="774" t="s">
        <v>17</v>
      </c>
      <c r="W20" s="775">
        <f>J20</f>
        <v>100</v>
      </c>
      <c r="X20" s="1816"/>
      <c r="Y20" s="329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92"/>
      <c r="Q21" s="1813"/>
      <c r="R21" s="774"/>
      <c r="S21" s="775"/>
      <c r="T21" s="774"/>
      <c r="U21" s="775"/>
      <c r="V21" s="774"/>
      <c r="W21" s="775"/>
      <c r="X21" s="1816"/>
      <c r="Y21" s="3292"/>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92"/>
      <c r="Q22" s="1813" t="str">
        <f>B22</f>
        <v>楼层</v>
      </c>
      <c r="R22" s="774" t="s">
        <v>17</v>
      </c>
      <c r="S22" s="775">
        <f>F22</f>
        <v>100</v>
      </c>
      <c r="T22" s="774" t="s">
        <v>17</v>
      </c>
      <c r="U22" s="775">
        <f>H22</f>
        <v>100</v>
      </c>
      <c r="V22" s="774" t="s">
        <v>17</v>
      </c>
      <c r="W22" s="775">
        <f>J22</f>
        <v>100</v>
      </c>
      <c r="X22" s="1816"/>
      <c r="Y22" s="3292"/>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92"/>
      <c r="Q23" s="1813">
        <f>B23</f>
        <v>111</v>
      </c>
      <c r="R23" s="774" t="s">
        <v>17</v>
      </c>
      <c r="S23" s="775">
        <f>F23</f>
        <v>100</v>
      </c>
      <c r="T23" s="774" t="s">
        <v>17</v>
      </c>
      <c r="U23" s="775">
        <f>H23</f>
        <v>100</v>
      </c>
      <c r="V23" s="774" t="s">
        <v>17</v>
      </c>
      <c r="W23" s="775">
        <f>J23</f>
        <v>100</v>
      </c>
      <c r="X23" s="1816"/>
      <c r="Y23" s="3292"/>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92"/>
      <c r="Q24" s="1813">
        <f t="shared" ref="Q24:Q34" si="11">B24</f>
        <v>111</v>
      </c>
      <c r="R24" s="774" t="s">
        <v>17</v>
      </c>
      <c r="S24" s="775">
        <f>F24</f>
        <v>100</v>
      </c>
      <c r="T24" s="774" t="s">
        <v>17</v>
      </c>
      <c r="U24" s="775">
        <f>H24</f>
        <v>100</v>
      </c>
      <c r="V24" s="774" t="s">
        <v>17</v>
      </c>
      <c r="W24" s="775">
        <f>J24</f>
        <v>100</v>
      </c>
      <c r="X24" s="1816"/>
      <c r="Y24" s="3292"/>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92"/>
      <c r="Q25" s="1798">
        <f t="shared" si="11"/>
        <v>111</v>
      </c>
      <c r="R25" s="770" t="s">
        <v>17</v>
      </c>
      <c r="S25" s="771">
        <f>F25</f>
        <v>100</v>
      </c>
      <c r="T25" s="770" t="s">
        <v>17</v>
      </c>
      <c r="U25" s="771">
        <f>H25</f>
        <v>100</v>
      </c>
      <c r="V25" s="770" t="s">
        <v>17</v>
      </c>
      <c r="W25" s="771">
        <f>J25</f>
        <v>100</v>
      </c>
      <c r="X25" s="772"/>
      <c r="Y25" s="3292"/>
      <c r="Z25" s="55">
        <f>Q25</f>
        <v>111</v>
      </c>
      <c r="AA25" s="1814">
        <f>D25/F25</f>
        <v>1</v>
      </c>
      <c r="AB25" s="1814">
        <f>D25/H25</f>
        <v>1</v>
      </c>
      <c r="AC25" s="1814">
        <f>D25/J25</f>
        <v>1</v>
      </c>
    </row>
    <row r="26" spans="1:29" ht="15">
      <c r="A26" s="466" t="s">
        <v>2560</v>
      </c>
      <c r="B26" s="71" t="s">
        <v>2711</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315"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96"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96"/>
      <c r="Q27" s="776" t="str">
        <f t="shared" si="11"/>
        <v>成新率</v>
      </c>
      <c r="R27" s="777" t="s">
        <v>17</v>
      </c>
      <c r="S27" s="778" t="e">
        <f t="shared" si="12"/>
        <v>#N/A</v>
      </c>
      <c r="T27" s="777" t="s">
        <v>17</v>
      </c>
      <c r="U27" s="778" t="e">
        <f t="shared" si="13"/>
        <v>#N/A</v>
      </c>
      <c r="V27" s="777" t="s">
        <v>17</v>
      </c>
      <c r="W27" s="778" t="e">
        <f t="shared" si="14"/>
        <v>#N/A</v>
      </c>
      <c r="X27" s="779"/>
      <c r="Y27" s="3296"/>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96"/>
      <c r="Q28" s="1813" t="str">
        <f t="shared" si="11"/>
        <v>物业等级</v>
      </c>
      <c r="R28" s="774" t="s">
        <v>17</v>
      </c>
      <c r="S28" s="775">
        <f t="shared" si="12"/>
        <v>100</v>
      </c>
      <c r="T28" s="774" t="s">
        <v>17</v>
      </c>
      <c r="U28" s="775">
        <f t="shared" si="13"/>
        <v>100</v>
      </c>
      <c r="V28" s="774" t="s">
        <v>17</v>
      </c>
      <c r="W28" s="775">
        <f t="shared" si="14"/>
        <v>100</v>
      </c>
      <c r="X28" s="1816"/>
      <c r="Y28" s="3296"/>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96"/>
      <c r="Q29" s="1813" t="str">
        <f t="shared" si="11"/>
        <v>有无电梯</v>
      </c>
      <c r="R29" s="774" t="s">
        <v>17</v>
      </c>
      <c r="S29" s="775">
        <f t="shared" si="12"/>
        <v>100</v>
      </c>
      <c r="T29" s="774" t="s">
        <v>17</v>
      </c>
      <c r="U29" s="775">
        <f t="shared" si="13"/>
        <v>100</v>
      </c>
      <c r="V29" s="774" t="s">
        <v>17</v>
      </c>
      <c r="W29" s="775">
        <f t="shared" si="14"/>
        <v>100</v>
      </c>
      <c r="X29" s="1816"/>
      <c r="Y29" s="3296"/>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96"/>
      <c r="Q30" s="1813" t="str">
        <f t="shared" si="11"/>
        <v>建筑面积</v>
      </c>
      <c r="R30" s="774" t="s">
        <v>17</v>
      </c>
      <c r="S30" s="775" t="e">
        <f t="shared" si="12"/>
        <v>#N/A</v>
      </c>
      <c r="T30" s="774" t="s">
        <v>17</v>
      </c>
      <c r="U30" s="775" t="e">
        <f t="shared" si="13"/>
        <v>#N/A</v>
      </c>
      <c r="V30" s="774" t="s">
        <v>17</v>
      </c>
      <c r="W30" s="775" t="e">
        <f t="shared" si="14"/>
        <v>#N/A</v>
      </c>
      <c r="X30" s="1816"/>
      <c r="Y30" s="3296"/>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96"/>
      <c r="Q31" s="1798" t="str">
        <f t="shared" si="11"/>
        <v>是否封闭</v>
      </c>
      <c r="R31" s="770" t="s">
        <v>17</v>
      </c>
      <c r="S31" s="771">
        <f t="shared" si="12"/>
        <v>100</v>
      </c>
      <c r="T31" s="770" t="s">
        <v>17</v>
      </c>
      <c r="U31" s="771">
        <f t="shared" si="13"/>
        <v>100</v>
      </c>
      <c r="V31" s="770" t="s">
        <v>17</v>
      </c>
      <c r="W31" s="771">
        <f t="shared" si="14"/>
        <v>100</v>
      </c>
      <c r="X31" s="772"/>
      <c r="Y31" s="3296"/>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96" t="s">
        <v>2562</v>
      </c>
      <c r="Q32" s="1813">
        <f t="shared" si="11"/>
        <v>111</v>
      </c>
      <c r="R32" s="774" t="s">
        <v>17</v>
      </c>
      <c r="S32" s="775">
        <f t="shared" si="12"/>
        <v>100</v>
      </c>
      <c r="T32" s="774" t="s">
        <v>17</v>
      </c>
      <c r="U32" s="775">
        <f t="shared" si="13"/>
        <v>100</v>
      </c>
      <c r="V32" s="774" t="s">
        <v>17</v>
      </c>
      <c r="W32" s="775">
        <f t="shared" si="14"/>
        <v>100</v>
      </c>
      <c r="X32" s="1816"/>
      <c r="Y32" s="3296" t="s">
        <v>2562</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96"/>
      <c r="Q33" s="1813">
        <f t="shared" si="11"/>
        <v>111</v>
      </c>
      <c r="R33" s="774" t="s">
        <v>17</v>
      </c>
      <c r="S33" s="775">
        <f t="shared" si="12"/>
        <v>100</v>
      </c>
      <c r="T33" s="774" t="s">
        <v>17</v>
      </c>
      <c r="U33" s="775">
        <f t="shared" si="13"/>
        <v>100</v>
      </c>
      <c r="V33" s="774" t="s">
        <v>17</v>
      </c>
      <c r="W33" s="775">
        <f t="shared" si="14"/>
        <v>100</v>
      </c>
      <c r="X33" s="1816"/>
      <c r="Y33" s="3296"/>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96"/>
      <c r="Q34" s="1813">
        <f t="shared" si="11"/>
        <v>111</v>
      </c>
      <c r="R34" s="774" t="s">
        <v>17</v>
      </c>
      <c r="S34" s="775">
        <f t="shared" si="12"/>
        <v>100</v>
      </c>
      <c r="T34" s="774" t="s">
        <v>17</v>
      </c>
      <c r="U34" s="775">
        <f t="shared" si="13"/>
        <v>100</v>
      </c>
      <c r="V34" s="774" t="s">
        <v>17</v>
      </c>
      <c r="W34" s="775">
        <f t="shared" si="14"/>
        <v>100</v>
      </c>
      <c r="X34" s="1816"/>
      <c r="Y34" s="3296"/>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89" t="str">
        <f>A35</f>
        <v>成交单价（元/平方米）</v>
      </c>
      <c r="Q35" s="3289"/>
      <c r="R35" s="3290">
        <f>E35</f>
        <v>0</v>
      </c>
      <c r="S35" s="3290"/>
      <c r="T35" s="3290">
        <f>G35</f>
        <v>0</v>
      </c>
      <c r="U35" s="3290"/>
      <c r="V35" s="3290">
        <f>I35</f>
        <v>0</v>
      </c>
      <c r="W35" s="3290"/>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89" t="str">
        <f>A36</f>
        <v>比较价值（元/平方米）</v>
      </c>
      <c r="Q36" s="3289"/>
      <c r="R36" s="3290" t="e">
        <f>IF(F1="售价",ROUND(PRODUCT(R35,AA7:AA34),0),ROUND(PRODUCT(R35,AA7:AA34),1))</f>
        <v>#DIV/0!</v>
      </c>
      <c r="S36" s="3290"/>
      <c r="T36" s="3290" t="e">
        <f>IF(F1="售价",ROUND(PRODUCT(T35,AB7:AB34),0),ROUND(PRODUCT(T35,AB7:AB34),1))</f>
        <v>#DIV/0!</v>
      </c>
      <c r="U36" s="3290"/>
      <c r="V36" s="3290" t="e">
        <f>IF(F1="售价",ROUND(PRODUCT(V35,AC7:AC34),0),ROUND(PRODUCT(V35,AC7:AC34),1))</f>
        <v>#DIV/0!</v>
      </c>
      <c r="W36" s="3290"/>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86" t="str">
        <f>A37</f>
        <v>估价对象XX用房的比较价值（楼面单价，元/平方米）</v>
      </c>
      <c r="Q37" s="3287"/>
      <c r="R37" s="3288" t="e">
        <f>IF(F1="售价",ROUND(AVERAGE(R36:V36),0),ROUND(AVERAGE(R36:V36),1))</f>
        <v>#DIV/0!</v>
      </c>
      <c r="S37" s="3288"/>
      <c r="T37" s="3288"/>
      <c r="U37" s="3288"/>
      <c r="V37" s="3288"/>
      <c r="W37" s="328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2017-12</v>
      </c>
      <c r="D46" s="1578">
        <f>EDATE(C46,-1)</f>
        <v>43040</v>
      </c>
      <c r="E46" s="1578">
        <f t="shared" ref="E46:O46" si="16">EDATE(D46,-1)</f>
        <v>43009</v>
      </c>
      <c r="F46" s="1578">
        <f t="shared" si="16"/>
        <v>42979</v>
      </c>
      <c r="G46" s="1578">
        <f t="shared" si="16"/>
        <v>42948</v>
      </c>
      <c r="H46" s="1578">
        <f t="shared" si="16"/>
        <v>42917</v>
      </c>
      <c r="I46" s="1578">
        <f t="shared" si="16"/>
        <v>42887</v>
      </c>
      <c r="J46" s="1578">
        <f t="shared" si="16"/>
        <v>42856</v>
      </c>
      <c r="K46" s="1578">
        <f t="shared" si="16"/>
        <v>42826</v>
      </c>
      <c r="L46" s="1578">
        <f t="shared" si="16"/>
        <v>42795</v>
      </c>
      <c r="M46" s="1578">
        <f t="shared" si="16"/>
        <v>42767</v>
      </c>
      <c r="N46" s="1578">
        <f t="shared" si="16"/>
        <v>42736</v>
      </c>
      <c r="O46" s="1578">
        <f t="shared" si="16"/>
        <v>42705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72" t="s">
        <v>2643</v>
      </c>
      <c r="D4" s="3273"/>
      <c r="E4" s="3274" t="s">
        <v>2644</v>
      </c>
      <c r="F4" s="3275"/>
      <c r="G4" s="3272" t="s">
        <v>2645</v>
      </c>
      <c r="H4" s="3273"/>
      <c r="I4" s="3272" t="s">
        <v>2646</v>
      </c>
      <c r="J4" s="3273"/>
      <c r="K4" s="610" t="s">
        <v>2647</v>
      </c>
      <c r="L4" s="1133"/>
      <c r="M4" s="1134"/>
      <c r="N4" s="1134"/>
      <c r="O4" s="1134"/>
      <c r="P4" s="3276" t="s">
        <v>2648</v>
      </c>
      <c r="Q4" s="3277"/>
      <c r="R4" s="3259" t="s">
        <v>2644</v>
      </c>
      <c r="S4" s="3260"/>
      <c r="T4" s="3259" t="s">
        <v>2645</v>
      </c>
      <c r="U4" s="3260"/>
      <c r="V4" s="3284" t="s">
        <v>2646</v>
      </c>
      <c r="W4" s="3284"/>
      <c r="X4" s="1816"/>
      <c r="Y4" s="3259" t="s">
        <v>2648</v>
      </c>
      <c r="Z4" s="3260"/>
      <c r="AA4" s="3254" t="s">
        <v>2644</v>
      </c>
      <c r="AB4" s="3255" t="s">
        <v>2645</v>
      </c>
      <c r="AC4" s="3254" t="s">
        <v>2646</v>
      </c>
    </row>
    <row r="5" spans="1:30" ht="15">
      <c r="A5" s="404"/>
      <c r="B5" s="405"/>
      <c r="C5" s="3265" t="s">
        <v>2539</v>
      </c>
      <c r="D5" s="3266"/>
      <c r="E5" s="3263" t="s">
        <v>2540</v>
      </c>
      <c r="F5" s="3264"/>
      <c r="G5" s="3265" t="s">
        <v>2541</v>
      </c>
      <c r="H5" s="3266"/>
      <c r="I5" s="3265" t="s">
        <v>2542</v>
      </c>
      <c r="J5" s="3266"/>
      <c r="K5" s="610"/>
      <c r="L5" s="1133"/>
      <c r="M5" s="1134"/>
      <c r="N5" s="1134"/>
      <c r="O5" s="1134"/>
      <c r="P5" s="3278"/>
      <c r="Q5" s="3279"/>
      <c r="R5" s="3261"/>
      <c r="S5" s="3262"/>
      <c r="T5" s="3261"/>
      <c r="U5" s="3262"/>
      <c r="V5" s="3284"/>
      <c r="W5" s="3284"/>
      <c r="X5" s="1816"/>
      <c r="Y5" s="3261"/>
      <c r="Z5" s="3262"/>
      <c r="AA5" s="3255"/>
      <c r="AB5" s="3255"/>
      <c r="AC5" s="3255"/>
    </row>
    <row r="6" spans="1:30" ht="15.75" thickBot="1">
      <c r="A6" s="406"/>
      <c r="B6" s="407"/>
      <c r="C6" s="3267" t="s">
        <v>2543</v>
      </c>
      <c r="D6" s="3268"/>
      <c r="E6" s="3269" t="s">
        <v>2543</v>
      </c>
      <c r="F6" s="3270"/>
      <c r="G6" s="3267" t="s">
        <v>2543</v>
      </c>
      <c r="H6" s="3268"/>
      <c r="I6" s="3267" t="s">
        <v>2543</v>
      </c>
      <c r="J6" s="3268"/>
      <c r="K6" s="610" t="s">
        <v>2544</v>
      </c>
      <c r="L6" s="1133"/>
      <c r="M6" s="1134"/>
      <c r="N6" s="1134"/>
      <c r="O6" s="1134"/>
      <c r="P6" s="3280"/>
      <c r="Q6" s="3281"/>
      <c r="R6" s="3261"/>
      <c r="S6" s="3262"/>
      <c r="T6" s="3282"/>
      <c r="U6" s="3283"/>
      <c r="V6" s="3284"/>
      <c r="W6" s="3284"/>
      <c r="X6" s="1816"/>
      <c r="Y6" s="3282"/>
      <c r="Z6" s="3283"/>
      <c r="AA6" s="3256"/>
      <c r="AB6" s="3256"/>
      <c r="AC6" s="3256"/>
    </row>
    <row r="7" spans="1:30" s="117" customFormat="1" ht="15.75" thickBot="1">
      <c r="A7" s="408" t="s">
        <v>2545</v>
      </c>
      <c r="B7" s="409"/>
      <c r="C7" s="410">
        <f>'数据-取费表'!B2</f>
        <v>43100</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57" t="s">
        <v>2546</v>
      </c>
      <c r="Q7" s="3285"/>
      <c r="R7" s="770" t="s">
        <v>17</v>
      </c>
      <c r="S7" s="771">
        <f t="shared" ref="S7:S15" si="0">F7</f>
        <v>0</v>
      </c>
      <c r="T7" s="770" t="s">
        <v>17</v>
      </c>
      <c r="U7" s="771">
        <f t="shared" ref="U7:U15" si="1">H7</f>
        <v>0</v>
      </c>
      <c r="V7" s="770" t="s">
        <v>17</v>
      </c>
      <c r="W7" s="771">
        <f t="shared" ref="W7:W15" si="2">J7</f>
        <v>0</v>
      </c>
      <c r="X7" s="772"/>
      <c r="Y7" s="3257" t="s">
        <v>2546</v>
      </c>
      <c r="Z7" s="3258"/>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57" t="s">
        <v>2549</v>
      </c>
      <c r="Q8" s="3258"/>
      <c r="R8" s="770" t="s">
        <v>17</v>
      </c>
      <c r="S8" s="771">
        <f t="shared" si="0"/>
        <v>0</v>
      </c>
      <c r="T8" s="770" t="s">
        <v>17</v>
      </c>
      <c r="U8" s="771">
        <f t="shared" si="1"/>
        <v>0</v>
      </c>
      <c r="V8" s="770" t="s">
        <v>17</v>
      </c>
      <c r="W8" s="771">
        <f t="shared" si="2"/>
        <v>0</v>
      </c>
      <c r="X8" s="772"/>
      <c r="Y8" s="3257" t="s">
        <v>2549</v>
      </c>
      <c r="Z8" s="3258"/>
      <c r="AA8" s="773" t="e">
        <f t="shared" ref="AA8:AA45" si="3">D8/F8</f>
        <v>#DIV/0!</v>
      </c>
      <c r="AB8" s="773" t="e">
        <f t="shared" ref="AB8:AB45" si="4">D8/H8</f>
        <v>#DIV/0!</v>
      </c>
      <c r="AC8" s="773" t="e">
        <f t="shared" ref="AC8:AC45" si="5">D8/J8</f>
        <v>#DIV/0!</v>
      </c>
    </row>
    <row r="9" spans="1:30" s="117" customFormat="1">
      <c r="A9" s="415" t="s">
        <v>2550</v>
      </c>
      <c r="B9" s="71" t="s">
        <v>2551</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89" t="s">
        <v>2552</v>
      </c>
      <c r="Q9" s="1798" t="str">
        <f t="shared" ref="Q9:Q15" si="6">B9</f>
        <v>用途</v>
      </c>
      <c r="R9" s="770" t="s">
        <v>17</v>
      </c>
      <c r="S9" s="771">
        <f t="shared" si="0"/>
        <v>100</v>
      </c>
      <c r="T9" s="770" t="s">
        <v>17</v>
      </c>
      <c r="U9" s="771">
        <f t="shared" si="1"/>
        <v>100</v>
      </c>
      <c r="V9" s="770" t="s">
        <v>17</v>
      </c>
      <c r="W9" s="771">
        <f t="shared" si="2"/>
        <v>100</v>
      </c>
      <c r="X9" s="772"/>
      <c r="Y9" s="3084"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89"/>
      <c r="Q10" s="1798" t="str">
        <f t="shared" si="6"/>
        <v>土地使用年限（年）</v>
      </c>
      <c r="R10" s="770" t="s">
        <v>17</v>
      </c>
      <c r="S10" s="771">
        <f t="shared" si="0"/>
        <v>104</v>
      </c>
      <c r="T10" s="770" t="s">
        <v>17</v>
      </c>
      <c r="U10" s="771">
        <f t="shared" si="1"/>
        <v>104</v>
      </c>
      <c r="V10" s="770" t="s">
        <v>17</v>
      </c>
      <c r="W10" s="771">
        <f t="shared" si="2"/>
        <v>104</v>
      </c>
      <c r="X10" s="772"/>
      <c r="Y10" s="3084"/>
      <c r="Z10" s="55" t="str">
        <f t="shared" si="7"/>
        <v>土地使用年限（年）</v>
      </c>
      <c r="AA10" s="773">
        <f t="shared" si="3"/>
        <v>0.96153846153846156</v>
      </c>
      <c r="AB10" s="773">
        <f t="shared" si="4"/>
        <v>0.96153846153846156</v>
      </c>
      <c r="AC10" s="773">
        <f t="shared" si="5"/>
        <v>0.96153846153846156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89"/>
      <c r="Q11" s="1798"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30" s="117" customFormat="1" ht="15">
      <c r="A12" s="431"/>
      <c r="B12" s="2603"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89"/>
      <c r="Q12" s="1798" t="str">
        <f t="shared" si="6"/>
        <v>配建</v>
      </c>
      <c r="R12" s="770" t="s">
        <v>17</v>
      </c>
      <c r="S12" s="771">
        <f t="shared" si="0"/>
        <v>100</v>
      </c>
      <c r="T12" s="770" t="s">
        <v>17</v>
      </c>
      <c r="U12" s="771">
        <f t="shared" si="1"/>
        <v>100</v>
      </c>
      <c r="V12" s="770" t="s">
        <v>17</v>
      </c>
      <c r="W12" s="771">
        <f t="shared" si="2"/>
        <v>100</v>
      </c>
      <c r="X12" s="772"/>
      <c r="Y12" s="3084"/>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89"/>
      <c r="Q13" s="1798">
        <f t="shared" si="6"/>
        <v>111</v>
      </c>
      <c r="R13" s="770" t="s">
        <v>17</v>
      </c>
      <c r="S13" s="771">
        <f t="shared" si="0"/>
        <v>100</v>
      </c>
      <c r="T13" s="770" t="s">
        <v>17</v>
      </c>
      <c r="U13" s="771">
        <f t="shared" si="1"/>
        <v>100</v>
      </c>
      <c r="V13" s="770" t="s">
        <v>17</v>
      </c>
      <c r="W13" s="771">
        <f t="shared" si="2"/>
        <v>100</v>
      </c>
      <c r="X13" s="772"/>
      <c r="Y13" s="3084"/>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89"/>
      <c r="Q14" s="1798">
        <f t="shared" si="6"/>
        <v>111</v>
      </c>
      <c r="R14" s="770" t="s">
        <v>17</v>
      </c>
      <c r="S14" s="771">
        <f t="shared" si="0"/>
        <v>100</v>
      </c>
      <c r="T14" s="770" t="s">
        <v>17</v>
      </c>
      <c r="U14" s="771">
        <f t="shared" si="1"/>
        <v>100</v>
      </c>
      <c r="V14" s="770" t="s">
        <v>17</v>
      </c>
      <c r="W14" s="771">
        <f t="shared" si="2"/>
        <v>100</v>
      </c>
      <c r="X14" s="772"/>
      <c r="Y14" s="3084"/>
      <c r="Z14" s="55">
        <f t="shared" si="7"/>
        <v>111</v>
      </c>
      <c r="AA14" s="773">
        <f>D14/F14</f>
        <v>1</v>
      </c>
      <c r="AB14" s="773">
        <f>D14/H14</f>
        <v>1</v>
      </c>
      <c r="AC14" s="773">
        <f>D14/J14</f>
        <v>1</v>
      </c>
    </row>
    <row r="15" spans="1:30" ht="99.75">
      <c r="A15" s="440" t="s">
        <v>2556</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91" t="s">
        <v>2557</v>
      </c>
      <c r="Q15" s="1813" t="str">
        <f t="shared" si="6"/>
        <v>居住社区成熟度</v>
      </c>
      <c r="R15" s="774" t="s">
        <v>17</v>
      </c>
      <c r="S15" s="775">
        <f t="shared" si="0"/>
        <v>100</v>
      </c>
      <c r="T15" s="774" t="s">
        <v>17</v>
      </c>
      <c r="U15" s="775">
        <f t="shared" si="1"/>
        <v>100</v>
      </c>
      <c r="V15" s="774" t="s">
        <v>17</v>
      </c>
      <c r="W15" s="775">
        <f t="shared" si="2"/>
        <v>100</v>
      </c>
      <c r="X15" s="1816"/>
      <c r="Y15" s="3291" t="s">
        <v>2557</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92"/>
      <c r="Q16" s="1813"/>
      <c r="R16" s="774"/>
      <c r="S16" s="775"/>
      <c r="T16" s="774"/>
      <c r="U16" s="775"/>
      <c r="V16" s="774"/>
      <c r="W16" s="775"/>
      <c r="X16" s="1816"/>
      <c r="Y16" s="3292"/>
      <c r="Z16" s="1817"/>
      <c r="AA16" s="1814">
        <v>1</v>
      </c>
      <c r="AB16" s="1814">
        <v>1</v>
      </c>
      <c r="AC16" s="1814">
        <v>1</v>
      </c>
    </row>
    <row r="17" spans="1:29" ht="71.25">
      <c r="A17" s="428"/>
      <c r="B17" s="451" t="s">
        <v>2650</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92"/>
      <c r="Q17" s="1813" t="str">
        <f>B17</f>
        <v>商业繁华度</v>
      </c>
      <c r="R17" s="774" t="s">
        <v>17</v>
      </c>
      <c r="S17" s="775">
        <f>F17</f>
        <v>100</v>
      </c>
      <c r="T17" s="774" t="s">
        <v>17</v>
      </c>
      <c r="U17" s="775">
        <f>H17</f>
        <v>100</v>
      </c>
      <c r="V17" s="774" t="s">
        <v>17</v>
      </c>
      <c r="W17" s="775">
        <f>J17</f>
        <v>100</v>
      </c>
      <c r="X17" s="1816"/>
      <c r="Y17" s="3292"/>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92"/>
      <c r="Q18" s="1813"/>
      <c r="R18" s="774"/>
      <c r="S18" s="775"/>
      <c r="T18" s="774"/>
      <c r="U18" s="775"/>
      <c r="V18" s="774"/>
      <c r="W18" s="775"/>
      <c r="X18" s="1816"/>
      <c r="Y18" s="3292"/>
      <c r="Z18" s="1817"/>
      <c r="AA18" s="1814">
        <v>1</v>
      </c>
      <c r="AB18" s="1814">
        <v>1</v>
      </c>
      <c r="AC18" s="1814">
        <v>1</v>
      </c>
    </row>
    <row r="19" spans="1:29" ht="71.25">
      <c r="A19" s="428"/>
      <c r="B19" s="451" t="s">
        <v>2684</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92"/>
      <c r="Q19" s="1813" t="str">
        <f>B19</f>
        <v>办公集聚程度</v>
      </c>
      <c r="R19" s="774" t="s">
        <v>17</v>
      </c>
      <c r="S19" s="775">
        <f>F19</f>
        <v>100</v>
      </c>
      <c r="T19" s="774" t="s">
        <v>17</v>
      </c>
      <c r="U19" s="775">
        <f>H19</f>
        <v>100</v>
      </c>
      <c r="V19" s="774" t="s">
        <v>17</v>
      </c>
      <c r="W19" s="775">
        <f>J19</f>
        <v>100</v>
      </c>
      <c r="X19" s="1816"/>
      <c r="Y19" s="3292"/>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92"/>
      <c r="Q20" s="1813"/>
      <c r="R20" s="774"/>
      <c r="S20" s="775"/>
      <c r="T20" s="774"/>
      <c r="U20" s="775"/>
      <c r="V20" s="774"/>
      <c r="W20" s="775"/>
      <c r="X20" s="1816"/>
      <c r="Y20" s="3292"/>
      <c r="Z20" s="1817"/>
      <c r="AA20" s="1814">
        <v>1</v>
      </c>
      <c r="AB20" s="1814">
        <v>1</v>
      </c>
      <c r="AC20" s="1814">
        <v>1</v>
      </c>
    </row>
    <row r="21" spans="1:29" ht="85.5">
      <c r="A21" s="428"/>
      <c r="B21" s="451" t="s">
        <v>2706</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92"/>
      <c r="Q21" s="1813" t="str">
        <f>B21</f>
        <v>交通便捷度</v>
      </c>
      <c r="R21" s="774" t="s">
        <v>17</v>
      </c>
      <c r="S21" s="775">
        <f>F21</f>
        <v>100</v>
      </c>
      <c r="T21" s="774" t="s">
        <v>17</v>
      </c>
      <c r="U21" s="775">
        <f>H21</f>
        <v>100</v>
      </c>
      <c r="V21" s="774" t="s">
        <v>17</v>
      </c>
      <c r="W21" s="775">
        <f>J21</f>
        <v>100</v>
      </c>
      <c r="X21" s="1816"/>
      <c r="Y21" s="3292"/>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92"/>
      <c r="Q22" s="1813"/>
      <c r="R22" s="774"/>
      <c r="S22" s="775"/>
      <c r="T22" s="774"/>
      <c r="U22" s="775"/>
      <c r="V22" s="774"/>
      <c r="W22" s="775"/>
      <c r="X22" s="1816"/>
      <c r="Y22" s="3292"/>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92"/>
      <c r="Q23" s="1813" t="str">
        <f t="shared" ref="Q23:Q37" si="8">B23</f>
        <v>区域土地利用方向</v>
      </c>
      <c r="R23" s="774" t="s">
        <v>17</v>
      </c>
      <c r="S23" s="775">
        <f>F23</f>
        <v>100</v>
      </c>
      <c r="T23" s="774" t="s">
        <v>17</v>
      </c>
      <c r="U23" s="775">
        <f>H23</f>
        <v>100</v>
      </c>
      <c r="V23" s="774" t="s">
        <v>17</v>
      </c>
      <c r="W23" s="775">
        <f>J23</f>
        <v>100</v>
      </c>
      <c r="X23" s="1816"/>
      <c r="Y23" s="3292"/>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92"/>
      <c r="Q24" s="1813"/>
      <c r="R24" s="774"/>
      <c r="S24" s="775"/>
      <c r="T24" s="774"/>
      <c r="U24" s="775"/>
      <c r="V24" s="774"/>
      <c r="W24" s="775"/>
      <c r="X24" s="1816"/>
      <c r="Y24" s="3292"/>
      <c r="Z24" s="1817"/>
      <c r="AA24" s="1814"/>
      <c r="AB24" s="1814"/>
      <c r="AC24" s="1814"/>
    </row>
    <row r="25" spans="1:29" ht="57">
      <c r="A25" s="404"/>
      <c r="B25" s="1387" t="s">
        <v>2746</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92"/>
      <c r="Q25" s="1813" t="str">
        <f t="shared" si="8"/>
        <v>自然及人文环境状况</v>
      </c>
      <c r="R25" s="774" t="s">
        <v>17</v>
      </c>
      <c r="S25" s="775">
        <f>F25</f>
        <v>100</v>
      </c>
      <c r="T25" s="774" t="s">
        <v>17</v>
      </c>
      <c r="U25" s="775">
        <f>H25</f>
        <v>100</v>
      </c>
      <c r="V25" s="774" t="s">
        <v>17</v>
      </c>
      <c r="W25" s="775">
        <f>J25</f>
        <v>100</v>
      </c>
      <c r="X25" s="1816"/>
      <c r="Y25" s="3292"/>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92"/>
      <c r="Q26" s="1813"/>
      <c r="R26" s="774"/>
      <c r="S26" s="775"/>
      <c r="T26" s="774"/>
      <c r="U26" s="775"/>
      <c r="V26" s="774"/>
      <c r="W26" s="775"/>
      <c r="X26" s="1816"/>
      <c r="Y26" s="3292"/>
      <c r="Z26" s="1817"/>
      <c r="AA26" s="1814">
        <v>1</v>
      </c>
      <c r="AB26" s="1814">
        <v>1</v>
      </c>
      <c r="AC26" s="1814">
        <v>1</v>
      </c>
    </row>
    <row r="27" spans="1:29" s="117" customFormat="1" ht="42.75">
      <c r="A27" s="649"/>
      <c r="B27" s="1387" t="s">
        <v>2651</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92"/>
      <c r="Q27" s="1798" t="str">
        <f t="shared" si="8"/>
        <v>公共配套设施</v>
      </c>
      <c r="R27" s="770" t="s">
        <v>17</v>
      </c>
      <c r="S27" s="771">
        <f>F27</f>
        <v>100</v>
      </c>
      <c r="T27" s="770" t="s">
        <v>17</v>
      </c>
      <c r="U27" s="771">
        <f>H27</f>
        <v>100</v>
      </c>
      <c r="V27" s="770" t="s">
        <v>17</v>
      </c>
      <c r="W27" s="771">
        <f>J27</f>
        <v>100</v>
      </c>
      <c r="X27" s="772"/>
      <c r="Y27" s="3292"/>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92"/>
      <c r="Q28" s="1798"/>
      <c r="R28" s="770"/>
      <c r="S28" s="771"/>
      <c r="T28" s="770"/>
      <c r="U28" s="771"/>
      <c r="V28" s="770"/>
      <c r="W28" s="771"/>
      <c r="X28" s="772"/>
      <c r="Y28" s="3292"/>
      <c r="Z28" s="55"/>
      <c r="AA28" s="1814">
        <v>1</v>
      </c>
      <c r="AB28" s="1814">
        <v>1</v>
      </c>
      <c r="AC28" s="1814">
        <v>1</v>
      </c>
    </row>
    <row r="29" spans="1:29" s="117" customFormat="1" ht="28.5">
      <c r="A29" s="649"/>
      <c r="B29" s="1387" t="s">
        <v>2652</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92"/>
      <c r="Q29" s="1798" t="str">
        <f t="shared" ref="Q29" si="9">B29</f>
        <v>基础设施水平</v>
      </c>
      <c r="R29" s="770" t="s">
        <v>17</v>
      </c>
      <c r="S29" s="771">
        <f>F29</f>
        <v>100</v>
      </c>
      <c r="T29" s="770" t="s">
        <v>17</v>
      </c>
      <c r="U29" s="771">
        <f>H29</f>
        <v>100</v>
      </c>
      <c r="V29" s="770" t="s">
        <v>17</v>
      </c>
      <c r="W29" s="771">
        <f>J29</f>
        <v>100</v>
      </c>
      <c r="X29" s="772"/>
      <c r="Y29" s="3292"/>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92"/>
      <c r="Q30" s="1798"/>
      <c r="R30" s="770"/>
      <c r="S30" s="771"/>
      <c r="T30" s="770"/>
      <c r="U30" s="771"/>
      <c r="V30" s="770"/>
      <c r="W30" s="771"/>
      <c r="X30" s="772"/>
      <c r="Y30" s="3292"/>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9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92"/>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92"/>
      <c r="Q32" s="1813" t="str">
        <f t="shared" si="8"/>
        <v>毗邻道路的类型与等级</v>
      </c>
      <c r="R32" s="774" t="s">
        <v>17</v>
      </c>
      <c r="S32" s="775">
        <f t="shared" si="10"/>
        <v>100</v>
      </c>
      <c r="T32" s="774" t="s">
        <v>17</v>
      </c>
      <c r="U32" s="775">
        <f t="shared" si="11"/>
        <v>100</v>
      </c>
      <c r="V32" s="774" t="s">
        <v>17</v>
      </c>
      <c r="W32" s="775">
        <f t="shared" si="12"/>
        <v>100</v>
      </c>
      <c r="X32" s="1816"/>
      <c r="Y32" s="3292"/>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92"/>
      <c r="Q33" s="1813"/>
      <c r="R33" s="774"/>
      <c r="S33" s="775"/>
      <c r="T33" s="774"/>
      <c r="U33" s="775"/>
      <c r="V33" s="774"/>
      <c r="W33" s="775"/>
      <c r="X33" s="1816"/>
      <c r="Y33" s="3292"/>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92"/>
      <c r="Q34" s="1813" t="str">
        <f t="shared" si="8"/>
        <v>土地级别</v>
      </c>
      <c r="R34" s="774" t="s">
        <v>17</v>
      </c>
      <c r="S34" s="775">
        <f t="shared" si="10"/>
        <v>100</v>
      </c>
      <c r="T34" s="774" t="s">
        <v>17</v>
      </c>
      <c r="U34" s="775">
        <f t="shared" si="11"/>
        <v>100</v>
      </c>
      <c r="V34" s="774" t="s">
        <v>17</v>
      </c>
      <c r="W34" s="775">
        <f t="shared" si="12"/>
        <v>100</v>
      </c>
      <c r="X34" s="1816"/>
      <c r="Y34" s="329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92"/>
      <c r="Q35" s="1813">
        <f t="shared" si="8"/>
        <v>111</v>
      </c>
      <c r="R35" s="774" t="s">
        <v>17</v>
      </c>
      <c r="S35" s="775">
        <f t="shared" si="10"/>
        <v>100</v>
      </c>
      <c r="T35" s="774" t="s">
        <v>17</v>
      </c>
      <c r="U35" s="775">
        <f t="shared" si="11"/>
        <v>100</v>
      </c>
      <c r="V35" s="774" t="s">
        <v>17</v>
      </c>
      <c r="W35" s="775">
        <f t="shared" si="12"/>
        <v>100</v>
      </c>
      <c r="X35" s="1816"/>
      <c r="Y35" s="329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15" t="s">
        <v>2562</v>
      </c>
      <c r="Q36" s="1813">
        <f t="shared" si="8"/>
        <v>111</v>
      </c>
      <c r="R36" s="774" t="s">
        <v>17</v>
      </c>
      <c r="S36" s="775">
        <f t="shared" si="10"/>
        <v>100</v>
      </c>
      <c r="T36" s="774" t="s">
        <v>17</v>
      </c>
      <c r="U36" s="775">
        <f t="shared" si="11"/>
        <v>100</v>
      </c>
      <c r="V36" s="774" t="s">
        <v>17</v>
      </c>
      <c r="W36" s="775">
        <f t="shared" si="12"/>
        <v>100</v>
      </c>
      <c r="X36" s="1816"/>
      <c r="Y36" s="3296"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96"/>
      <c r="Q37" s="1813">
        <f t="shared" si="8"/>
        <v>111</v>
      </c>
      <c r="R37" s="777" t="s">
        <v>17</v>
      </c>
      <c r="S37" s="778">
        <f t="shared" si="10"/>
        <v>100</v>
      </c>
      <c r="T37" s="777" t="s">
        <v>17</v>
      </c>
      <c r="U37" s="778">
        <f t="shared" si="11"/>
        <v>100</v>
      </c>
      <c r="V37" s="777" t="s">
        <v>17</v>
      </c>
      <c r="W37" s="778">
        <f t="shared" si="12"/>
        <v>100</v>
      </c>
      <c r="X37" s="779"/>
      <c r="Y37" s="3296"/>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96"/>
      <c r="Q38" s="1813" t="str">
        <f>B38</f>
        <v>宗地面积</v>
      </c>
      <c r="R38" s="774" t="s">
        <v>17</v>
      </c>
      <c r="S38" s="775" t="e">
        <f t="shared" si="10"/>
        <v>#N/A</v>
      </c>
      <c r="T38" s="774" t="s">
        <v>17</v>
      </c>
      <c r="U38" s="775" t="e">
        <f t="shared" si="11"/>
        <v>#N/A</v>
      </c>
      <c r="V38" s="774" t="s">
        <v>17</v>
      </c>
      <c r="W38" s="775" t="e">
        <f t="shared" si="12"/>
        <v>#N/A</v>
      </c>
      <c r="X38" s="1816"/>
      <c r="Y38" s="3296"/>
      <c r="Z38" s="1817" t="str">
        <f t="shared" si="13"/>
        <v>宗地面积</v>
      </c>
      <c r="AA38" s="1814" t="e">
        <f t="shared" si="3"/>
        <v>#N/A</v>
      </c>
      <c r="AB38" s="1814" t="e">
        <f t="shared" si="4"/>
        <v>#N/A</v>
      </c>
      <c r="AC38" s="1814" t="e">
        <f t="shared" si="5"/>
        <v>#N/A</v>
      </c>
    </row>
    <row r="39" spans="1:29" ht="15">
      <c r="A39" s="472"/>
      <c r="B39" s="422" t="s">
        <v>2749</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96"/>
      <c r="Q39" s="1813" t="str">
        <f t="shared" ref="Q39:Q45" si="14">B39</f>
        <v>宗地形状</v>
      </c>
      <c r="R39" s="774" t="s">
        <v>17</v>
      </c>
      <c r="S39" s="775">
        <f t="shared" si="10"/>
        <v>100</v>
      </c>
      <c r="T39" s="774" t="s">
        <v>17</v>
      </c>
      <c r="U39" s="775">
        <f t="shared" si="11"/>
        <v>100</v>
      </c>
      <c r="V39" s="774" t="s">
        <v>17</v>
      </c>
      <c r="W39" s="775">
        <f t="shared" si="12"/>
        <v>100</v>
      </c>
      <c r="X39" s="1816"/>
      <c r="Y39" s="3296"/>
      <c r="Z39" s="1817" t="str">
        <f t="shared" si="13"/>
        <v>宗地形状</v>
      </c>
      <c r="AA39" s="1814">
        <f t="shared" si="3"/>
        <v>1</v>
      </c>
      <c r="AB39" s="1814">
        <f t="shared" si="4"/>
        <v>1</v>
      </c>
      <c r="AC39" s="1814">
        <f t="shared" si="5"/>
        <v>1</v>
      </c>
    </row>
    <row r="40" spans="1:29" ht="15">
      <c r="A40" s="472"/>
      <c r="B40" s="422" t="s">
        <v>2750</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96"/>
      <c r="Q40" s="1813" t="str">
        <f t="shared" si="14"/>
        <v>临街宽度及深度</v>
      </c>
      <c r="R40" s="774" t="s">
        <v>17</v>
      </c>
      <c r="S40" s="775">
        <f t="shared" si="10"/>
        <v>100</v>
      </c>
      <c r="T40" s="774" t="s">
        <v>17</v>
      </c>
      <c r="U40" s="775">
        <f t="shared" si="11"/>
        <v>100</v>
      </c>
      <c r="V40" s="774" t="s">
        <v>17</v>
      </c>
      <c r="W40" s="775">
        <f t="shared" si="12"/>
        <v>100</v>
      </c>
      <c r="X40" s="1816"/>
      <c r="Y40" s="3296"/>
      <c r="Z40" s="1817" t="str">
        <f t="shared" si="13"/>
        <v>临街宽度及深度</v>
      </c>
      <c r="AA40" s="1814">
        <f t="shared" si="3"/>
        <v>1</v>
      </c>
      <c r="AB40" s="1814">
        <f t="shared" si="4"/>
        <v>1</v>
      </c>
      <c r="AC40" s="1814">
        <f t="shared" si="5"/>
        <v>1</v>
      </c>
    </row>
    <row r="41" spans="1:29" s="117" customFormat="1" ht="15">
      <c r="A41" s="473"/>
      <c r="B41" s="422" t="s">
        <v>2751</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96"/>
      <c r="Q41" s="1813" t="str">
        <f t="shared" si="14"/>
        <v>宗地开发程度</v>
      </c>
      <c r="R41" s="770" t="s">
        <v>17</v>
      </c>
      <c r="S41" s="771">
        <f t="shared" si="10"/>
        <v>100</v>
      </c>
      <c r="T41" s="770" t="s">
        <v>17</v>
      </c>
      <c r="U41" s="771">
        <f t="shared" si="11"/>
        <v>100</v>
      </c>
      <c r="V41" s="770" t="s">
        <v>17</v>
      </c>
      <c r="W41" s="771">
        <f t="shared" si="12"/>
        <v>100</v>
      </c>
      <c r="X41" s="772"/>
      <c r="Y41" s="3296"/>
      <c r="Z41" s="55" t="str">
        <f t="shared" si="13"/>
        <v>宗地开发程度</v>
      </c>
      <c r="AA41" s="773">
        <f t="shared" si="3"/>
        <v>1</v>
      </c>
      <c r="AB41" s="773">
        <f t="shared" si="4"/>
        <v>1</v>
      </c>
      <c r="AC41" s="773">
        <f t="shared" si="5"/>
        <v>1</v>
      </c>
    </row>
    <row r="42" spans="1:29" ht="15">
      <c r="A42" s="472"/>
      <c r="B42" s="422" t="s">
        <v>2752</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96" t="s">
        <v>2562</v>
      </c>
      <c r="Q42" s="1813" t="str">
        <f t="shared" si="14"/>
        <v>工程地质条件</v>
      </c>
      <c r="R42" s="774" t="s">
        <v>17</v>
      </c>
      <c r="S42" s="775">
        <f t="shared" si="10"/>
        <v>100</v>
      </c>
      <c r="T42" s="774" t="s">
        <v>17</v>
      </c>
      <c r="U42" s="775">
        <f t="shared" si="11"/>
        <v>100</v>
      </c>
      <c r="V42" s="774" t="s">
        <v>17</v>
      </c>
      <c r="W42" s="775">
        <f t="shared" si="12"/>
        <v>100</v>
      </c>
      <c r="X42" s="1816"/>
      <c r="Y42" s="3296"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96"/>
      <c r="Q43" s="1813">
        <f t="shared" si="14"/>
        <v>111</v>
      </c>
      <c r="R43" s="774" t="s">
        <v>17</v>
      </c>
      <c r="S43" s="775">
        <f t="shared" si="10"/>
        <v>100</v>
      </c>
      <c r="T43" s="774" t="s">
        <v>17</v>
      </c>
      <c r="U43" s="775">
        <f t="shared" si="11"/>
        <v>100</v>
      </c>
      <c r="V43" s="774" t="s">
        <v>17</v>
      </c>
      <c r="W43" s="775">
        <f t="shared" si="12"/>
        <v>100</v>
      </c>
      <c r="X43" s="1816"/>
      <c r="Y43" s="329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96"/>
      <c r="Q44" s="1813">
        <f t="shared" si="14"/>
        <v>111</v>
      </c>
      <c r="R44" s="774" t="s">
        <v>17</v>
      </c>
      <c r="S44" s="775">
        <f t="shared" si="10"/>
        <v>100</v>
      </c>
      <c r="T44" s="774" t="s">
        <v>17</v>
      </c>
      <c r="U44" s="775">
        <f t="shared" si="11"/>
        <v>100</v>
      </c>
      <c r="V44" s="774" t="s">
        <v>17</v>
      </c>
      <c r="W44" s="775">
        <f t="shared" si="12"/>
        <v>100</v>
      </c>
      <c r="X44" s="1816"/>
      <c r="Y44" s="3296"/>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96"/>
      <c r="Q45" s="1813">
        <f t="shared" si="14"/>
        <v>111</v>
      </c>
      <c r="R45" s="777" t="s">
        <v>17</v>
      </c>
      <c r="S45" s="778">
        <f t="shared" si="10"/>
        <v>100</v>
      </c>
      <c r="T45" s="777" t="s">
        <v>17</v>
      </c>
      <c r="U45" s="778">
        <f t="shared" si="11"/>
        <v>100</v>
      </c>
      <c r="V45" s="777" t="s">
        <v>17</v>
      </c>
      <c r="W45" s="778">
        <f t="shared" si="12"/>
        <v>100</v>
      </c>
      <c r="X45" s="779"/>
      <c r="Y45" s="3296"/>
      <c r="Z45" s="780">
        <f t="shared" si="13"/>
        <v>111</v>
      </c>
      <c r="AA45" s="1814">
        <f t="shared" si="3"/>
        <v>1</v>
      </c>
      <c r="AB45" s="1814">
        <f t="shared" si="4"/>
        <v>1</v>
      </c>
      <c r="AC45" s="1814">
        <f t="shared" si="5"/>
        <v>1</v>
      </c>
    </row>
    <row r="46" spans="1:29" ht="15">
      <c r="A46" s="479" t="s">
        <v>2717</v>
      </c>
      <c r="B46" s="2707" t="s">
        <v>2753</v>
      </c>
      <c r="C46" s="682" t="s">
        <v>1</v>
      </c>
      <c r="D46" s="481"/>
      <c r="E46" s="482"/>
      <c r="F46" s="483"/>
      <c r="G46" s="484"/>
      <c r="H46" s="485"/>
      <c r="I46" s="482"/>
      <c r="J46" s="485"/>
      <c r="K46" s="783"/>
      <c r="L46" s="1146"/>
      <c r="M46" s="1147"/>
      <c r="N46" s="1134"/>
      <c r="O46" s="1147"/>
      <c r="P46" s="3289" t="str">
        <f>A46</f>
        <v>成交单价</v>
      </c>
      <c r="Q46" s="3289"/>
      <c r="R46" s="3284">
        <f>E46</f>
        <v>0</v>
      </c>
      <c r="S46" s="3284"/>
      <c r="T46" s="3284">
        <f>G46</f>
        <v>0</v>
      </c>
      <c r="U46" s="3284"/>
      <c r="V46" s="3284">
        <f>I46</f>
        <v>0</v>
      </c>
      <c r="W46" s="3284"/>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89" t="str">
        <f>A47</f>
        <v>比较价值（元/平方米）</v>
      </c>
      <c r="Q47" s="3289"/>
      <c r="R47" s="3316" t="e">
        <f>ROUND(PRODUCT(R46,AA7:AA45),0)</f>
        <v>#DIV/0!</v>
      </c>
      <c r="S47" s="3316"/>
      <c r="T47" s="3316" t="e">
        <f>ROUND(PRODUCT(T46,AB7:AB45),0)</f>
        <v>#DIV/0!</v>
      </c>
      <c r="U47" s="3316"/>
      <c r="V47" s="3316" t="e">
        <f>ROUND(PRODUCT(V46,AC7:AC45),0)</f>
        <v>#DIV/0!</v>
      </c>
      <c r="W47" s="3316"/>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86" t="str">
        <f>A48</f>
        <v>估价对象XX用房的比较价值（楼面单价，元/平方米）</v>
      </c>
      <c r="Q48" s="3287"/>
      <c r="R48" s="3317" t="e">
        <f>ROUND(AVERAGE(R47:V47),0)</f>
        <v>#DIV/0!</v>
      </c>
      <c r="S48" s="3317"/>
      <c r="T48" s="3317"/>
      <c r="U48" s="3317"/>
      <c r="V48" s="3317"/>
      <c r="W48" s="331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8" t="s">
        <v>2757</v>
      </c>
      <c r="D55" s="2709" t="s">
        <v>2758</v>
      </c>
      <c r="E55" s="686" t="s">
        <v>2759</v>
      </c>
      <c r="F55" s="1110" t="s">
        <v>2760</v>
      </c>
      <c r="G55" s="3272" t="s">
        <v>2761</v>
      </c>
      <c r="H55" s="3318"/>
      <c r="I55" s="144" t="s">
        <v>2762</v>
      </c>
      <c r="J55" s="2710">
        <f>项目基本情况!F35</f>
        <v>0</v>
      </c>
      <c r="K55" s="2711" t="s">
        <v>2763</v>
      </c>
      <c r="L55" s="1109"/>
      <c r="M55" s="1147"/>
      <c r="N55" s="1147"/>
      <c r="O55" s="1147"/>
    </row>
    <row r="56" spans="1:15" s="692" customFormat="1">
      <c r="A56" s="688" t="s">
        <v>2764</v>
      </c>
      <c r="B56" s="689" t="e">
        <f>C48</f>
        <v>#DIV/0!</v>
      </c>
      <c r="C56" s="690">
        <v>1</v>
      </c>
      <c r="D56" s="1166">
        <v>1</v>
      </c>
      <c r="E56" s="690">
        <f>'数据-汇总表'!E8+'数据-汇总表'!E9</f>
        <v>17809.45</v>
      </c>
      <c r="F56" s="1106" t="e">
        <f t="shared" ref="F56:F65" si="15">ROUND(B56*E56/10000,0)</f>
        <v>#DIV/0!</v>
      </c>
      <c r="G56" s="3271"/>
      <c r="H56" s="3289"/>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319"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319"/>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319"/>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319"/>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2"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2"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3"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17809.45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4" t="s">
        <v>2779</v>
      </c>
      <c r="B70" s="1362"/>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7"/>
    </row>
    <row r="71" spans="1:17" s="117" customFormat="1" ht="30" customHeight="1">
      <c r="A71" s="2715" t="s">
        <v>2780</v>
      </c>
      <c r="B71" s="332" t="str">
        <f>"北京市平均增长率"&amp;TEXT(SUMIF(基准地价修正!N21:N25,A71,基准地价修正!P21:P25),"0.00%")</f>
        <v>北京市平均增长率2.71%</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72" t="s">
        <v>2643</v>
      </c>
      <c r="D4" s="3273"/>
      <c r="E4" s="3274" t="s">
        <v>2644</v>
      </c>
      <c r="F4" s="3275"/>
      <c r="G4" s="3272" t="s">
        <v>2645</v>
      </c>
      <c r="H4" s="3273"/>
      <c r="I4" s="3272" t="s">
        <v>2646</v>
      </c>
      <c r="J4" s="3273"/>
      <c r="K4" s="610" t="s">
        <v>2647</v>
      </c>
      <c r="L4" s="1133"/>
      <c r="M4" s="1134"/>
      <c r="N4" s="1134"/>
      <c r="O4" s="1134"/>
      <c r="P4" s="3276" t="s">
        <v>2648</v>
      </c>
      <c r="Q4" s="3277"/>
      <c r="R4" s="3259" t="s">
        <v>2644</v>
      </c>
      <c r="S4" s="3260"/>
      <c r="T4" s="3259" t="s">
        <v>2645</v>
      </c>
      <c r="U4" s="3260"/>
      <c r="V4" s="3284" t="s">
        <v>2646</v>
      </c>
      <c r="W4" s="3284"/>
      <c r="X4" s="1816"/>
      <c r="Y4" s="3259" t="s">
        <v>2648</v>
      </c>
      <c r="Z4" s="3260"/>
      <c r="AA4" s="3254" t="s">
        <v>2644</v>
      </c>
      <c r="AB4" s="3255" t="s">
        <v>2645</v>
      </c>
      <c r="AC4" s="3254" t="s">
        <v>2646</v>
      </c>
    </row>
    <row r="5" spans="1:29" ht="15">
      <c r="A5" s="404"/>
      <c r="B5" s="405"/>
      <c r="C5" s="3265" t="s">
        <v>2539</v>
      </c>
      <c r="D5" s="3266"/>
      <c r="E5" s="3263" t="s">
        <v>2540</v>
      </c>
      <c r="F5" s="3264"/>
      <c r="G5" s="3265" t="s">
        <v>2541</v>
      </c>
      <c r="H5" s="3266"/>
      <c r="I5" s="3265" t="s">
        <v>2542</v>
      </c>
      <c r="J5" s="3266"/>
      <c r="K5" s="610"/>
      <c r="L5" s="1133"/>
      <c r="M5" s="1134"/>
      <c r="N5" s="1134"/>
      <c r="O5" s="1134"/>
      <c r="P5" s="3278"/>
      <c r="Q5" s="3279"/>
      <c r="R5" s="3261"/>
      <c r="S5" s="3262"/>
      <c r="T5" s="3261"/>
      <c r="U5" s="3262"/>
      <c r="V5" s="3284"/>
      <c r="W5" s="3284"/>
      <c r="X5" s="1816"/>
      <c r="Y5" s="3261"/>
      <c r="Z5" s="3262"/>
      <c r="AA5" s="3255"/>
      <c r="AB5" s="3255"/>
      <c r="AC5" s="3255"/>
    </row>
    <row r="6" spans="1:29" ht="15.75" thickBot="1">
      <c r="A6" s="406"/>
      <c r="B6" s="407"/>
      <c r="C6" s="3320" t="s">
        <v>2794</v>
      </c>
      <c r="D6" s="3321"/>
      <c r="E6" s="3322" t="s">
        <v>2794</v>
      </c>
      <c r="F6" s="3323"/>
      <c r="G6" s="3320" t="s">
        <v>2794</v>
      </c>
      <c r="H6" s="3321"/>
      <c r="I6" s="3320" t="s">
        <v>2794</v>
      </c>
      <c r="J6" s="3321"/>
      <c r="K6" s="610" t="s">
        <v>2544</v>
      </c>
      <c r="L6" s="1133"/>
      <c r="M6" s="1134"/>
      <c r="N6" s="1134"/>
      <c r="O6" s="1134"/>
      <c r="P6" s="3280"/>
      <c r="Q6" s="3281"/>
      <c r="R6" s="3261"/>
      <c r="S6" s="3262"/>
      <c r="T6" s="3282"/>
      <c r="U6" s="3283"/>
      <c r="V6" s="3284"/>
      <c r="W6" s="3284"/>
      <c r="X6" s="1816"/>
      <c r="Y6" s="3282"/>
      <c r="Z6" s="3283"/>
      <c r="AA6" s="3256"/>
      <c r="AB6" s="3256"/>
      <c r="AC6" s="3256"/>
    </row>
    <row r="7" spans="1:29" s="117" customFormat="1" ht="15.75" thickBot="1">
      <c r="A7" s="408" t="s">
        <v>2545</v>
      </c>
      <c r="B7" s="409"/>
      <c r="C7" s="410">
        <f>'数据-取费表'!B2</f>
        <v>43100</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57" t="s">
        <v>2546</v>
      </c>
      <c r="Q7" s="3285"/>
      <c r="R7" s="770" t="s">
        <v>17</v>
      </c>
      <c r="S7" s="771">
        <f t="shared" ref="S7:S15" si="0">F7</f>
        <v>0</v>
      </c>
      <c r="T7" s="770" t="s">
        <v>17</v>
      </c>
      <c r="U7" s="771">
        <f t="shared" ref="U7:U15" si="1">H7</f>
        <v>0</v>
      </c>
      <c r="V7" s="770" t="s">
        <v>17</v>
      </c>
      <c r="W7" s="771">
        <f t="shared" ref="W7:W15" si="2">J7</f>
        <v>0</v>
      </c>
      <c r="X7" s="772"/>
      <c r="Y7" s="3257" t="s">
        <v>2546</v>
      </c>
      <c r="Z7" s="3258"/>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7" t="s">
        <v>2549</v>
      </c>
      <c r="Q8" s="3258"/>
      <c r="R8" s="770" t="s">
        <v>17</v>
      </c>
      <c r="S8" s="771">
        <f t="shared" si="0"/>
        <v>0</v>
      </c>
      <c r="T8" s="770" t="s">
        <v>17</v>
      </c>
      <c r="U8" s="771">
        <f t="shared" si="1"/>
        <v>0</v>
      </c>
      <c r="V8" s="770" t="s">
        <v>17</v>
      </c>
      <c r="W8" s="771">
        <f t="shared" si="2"/>
        <v>0</v>
      </c>
      <c r="X8" s="772"/>
      <c r="Y8" s="3257" t="s">
        <v>2549</v>
      </c>
      <c r="Z8" s="3258"/>
      <c r="AA8" s="773" t="e">
        <f t="shared" ref="AA8:AA40" si="3">D8/F8</f>
        <v>#DIV/0!</v>
      </c>
      <c r="AB8" s="773" t="e">
        <f t="shared" ref="AB8:AB40" si="4">D8/H8</f>
        <v>#DIV/0!</v>
      </c>
      <c r="AC8" s="773" t="e">
        <f t="shared" ref="AC8:AC40" si="5">D8/J8</f>
        <v>#DIV/0!</v>
      </c>
    </row>
    <row r="9" spans="1:29" s="117" customFormat="1">
      <c r="A9" s="415" t="s">
        <v>2550</v>
      </c>
      <c r="B9" s="71" t="s">
        <v>2551</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89" t="s">
        <v>2552</v>
      </c>
      <c r="Q9" s="1798" t="str">
        <f t="shared" ref="Q9:Q15" si="6">B9</f>
        <v>用途</v>
      </c>
      <c r="R9" s="770" t="s">
        <v>17</v>
      </c>
      <c r="S9" s="771">
        <f t="shared" si="0"/>
        <v>100</v>
      </c>
      <c r="T9" s="770" t="s">
        <v>17</v>
      </c>
      <c r="U9" s="771">
        <f t="shared" si="1"/>
        <v>100</v>
      </c>
      <c r="V9" s="770" t="s">
        <v>17</v>
      </c>
      <c r="W9" s="771">
        <f t="shared" si="2"/>
        <v>100</v>
      </c>
      <c r="X9" s="772"/>
      <c r="Y9" s="3084"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89"/>
      <c r="Q10" s="1798" t="str">
        <f t="shared" si="6"/>
        <v>土地使用年限（年）</v>
      </c>
      <c r="R10" s="770" t="s">
        <v>17</v>
      </c>
      <c r="S10" s="771">
        <f t="shared" si="0"/>
        <v>104</v>
      </c>
      <c r="T10" s="770" t="s">
        <v>17</v>
      </c>
      <c r="U10" s="771">
        <f t="shared" si="1"/>
        <v>104</v>
      </c>
      <c r="V10" s="770" t="s">
        <v>17</v>
      </c>
      <c r="W10" s="771">
        <f t="shared" si="2"/>
        <v>104</v>
      </c>
      <c r="X10" s="772"/>
      <c r="Y10" s="3084"/>
      <c r="Z10" s="55" t="str">
        <f t="shared" si="7"/>
        <v>土地使用年限（年）</v>
      </c>
      <c r="AA10" s="773">
        <f t="shared" si="3"/>
        <v>0.96153846153846156</v>
      </c>
      <c r="AB10" s="773">
        <f t="shared" si="4"/>
        <v>0.96153846153846156</v>
      </c>
      <c r="AC10" s="773">
        <f t="shared" si="5"/>
        <v>0.96153846153846156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89"/>
      <c r="Q11" s="1798"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89"/>
      <c r="Q12" s="1798">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89"/>
      <c r="Q13" s="1798">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89"/>
      <c r="Q14" s="1798">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114">
      <c r="A15" s="440" t="s">
        <v>2556</v>
      </c>
      <c r="B15" s="629" t="s">
        <v>2795</v>
      </c>
      <c r="C15" s="2696" t="str">
        <f>估价对象房地状况!G15</f>
        <v>估价对象位于乐华仕健康产业园，园区建设成熟度较好，周边有中国电子产品科技园等项目，产业集聚程度较好。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91" t="s">
        <v>2557</v>
      </c>
      <c r="Q15" s="1813" t="str">
        <f t="shared" si="6"/>
        <v>产业集聚程度</v>
      </c>
      <c r="R15" s="774" t="s">
        <v>17</v>
      </c>
      <c r="S15" s="775">
        <f t="shared" si="0"/>
        <v>100</v>
      </c>
      <c r="T15" s="774" t="s">
        <v>17</v>
      </c>
      <c r="U15" s="775">
        <f t="shared" si="1"/>
        <v>100</v>
      </c>
      <c r="V15" s="774" t="s">
        <v>17</v>
      </c>
      <c r="W15" s="775">
        <f t="shared" si="2"/>
        <v>100</v>
      </c>
      <c r="X15" s="1816"/>
      <c r="Y15" s="3291" t="s">
        <v>2557</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92"/>
      <c r="Q16" s="1813"/>
      <c r="R16" s="774"/>
      <c r="S16" s="775"/>
      <c r="T16" s="774"/>
      <c r="U16" s="775"/>
      <c r="V16" s="774"/>
      <c r="W16" s="775"/>
      <c r="X16" s="1816"/>
      <c r="Y16" s="3292"/>
      <c r="Z16" s="1817"/>
      <c r="AA16" s="1814">
        <v>1</v>
      </c>
      <c r="AB16" s="1814">
        <v>1</v>
      </c>
      <c r="AC16" s="1814">
        <v>1</v>
      </c>
    </row>
    <row r="17" spans="1:29" ht="128.25">
      <c r="A17" s="428"/>
      <c r="B17" s="631" t="s">
        <v>2706</v>
      </c>
      <c r="C17" s="2610" t="str">
        <f>估价对象房地状况!G16</f>
        <v>估价对象周边路网较密集，公共交通通达情况较好，有889路、昌1路等公共交通，停车便捷程度较好，综合评价交通便捷度较好。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92"/>
      <c r="Q17" s="1813" t="str">
        <f>B17</f>
        <v>交通便捷度</v>
      </c>
      <c r="R17" s="774" t="s">
        <v>17</v>
      </c>
      <c r="S17" s="775">
        <f>F17</f>
        <v>100</v>
      </c>
      <c r="T17" s="774" t="s">
        <v>17</v>
      </c>
      <c r="U17" s="775">
        <f>H17</f>
        <v>100</v>
      </c>
      <c r="V17" s="774" t="s">
        <v>17</v>
      </c>
      <c r="W17" s="775">
        <f>J17</f>
        <v>100</v>
      </c>
      <c r="X17" s="1816"/>
      <c r="Y17" s="3292"/>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92"/>
      <c r="Q18" s="1813"/>
      <c r="R18" s="774"/>
      <c r="S18" s="775"/>
      <c r="T18" s="774"/>
      <c r="U18" s="775"/>
      <c r="V18" s="774"/>
      <c r="W18" s="775"/>
      <c r="X18" s="1816"/>
      <c r="Y18" s="3292"/>
      <c r="Z18" s="1817"/>
      <c r="AA18" s="1814">
        <v>1</v>
      </c>
      <c r="AB18" s="1814">
        <v>1</v>
      </c>
      <c r="AC18" s="1814">
        <v>1</v>
      </c>
    </row>
    <row r="19" spans="1:29" ht="57">
      <c r="A19" s="428"/>
      <c r="B19" s="631" t="s">
        <v>2745</v>
      </c>
      <c r="C19" s="2610" t="str">
        <f>估价对象房地状况!G17</f>
        <v>周边工业用地比例适当，区域土地利用方向较一致。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92"/>
      <c r="Q19" s="1813" t="str">
        <f t="shared" ref="Q19:Q33" si="8">B19</f>
        <v>区域土地利用方向</v>
      </c>
      <c r="R19" s="774" t="s">
        <v>17</v>
      </c>
      <c r="S19" s="775">
        <f>F19</f>
        <v>100</v>
      </c>
      <c r="T19" s="774" t="s">
        <v>17</v>
      </c>
      <c r="U19" s="775">
        <f>H19</f>
        <v>100</v>
      </c>
      <c r="V19" s="774" t="s">
        <v>17</v>
      </c>
      <c r="W19" s="775">
        <f>J19</f>
        <v>100</v>
      </c>
      <c r="X19" s="1816"/>
      <c r="Y19" s="3292"/>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92"/>
      <c r="Q20" s="1813"/>
      <c r="R20" s="774"/>
      <c r="S20" s="775"/>
      <c r="T20" s="774"/>
      <c r="U20" s="775"/>
      <c r="V20" s="774"/>
      <c r="W20" s="775"/>
      <c r="X20" s="1816"/>
      <c r="Y20" s="3292"/>
      <c r="Z20" s="1817"/>
      <c r="AA20" s="1814"/>
      <c r="AB20" s="1814"/>
      <c r="AC20" s="1814"/>
    </row>
    <row r="21" spans="1:29" ht="71.25">
      <c r="A21" s="404"/>
      <c r="B21" s="631" t="s">
        <v>2796</v>
      </c>
      <c r="C21" s="2610" t="str">
        <f>估价对象房地状况!G18</f>
        <v>该园区内是无污染型企业，绿化情况较好，卫生条件较好，整体环境状况较好。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92"/>
      <c r="Q21" s="1813" t="str">
        <f t="shared" si="8"/>
        <v>环境状况</v>
      </c>
      <c r="R21" s="774" t="s">
        <v>17</v>
      </c>
      <c r="S21" s="775">
        <f>F21</f>
        <v>100</v>
      </c>
      <c r="T21" s="774" t="s">
        <v>17</v>
      </c>
      <c r="U21" s="775">
        <f>H21</f>
        <v>100</v>
      </c>
      <c r="V21" s="774" t="s">
        <v>17</v>
      </c>
      <c r="W21" s="775">
        <f>J21</f>
        <v>100</v>
      </c>
      <c r="X21" s="1816"/>
      <c r="Y21" s="3292"/>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92"/>
      <c r="Q22" s="1813"/>
      <c r="R22" s="774"/>
      <c r="S22" s="775"/>
      <c r="T22" s="774"/>
      <c r="U22" s="775"/>
      <c r="V22" s="774"/>
      <c r="W22" s="775"/>
      <c r="X22" s="1816"/>
      <c r="Y22" s="3292"/>
      <c r="Z22" s="1817"/>
      <c r="AA22" s="1814">
        <v>1</v>
      </c>
      <c r="AB22" s="1814">
        <v>1</v>
      </c>
      <c r="AC22" s="1814">
        <v>1</v>
      </c>
    </row>
    <row r="23" spans="1:29" s="117" customFormat="1" ht="213.75">
      <c r="A23" s="649"/>
      <c r="B23" s="633" t="s">
        <v>2651</v>
      </c>
      <c r="C23" s="2610" t="str">
        <f>估价对象房地状况!G19</f>
        <v>估价对象所在区域2公里范围内有：银行（中国银行、中国民生银行），购物（金隅万科购物中心，菓岭假日广场），医院（北京龙山中医医院），学校（中国石油大学附属小学、附属中学）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92"/>
      <c r="Q23" s="1798" t="str">
        <f t="shared" si="8"/>
        <v>公共配套设施</v>
      </c>
      <c r="R23" s="770" t="s">
        <v>17</v>
      </c>
      <c r="S23" s="771">
        <f>F23</f>
        <v>100</v>
      </c>
      <c r="T23" s="770" t="s">
        <v>17</v>
      </c>
      <c r="U23" s="771">
        <f>H23</f>
        <v>100</v>
      </c>
      <c r="V23" s="770" t="s">
        <v>17</v>
      </c>
      <c r="W23" s="771">
        <f>J23</f>
        <v>100</v>
      </c>
      <c r="X23" s="772"/>
      <c r="Y23" s="3292"/>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92"/>
      <c r="Q24" s="1798"/>
      <c r="R24" s="770"/>
      <c r="S24" s="771"/>
      <c r="T24" s="770"/>
      <c r="U24" s="771"/>
      <c r="V24" s="770"/>
      <c r="W24" s="771"/>
      <c r="X24" s="772"/>
      <c r="Y24" s="3292"/>
      <c r="Z24" s="55"/>
      <c r="AA24" s="773">
        <v>1</v>
      </c>
      <c r="AB24" s="773">
        <v>1</v>
      </c>
      <c r="AC24" s="773">
        <v>1</v>
      </c>
    </row>
    <row r="25" spans="1:29" s="117" customFormat="1" ht="42.75">
      <c r="A25" s="649"/>
      <c r="B25" s="633" t="s">
        <v>2652</v>
      </c>
      <c r="C25" s="2610" t="str">
        <f>估价对象房地状况!G20</f>
        <v>估价对象所在区域基础设施水平达到“七通”。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92"/>
      <c r="Q25" s="1798" t="str">
        <f t="shared" ref="Q25" si="9">B25</f>
        <v>基础设施水平</v>
      </c>
      <c r="R25" s="770" t="s">
        <v>17</v>
      </c>
      <c r="S25" s="771">
        <f>F25</f>
        <v>100</v>
      </c>
      <c r="T25" s="770" t="s">
        <v>17</v>
      </c>
      <c r="U25" s="771">
        <f>H25</f>
        <v>100</v>
      </c>
      <c r="V25" s="770" t="s">
        <v>17</v>
      </c>
      <c r="W25" s="771">
        <f>J25</f>
        <v>100</v>
      </c>
      <c r="X25" s="772"/>
      <c r="Y25" s="3292"/>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92"/>
      <c r="Q26" s="1798"/>
      <c r="R26" s="770"/>
      <c r="S26" s="771"/>
      <c r="T26" s="770"/>
      <c r="U26" s="771"/>
      <c r="V26" s="770"/>
      <c r="W26" s="771"/>
      <c r="X26" s="772"/>
      <c r="Y26" s="3292"/>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9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92"/>
      <c r="Z27" s="1817" t="str">
        <f t="shared" ref="Z27:Z40" si="13">Q27</f>
        <v>临街状况</v>
      </c>
      <c r="AA27" s="1814">
        <f t="shared" si="3"/>
        <v>1</v>
      </c>
      <c r="AB27" s="1814">
        <f t="shared" si="4"/>
        <v>1</v>
      </c>
      <c r="AC27" s="1814">
        <f t="shared" si="5"/>
        <v>1</v>
      </c>
    </row>
    <row r="28" spans="1:29" ht="28.5">
      <c r="A28" s="428"/>
      <c r="B28" s="633" t="s">
        <v>2688</v>
      </c>
      <c r="C28" s="2716" t="str">
        <f>估价对象房地状况!G22</f>
        <v>城市次干道——昌盛路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92"/>
      <c r="Q28" s="1813" t="str">
        <f t="shared" si="8"/>
        <v>毗邻道路的类型与等级</v>
      </c>
      <c r="R28" s="774" t="s">
        <v>17</v>
      </c>
      <c r="S28" s="775">
        <f t="shared" si="10"/>
        <v>100</v>
      </c>
      <c r="T28" s="774" t="s">
        <v>17</v>
      </c>
      <c r="U28" s="775">
        <f t="shared" si="11"/>
        <v>100</v>
      </c>
      <c r="V28" s="774" t="s">
        <v>17</v>
      </c>
      <c r="W28" s="775">
        <f t="shared" si="12"/>
        <v>100</v>
      </c>
      <c r="X28" s="1816"/>
      <c r="Y28" s="3292"/>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92"/>
      <c r="Q29" s="1813"/>
      <c r="R29" s="774"/>
      <c r="S29" s="775"/>
      <c r="T29" s="774"/>
      <c r="U29" s="775"/>
      <c r="V29" s="774"/>
      <c r="W29" s="775"/>
      <c r="X29" s="1816"/>
      <c r="Y29" s="3292"/>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92"/>
      <c r="Q30" s="1813" t="str">
        <f t="shared" si="8"/>
        <v>土地级别</v>
      </c>
      <c r="R30" s="774" t="s">
        <v>17</v>
      </c>
      <c r="S30" s="775">
        <f t="shared" si="10"/>
        <v>100</v>
      </c>
      <c r="T30" s="774" t="s">
        <v>17</v>
      </c>
      <c r="U30" s="775">
        <f t="shared" si="11"/>
        <v>100</v>
      </c>
      <c r="V30" s="774" t="s">
        <v>17</v>
      </c>
      <c r="W30" s="775">
        <f t="shared" si="12"/>
        <v>100</v>
      </c>
      <c r="X30" s="1816"/>
      <c r="Y30" s="3292"/>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92"/>
      <c r="Q31" s="1813">
        <f t="shared" si="8"/>
        <v>111</v>
      </c>
      <c r="R31" s="774" t="s">
        <v>17</v>
      </c>
      <c r="S31" s="775">
        <f t="shared" si="10"/>
        <v>100</v>
      </c>
      <c r="T31" s="774" t="s">
        <v>17</v>
      </c>
      <c r="U31" s="775">
        <f t="shared" si="11"/>
        <v>100</v>
      </c>
      <c r="V31" s="774" t="s">
        <v>17</v>
      </c>
      <c r="W31" s="775">
        <f t="shared" si="12"/>
        <v>100</v>
      </c>
      <c r="X31" s="1816"/>
      <c r="Y31" s="3292"/>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15" t="s">
        <v>2562</v>
      </c>
      <c r="Q32" s="1813">
        <f t="shared" si="8"/>
        <v>111</v>
      </c>
      <c r="R32" s="774" t="s">
        <v>17</v>
      </c>
      <c r="S32" s="775">
        <f t="shared" si="10"/>
        <v>100</v>
      </c>
      <c r="T32" s="774" t="s">
        <v>17</v>
      </c>
      <c r="U32" s="775">
        <f t="shared" si="11"/>
        <v>100</v>
      </c>
      <c r="V32" s="774" t="s">
        <v>17</v>
      </c>
      <c r="W32" s="775">
        <f t="shared" si="12"/>
        <v>100</v>
      </c>
      <c r="X32" s="1816"/>
      <c r="Y32" s="3296" t="s">
        <v>2562</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96"/>
      <c r="Q33" s="1813">
        <f t="shared" si="8"/>
        <v>111</v>
      </c>
      <c r="R33" s="777" t="s">
        <v>17</v>
      </c>
      <c r="S33" s="778">
        <f t="shared" si="10"/>
        <v>100</v>
      </c>
      <c r="T33" s="777" t="s">
        <v>17</v>
      </c>
      <c r="U33" s="778">
        <f t="shared" si="11"/>
        <v>100</v>
      </c>
      <c r="V33" s="777" t="s">
        <v>17</v>
      </c>
      <c r="W33" s="778">
        <f t="shared" si="12"/>
        <v>100</v>
      </c>
      <c r="X33" s="779"/>
      <c r="Y33" s="3296"/>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96"/>
      <c r="Q34" s="1813" t="str">
        <f>B34</f>
        <v>宗地面积</v>
      </c>
      <c r="R34" s="774" t="s">
        <v>17</v>
      </c>
      <c r="S34" s="775" t="e">
        <f t="shared" si="10"/>
        <v>#N/A</v>
      </c>
      <c r="T34" s="774" t="s">
        <v>17</v>
      </c>
      <c r="U34" s="775" t="e">
        <f t="shared" si="11"/>
        <v>#N/A</v>
      </c>
      <c r="V34" s="774" t="s">
        <v>17</v>
      </c>
      <c r="W34" s="775" t="e">
        <f t="shared" si="12"/>
        <v>#N/A</v>
      </c>
      <c r="X34" s="1816"/>
      <c r="Y34" s="3296"/>
      <c r="Z34" s="1817" t="str">
        <f t="shared" si="13"/>
        <v>宗地面积</v>
      </c>
      <c r="AA34" s="1814" t="e">
        <f t="shared" si="3"/>
        <v>#N/A</v>
      </c>
      <c r="AB34" s="1814" t="e">
        <f t="shared" si="4"/>
        <v>#N/A</v>
      </c>
      <c r="AC34" s="1814" t="e">
        <f t="shared" si="5"/>
        <v>#N/A</v>
      </c>
    </row>
    <row r="35" spans="1:29" ht="15">
      <c r="A35" s="472"/>
      <c r="B35" s="422" t="s">
        <v>2749</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96"/>
      <c r="Q35" s="1813" t="str">
        <f t="shared" ref="Q35:Q40" si="14">B35</f>
        <v>宗地形状</v>
      </c>
      <c r="R35" s="774" t="s">
        <v>17</v>
      </c>
      <c r="S35" s="775">
        <f t="shared" si="10"/>
        <v>100</v>
      </c>
      <c r="T35" s="774" t="s">
        <v>17</v>
      </c>
      <c r="U35" s="775">
        <f t="shared" si="11"/>
        <v>100</v>
      </c>
      <c r="V35" s="774" t="s">
        <v>17</v>
      </c>
      <c r="W35" s="775">
        <f t="shared" si="12"/>
        <v>100</v>
      </c>
      <c r="X35" s="1816"/>
      <c r="Y35" s="3296"/>
      <c r="Z35" s="1817" t="str">
        <f t="shared" si="13"/>
        <v>宗地形状</v>
      </c>
      <c r="AA35" s="1814">
        <f t="shared" si="3"/>
        <v>1</v>
      </c>
      <c r="AB35" s="1814">
        <f t="shared" si="4"/>
        <v>1</v>
      </c>
      <c r="AC35" s="1814">
        <f t="shared" si="5"/>
        <v>1</v>
      </c>
    </row>
    <row r="36" spans="1:29" s="117" customFormat="1" ht="15">
      <c r="A36" s="473"/>
      <c r="B36" s="422" t="s">
        <v>2751</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96"/>
      <c r="Q36" s="1813" t="str">
        <f t="shared" si="14"/>
        <v>宗地开发程度</v>
      </c>
      <c r="R36" s="770" t="s">
        <v>17</v>
      </c>
      <c r="S36" s="771">
        <f t="shared" si="10"/>
        <v>100</v>
      </c>
      <c r="T36" s="770" t="s">
        <v>17</v>
      </c>
      <c r="U36" s="771">
        <f t="shared" si="11"/>
        <v>100</v>
      </c>
      <c r="V36" s="770" t="s">
        <v>17</v>
      </c>
      <c r="W36" s="771">
        <f t="shared" si="12"/>
        <v>100</v>
      </c>
      <c r="X36" s="772"/>
      <c r="Y36" s="3296"/>
      <c r="Z36" s="55" t="str">
        <f t="shared" si="13"/>
        <v>宗地开发程度</v>
      </c>
      <c r="AA36" s="773">
        <f t="shared" si="3"/>
        <v>1</v>
      </c>
      <c r="AB36" s="773">
        <f t="shared" si="4"/>
        <v>1</v>
      </c>
      <c r="AC36" s="773">
        <f t="shared" si="5"/>
        <v>1</v>
      </c>
    </row>
    <row r="37" spans="1:29" ht="15">
      <c r="A37" s="472"/>
      <c r="B37" s="422" t="s">
        <v>2752</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96" t="s">
        <v>2562</v>
      </c>
      <c r="Q37" s="1813" t="str">
        <f t="shared" si="14"/>
        <v>工程地质条件</v>
      </c>
      <c r="R37" s="774" t="s">
        <v>17</v>
      </c>
      <c r="S37" s="775">
        <f t="shared" si="10"/>
        <v>100</v>
      </c>
      <c r="T37" s="774" t="s">
        <v>17</v>
      </c>
      <c r="U37" s="775">
        <f t="shared" si="11"/>
        <v>100</v>
      </c>
      <c r="V37" s="774" t="s">
        <v>17</v>
      </c>
      <c r="W37" s="775">
        <f t="shared" si="12"/>
        <v>100</v>
      </c>
      <c r="X37" s="1816"/>
      <c r="Y37" s="3296"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96"/>
      <c r="Q38" s="1813">
        <f t="shared" si="14"/>
        <v>111</v>
      </c>
      <c r="R38" s="774" t="s">
        <v>17</v>
      </c>
      <c r="S38" s="775">
        <f t="shared" si="10"/>
        <v>100</v>
      </c>
      <c r="T38" s="774" t="s">
        <v>17</v>
      </c>
      <c r="U38" s="775">
        <f t="shared" si="11"/>
        <v>100</v>
      </c>
      <c r="V38" s="774" t="s">
        <v>17</v>
      </c>
      <c r="W38" s="775">
        <f t="shared" si="12"/>
        <v>100</v>
      </c>
      <c r="X38" s="1816"/>
      <c r="Y38" s="329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96"/>
      <c r="Q39" s="1813">
        <f t="shared" si="14"/>
        <v>111</v>
      </c>
      <c r="R39" s="774" t="s">
        <v>17</v>
      </c>
      <c r="S39" s="775">
        <f t="shared" si="10"/>
        <v>100</v>
      </c>
      <c r="T39" s="774" t="s">
        <v>17</v>
      </c>
      <c r="U39" s="775">
        <f t="shared" si="11"/>
        <v>100</v>
      </c>
      <c r="V39" s="774" t="s">
        <v>17</v>
      </c>
      <c r="W39" s="775">
        <f t="shared" si="12"/>
        <v>100</v>
      </c>
      <c r="X39" s="1816"/>
      <c r="Y39" s="3296"/>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96"/>
      <c r="Q40" s="1813">
        <f t="shared" si="14"/>
        <v>111</v>
      </c>
      <c r="R40" s="777" t="s">
        <v>17</v>
      </c>
      <c r="S40" s="778">
        <f t="shared" si="10"/>
        <v>100</v>
      </c>
      <c r="T40" s="777" t="s">
        <v>17</v>
      </c>
      <c r="U40" s="778">
        <f t="shared" si="11"/>
        <v>100</v>
      </c>
      <c r="V40" s="777" t="s">
        <v>17</v>
      </c>
      <c r="W40" s="778">
        <f t="shared" si="12"/>
        <v>100</v>
      </c>
      <c r="X40" s="779"/>
      <c r="Y40" s="3296"/>
      <c r="Z40" s="780">
        <f t="shared" si="13"/>
        <v>111</v>
      </c>
      <c r="AA40" s="1814">
        <f t="shared" si="3"/>
        <v>1</v>
      </c>
      <c r="AB40" s="1814">
        <f t="shared" si="4"/>
        <v>1</v>
      </c>
      <c r="AC40" s="1814">
        <f t="shared" si="5"/>
        <v>1</v>
      </c>
    </row>
    <row r="41" spans="1:29" ht="15">
      <c r="A41" s="479" t="s">
        <v>2717</v>
      </c>
      <c r="B41" s="2707" t="s">
        <v>2797</v>
      </c>
      <c r="C41" s="682" t="s">
        <v>1</v>
      </c>
      <c r="D41" s="481"/>
      <c r="E41" s="482"/>
      <c r="F41" s="483"/>
      <c r="G41" s="484"/>
      <c r="H41" s="485"/>
      <c r="I41" s="482"/>
      <c r="J41" s="485"/>
      <c r="K41" s="783"/>
      <c r="L41" s="1146"/>
      <c r="M41" s="1134"/>
      <c r="N41" s="1134"/>
      <c r="O41" s="1147"/>
      <c r="P41" s="3289" t="str">
        <f>A41</f>
        <v>成交单价</v>
      </c>
      <c r="Q41" s="3289"/>
      <c r="R41" s="3284">
        <f>E41</f>
        <v>0</v>
      </c>
      <c r="S41" s="3284"/>
      <c r="T41" s="3284">
        <f>G41</f>
        <v>0</v>
      </c>
      <c r="U41" s="3284"/>
      <c r="V41" s="3284">
        <f>I41</f>
        <v>0</v>
      </c>
      <c r="W41" s="3284"/>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89" t="str">
        <f>A42</f>
        <v>比较价值（元/平方米）</v>
      </c>
      <c r="Q42" s="3289"/>
      <c r="R42" s="3316" t="e">
        <f>ROUND(PRODUCT(R41,AA7:AA40),0)</f>
        <v>#DIV/0!</v>
      </c>
      <c r="S42" s="3316"/>
      <c r="T42" s="3316" t="e">
        <f>ROUND(PRODUCT(T41,AB7:AB40),0)</f>
        <v>#DIV/0!</v>
      </c>
      <c r="U42" s="3316"/>
      <c r="V42" s="3316" t="e">
        <f>ROUND(PRODUCT(V41,AC7:AC40),0)</f>
        <v>#DIV/0!</v>
      </c>
      <c r="W42" s="3316"/>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286" t="str">
        <f>A43</f>
        <v>估价对象XX用房的比较价值（楼面单价，元/平方米）</v>
      </c>
      <c r="Q43" s="3287"/>
      <c r="R43" s="3317" t="e">
        <f>ROUND(AVERAGE(R42:V42),0)</f>
        <v>#DIV/0!</v>
      </c>
      <c r="S43" s="3317"/>
      <c r="T43" s="3317"/>
      <c r="U43" s="3317"/>
      <c r="V43" s="3317"/>
      <c r="W43" s="331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8" t="s">
        <v>2757</v>
      </c>
      <c r="D50" s="2709" t="s">
        <v>2758</v>
      </c>
      <c r="E50" s="686" t="s">
        <v>2759</v>
      </c>
      <c r="F50" s="687" t="s">
        <v>2760</v>
      </c>
      <c r="G50" s="3272" t="s">
        <v>2761</v>
      </c>
      <c r="H50" s="3318"/>
      <c r="I50" s="1817" t="s">
        <v>2798</v>
      </c>
      <c r="J50" s="1817">
        <f>项目基本情况!F35</f>
        <v>0</v>
      </c>
      <c r="K50" s="2711" t="s">
        <v>2763</v>
      </c>
      <c r="L50" s="1109"/>
      <c r="M50" s="1147"/>
      <c r="N50" s="1147"/>
      <c r="O50" s="1147"/>
    </row>
    <row r="51" spans="1:17" s="692" customFormat="1">
      <c r="A51" s="688" t="s">
        <v>2764</v>
      </c>
      <c r="B51" s="689" t="e">
        <f>C43</f>
        <v>#DIV/0!</v>
      </c>
      <c r="C51" s="690">
        <v>1</v>
      </c>
      <c r="D51" s="1166">
        <v>1</v>
      </c>
      <c r="E51" s="690">
        <f>'数据-汇总表'!E8+'数据-汇总表'!E9</f>
        <v>17809.45</v>
      </c>
      <c r="F51" s="691" t="e">
        <f t="shared" ref="F51:F60" si="15">ROUND(B51*E51/10000,0)</f>
        <v>#DIV/0!</v>
      </c>
      <c r="G51" s="3271"/>
      <c r="H51" s="3289"/>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319"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319"/>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319"/>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319"/>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2"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2"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3"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11873.13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4" t="s">
        <v>2779</v>
      </c>
      <c r="B65" s="1362"/>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7"/>
    </row>
    <row r="66" spans="1:17" s="117" customFormat="1" ht="30.75" customHeight="1">
      <c r="A66" s="2719" t="s">
        <v>2799</v>
      </c>
      <c r="B66" s="332" t="str">
        <f>"北京市平均增长率"&amp;TEXT(基准地价修正!P24,"0.00%")</f>
        <v>北京市平均增长率1.39%</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24" t="s">
        <v>183</v>
      </c>
      <c r="B18" s="882" t="s">
        <v>560</v>
      </c>
      <c r="C18" s="883" t="s">
        <v>561</v>
      </c>
      <c r="D18" s="884"/>
      <c r="E18" s="882">
        <v>1</v>
      </c>
      <c r="F18" s="885" t="s">
        <v>562</v>
      </c>
      <c r="G18" s="886"/>
      <c r="H18" s="878"/>
      <c r="I18" s="878"/>
    </row>
    <row r="19" spans="1:9" s="887" customFormat="1" ht="19.5" customHeight="1">
      <c r="A19" s="3324"/>
      <c r="B19" s="3324" t="s">
        <v>563</v>
      </c>
      <c r="C19" s="883" t="s">
        <v>564</v>
      </c>
      <c r="D19" s="884"/>
      <c r="E19" s="882">
        <v>0.9</v>
      </c>
      <c r="F19" s="885" t="s">
        <v>565</v>
      </c>
      <c r="G19" s="886"/>
      <c r="H19" s="878"/>
      <c r="I19" s="878"/>
    </row>
    <row r="20" spans="1:9" s="887" customFormat="1" ht="19.5" customHeight="1">
      <c r="A20" s="3324"/>
      <c r="B20" s="3324"/>
      <c r="C20" s="883" t="s">
        <v>566</v>
      </c>
      <c r="D20" s="884"/>
      <c r="E20" s="882">
        <v>1.1000000000000001</v>
      </c>
      <c r="F20" s="885" t="s">
        <v>567</v>
      </c>
      <c r="G20" s="886"/>
      <c r="H20" s="878"/>
      <c r="I20" s="878"/>
    </row>
    <row r="21" spans="1:9" s="887" customFormat="1" ht="19.5" customHeight="1">
      <c r="A21" s="3324"/>
      <c r="B21" s="3324"/>
      <c r="C21" s="883" t="s">
        <v>568</v>
      </c>
      <c r="D21" s="884"/>
      <c r="E21" s="882">
        <v>0.8</v>
      </c>
      <c r="F21" s="885" t="s">
        <v>569</v>
      </c>
      <c r="G21" s="886"/>
      <c r="H21" s="878"/>
      <c r="I21" s="878"/>
    </row>
    <row r="22" spans="1:9" s="887" customFormat="1" ht="19.5" customHeight="1">
      <c r="A22" s="3324"/>
      <c r="B22" s="3324"/>
      <c r="C22" s="883" t="s">
        <v>570</v>
      </c>
      <c r="D22" s="884"/>
      <c r="E22" s="882">
        <v>0.5</v>
      </c>
      <c r="F22" s="885"/>
      <c r="G22" s="886"/>
      <c r="H22" s="878"/>
      <c r="I22" s="878"/>
    </row>
    <row r="23" spans="1:9" s="887" customFormat="1" ht="19.5" customHeight="1">
      <c r="A23" s="3324" t="s">
        <v>184</v>
      </c>
      <c r="B23" s="882" t="s">
        <v>560</v>
      </c>
      <c r="C23" s="883" t="s">
        <v>571</v>
      </c>
      <c r="D23" s="884"/>
      <c r="E23" s="882">
        <v>1</v>
      </c>
      <c r="F23" s="885" t="s">
        <v>572</v>
      </c>
      <c r="G23" s="886"/>
      <c r="H23" s="878"/>
      <c r="I23" s="878"/>
    </row>
    <row r="24" spans="1:9" s="887" customFormat="1" ht="19.5" customHeight="1">
      <c r="A24" s="3324"/>
      <c r="B24" s="3324" t="s">
        <v>563</v>
      </c>
      <c r="C24" s="883" t="s">
        <v>573</v>
      </c>
      <c r="D24" s="884"/>
      <c r="E24" s="882">
        <v>0.5</v>
      </c>
      <c r="F24" s="885"/>
      <c r="G24" s="886"/>
      <c r="H24" s="878"/>
      <c r="I24" s="878"/>
    </row>
    <row r="25" spans="1:9" s="887" customFormat="1" ht="19.5" customHeight="1">
      <c r="A25" s="3324"/>
      <c r="B25" s="3324"/>
      <c r="C25" s="883" t="s">
        <v>574</v>
      </c>
      <c r="D25" s="884"/>
      <c r="E25" s="882">
        <v>1.1000000000000001</v>
      </c>
      <c r="F25" s="885"/>
      <c r="G25" s="886"/>
      <c r="H25" s="878"/>
      <c r="I25" s="878"/>
    </row>
    <row r="26" spans="1:9" s="887" customFormat="1" ht="19.5" customHeight="1">
      <c r="A26" s="3324"/>
      <c r="B26" s="3324"/>
      <c r="C26" s="883" t="s">
        <v>575</v>
      </c>
      <c r="D26" s="884"/>
      <c r="E26" s="882">
        <v>1.1000000000000001</v>
      </c>
      <c r="F26" s="885"/>
      <c r="G26" s="886"/>
      <c r="H26" s="878"/>
      <c r="I26" s="878"/>
    </row>
    <row r="27" spans="1:9" s="887" customFormat="1" ht="19.5" customHeight="1">
      <c r="A27" s="3324"/>
      <c r="B27" s="3324"/>
      <c r="C27" s="883" t="s">
        <v>576</v>
      </c>
      <c r="D27" s="884"/>
      <c r="E27" s="882">
        <v>0.9</v>
      </c>
      <c r="F27" s="885" t="s">
        <v>577</v>
      </c>
      <c r="G27" s="886"/>
      <c r="H27" s="878"/>
      <c r="I27" s="878"/>
    </row>
    <row r="28" spans="1:9" s="887" customFormat="1" ht="19.5" customHeight="1">
      <c r="A28" s="3324"/>
      <c r="B28" s="3324"/>
      <c r="C28" s="883" t="s">
        <v>578</v>
      </c>
      <c r="D28" s="884"/>
      <c r="E28" s="882">
        <v>0.9</v>
      </c>
      <c r="F28" s="885" t="s">
        <v>579</v>
      </c>
      <c r="G28" s="886"/>
      <c r="H28" s="878"/>
      <c r="I28" s="878"/>
    </row>
    <row r="29" spans="1:9" s="887" customFormat="1" ht="19.5" customHeight="1">
      <c r="A29" s="3324"/>
      <c r="B29" s="3324"/>
      <c r="C29" s="883" t="s">
        <v>580</v>
      </c>
      <c r="D29" s="884"/>
      <c r="E29" s="882">
        <v>0.9</v>
      </c>
      <c r="F29" s="885" t="s">
        <v>581</v>
      </c>
      <c r="G29" s="886"/>
      <c r="H29" s="878"/>
      <c r="I29" s="878"/>
    </row>
    <row r="30" spans="1:9" s="887" customFormat="1" ht="19.5" customHeight="1">
      <c r="A30" s="3324"/>
      <c r="B30" s="3324"/>
      <c r="C30" s="883" t="s">
        <v>582</v>
      </c>
      <c r="D30" s="884"/>
      <c r="E30" s="882">
        <v>0.9</v>
      </c>
      <c r="F30" s="885" t="s">
        <v>583</v>
      </c>
      <c r="G30" s="886"/>
      <c r="H30" s="878"/>
      <c r="I30" s="878"/>
    </row>
    <row r="31" spans="1:9" s="887" customFormat="1" ht="19.5" customHeight="1">
      <c r="A31" s="3324"/>
      <c r="B31" s="3324"/>
      <c r="C31" s="883" t="s">
        <v>584</v>
      </c>
      <c r="D31" s="884"/>
      <c r="E31" s="882">
        <v>0.8</v>
      </c>
      <c r="F31" s="885" t="s">
        <v>585</v>
      </c>
      <c r="G31" s="886"/>
      <c r="H31" s="878"/>
      <c r="I31" s="878"/>
    </row>
    <row r="32" spans="1:9" s="887" customFormat="1" ht="19.5" customHeight="1">
      <c r="A32" s="3324"/>
      <c r="B32" s="3324"/>
      <c r="C32" s="883" t="s">
        <v>586</v>
      </c>
      <c r="D32" s="884"/>
      <c r="E32" s="882">
        <v>0.8</v>
      </c>
      <c r="F32" s="885" t="s">
        <v>587</v>
      </c>
      <c r="G32" s="886"/>
      <c r="H32" s="878"/>
      <c r="I32" s="878"/>
    </row>
    <row r="33" spans="1:9" s="887" customFormat="1" ht="19.5" customHeight="1">
      <c r="A33" s="3324" t="s">
        <v>185</v>
      </c>
      <c r="B33" s="882" t="s">
        <v>560</v>
      </c>
      <c r="C33" s="883" t="s">
        <v>588</v>
      </c>
      <c r="D33" s="884"/>
      <c r="E33" s="882">
        <v>1</v>
      </c>
      <c r="F33" s="885" t="s">
        <v>589</v>
      </c>
      <c r="G33" s="886"/>
      <c r="H33" s="878"/>
      <c r="I33" s="878"/>
    </row>
    <row r="34" spans="1:9" s="887" customFormat="1" ht="19.5" customHeight="1">
      <c r="A34" s="3324"/>
      <c r="B34" s="882" t="s">
        <v>563</v>
      </c>
      <c r="C34" s="883" t="s">
        <v>590</v>
      </c>
      <c r="D34" s="884"/>
      <c r="E34" s="882">
        <v>1.5</v>
      </c>
      <c r="F34" s="885" t="s">
        <v>591</v>
      </c>
      <c r="G34" s="886"/>
      <c r="H34" s="878"/>
      <c r="I34" s="878"/>
    </row>
    <row r="35" spans="1:9" s="887" customFormat="1" ht="19.5" customHeight="1">
      <c r="A35" s="3324" t="s">
        <v>186</v>
      </c>
      <c r="B35" s="882" t="s">
        <v>560</v>
      </c>
      <c r="C35" s="883" t="s">
        <v>592</v>
      </c>
      <c r="D35" s="884"/>
      <c r="E35" s="882">
        <v>1</v>
      </c>
      <c r="F35" s="885" t="s">
        <v>593</v>
      </c>
      <c r="G35" s="886"/>
      <c r="H35" s="878"/>
      <c r="I35" s="878"/>
    </row>
    <row r="36" spans="1:9" s="887" customFormat="1" ht="19.5" customHeight="1">
      <c r="A36" s="3324"/>
      <c r="B36" s="3324" t="s">
        <v>563</v>
      </c>
      <c r="C36" s="883" t="s">
        <v>594</v>
      </c>
      <c r="D36" s="884"/>
      <c r="E36" s="882">
        <v>1</v>
      </c>
      <c r="F36" s="885" t="s">
        <v>595</v>
      </c>
      <c r="G36" s="886"/>
      <c r="H36" s="878"/>
      <c r="I36" s="878"/>
    </row>
    <row r="37" spans="1:9" s="887" customFormat="1" ht="19.5" customHeight="1">
      <c r="A37" s="3324"/>
      <c r="B37" s="3324"/>
      <c r="C37" s="883" t="s">
        <v>596</v>
      </c>
      <c r="D37" s="884"/>
      <c r="E37" s="882">
        <v>1.5</v>
      </c>
      <c r="F37" s="885" t="s">
        <v>597</v>
      </c>
      <c r="G37" s="886"/>
      <c r="H37" s="878"/>
      <c r="I37" s="878"/>
    </row>
    <row r="38" spans="1:9" s="887" customFormat="1" ht="19.5" customHeight="1">
      <c r="A38" s="3324"/>
      <c r="B38" s="3324"/>
      <c r="C38" s="883" t="s">
        <v>598</v>
      </c>
      <c r="D38" s="884"/>
      <c r="E38" s="882">
        <v>1</v>
      </c>
      <c r="F38" s="885" t="s">
        <v>599</v>
      </c>
      <c r="G38" s="886"/>
      <c r="H38" s="878"/>
      <c r="I38" s="878"/>
    </row>
    <row r="39" spans="1:9" s="887" customFormat="1" ht="19.5" customHeight="1">
      <c r="A39" s="3324"/>
      <c r="B39" s="332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24" t="s">
        <v>614</v>
      </c>
      <c r="C61" s="818" t="s">
        <v>615</v>
      </c>
      <c r="D61" s="818" t="s">
        <v>616</v>
      </c>
      <c r="E61" s="895">
        <v>0.5</v>
      </c>
      <c r="F61" s="882">
        <v>80</v>
      </c>
    </row>
    <row r="62" spans="1:8" s="878" customFormat="1" ht="24">
      <c r="A62" s="882">
        <v>2</v>
      </c>
      <c r="B62" s="3324"/>
      <c r="C62" s="818" t="s">
        <v>617</v>
      </c>
      <c r="D62" s="818" t="s">
        <v>618</v>
      </c>
      <c r="E62" s="895">
        <v>0.5</v>
      </c>
      <c r="F62" s="882">
        <v>80</v>
      </c>
    </row>
    <row r="63" spans="1:8" s="878" customFormat="1" ht="36">
      <c r="A63" s="882">
        <v>3</v>
      </c>
      <c r="B63" s="3324"/>
      <c r="C63" s="818" t="s">
        <v>619</v>
      </c>
      <c r="D63" s="818" t="s">
        <v>620</v>
      </c>
      <c r="E63" s="895">
        <v>0.5</v>
      </c>
      <c r="F63" s="882">
        <v>80</v>
      </c>
    </row>
    <row r="64" spans="1:8" s="878" customFormat="1" ht="36">
      <c r="A64" s="882">
        <v>4</v>
      </c>
      <c r="B64" s="3324"/>
      <c r="C64" s="818" t="s">
        <v>621</v>
      </c>
      <c r="D64" s="818" t="s">
        <v>622</v>
      </c>
      <c r="E64" s="895">
        <v>0.4</v>
      </c>
      <c r="F64" s="882">
        <v>60</v>
      </c>
    </row>
    <row r="65" spans="1:6" s="878" customFormat="1" ht="36">
      <c r="A65" s="882">
        <v>5</v>
      </c>
      <c r="B65" s="3324"/>
      <c r="C65" s="818" t="s">
        <v>623</v>
      </c>
      <c r="D65" s="818" t="s">
        <v>624</v>
      </c>
      <c r="E65" s="895">
        <v>0.2</v>
      </c>
      <c r="F65" s="882">
        <v>30</v>
      </c>
    </row>
    <row r="66" spans="1:6" s="878" customFormat="1" ht="36">
      <c r="A66" s="882">
        <v>6</v>
      </c>
      <c r="B66" s="3324"/>
      <c r="C66" s="818" t="s">
        <v>625</v>
      </c>
      <c r="D66" s="818" t="s">
        <v>626</v>
      </c>
      <c r="E66" s="895">
        <v>0.3</v>
      </c>
      <c r="F66" s="882">
        <v>50</v>
      </c>
    </row>
    <row r="67" spans="1:6" s="878" customFormat="1" ht="36">
      <c r="A67" s="882">
        <v>7</v>
      </c>
      <c r="B67" s="3324"/>
      <c r="C67" s="818" t="s">
        <v>627</v>
      </c>
      <c r="D67" s="818" t="s">
        <v>628</v>
      </c>
      <c r="E67" s="895">
        <v>0.2</v>
      </c>
      <c r="F67" s="882">
        <v>30</v>
      </c>
    </row>
    <row r="68" spans="1:6" s="878" customFormat="1" ht="36">
      <c r="A68" s="882">
        <v>8</v>
      </c>
      <c r="B68" s="3324"/>
      <c r="C68" s="818" t="s">
        <v>629</v>
      </c>
      <c r="D68" s="818" t="s">
        <v>630</v>
      </c>
      <c r="E68" s="895">
        <v>0.2</v>
      </c>
      <c r="F68" s="882">
        <v>30</v>
      </c>
    </row>
    <row r="69" spans="1:6" s="878" customFormat="1" ht="36">
      <c r="A69" s="882">
        <v>9</v>
      </c>
      <c r="B69" s="3324"/>
      <c r="C69" s="818" t="s">
        <v>631</v>
      </c>
      <c r="D69" s="818" t="s">
        <v>632</v>
      </c>
      <c r="E69" s="895">
        <v>0.2</v>
      </c>
      <c r="F69" s="882">
        <v>30</v>
      </c>
    </row>
    <row r="70" spans="1:6" s="878" customFormat="1" ht="48">
      <c r="A70" s="882">
        <v>10</v>
      </c>
      <c r="B70" s="3324"/>
      <c r="C70" s="818" t="s">
        <v>633</v>
      </c>
      <c r="D70" s="818" t="s">
        <v>634</v>
      </c>
      <c r="E70" s="895">
        <v>0.2</v>
      </c>
      <c r="F70" s="882">
        <v>30</v>
      </c>
    </row>
    <row r="71" spans="1:6" s="878" customFormat="1" ht="48">
      <c r="A71" s="882">
        <v>11</v>
      </c>
      <c r="B71" s="3324"/>
      <c r="C71" s="818" t="s">
        <v>635</v>
      </c>
      <c r="D71" s="818" t="s">
        <v>636</v>
      </c>
      <c r="E71" s="895">
        <v>0.2</v>
      </c>
      <c r="F71" s="882">
        <v>30</v>
      </c>
    </row>
    <row r="72" spans="1:6" s="878" customFormat="1" ht="36">
      <c r="A72" s="882">
        <v>12</v>
      </c>
      <c r="B72" s="3324"/>
      <c r="C72" s="818" t="s">
        <v>637</v>
      </c>
      <c r="D72" s="818" t="s">
        <v>638</v>
      </c>
      <c r="E72" s="895">
        <v>0.5</v>
      </c>
      <c r="F72" s="882">
        <v>80</v>
      </c>
    </row>
    <row r="73" spans="1:6" s="878" customFormat="1" ht="24">
      <c r="A73" s="882">
        <v>13</v>
      </c>
      <c r="B73" s="3324"/>
      <c r="C73" s="818" t="s">
        <v>639</v>
      </c>
      <c r="D73" s="818" t="s">
        <v>640</v>
      </c>
      <c r="E73" s="895">
        <v>0.4</v>
      </c>
      <c r="F73" s="882">
        <v>60</v>
      </c>
    </row>
    <row r="74" spans="1:6" s="878" customFormat="1" ht="24">
      <c r="A74" s="882">
        <v>14</v>
      </c>
      <c r="B74" s="3324"/>
      <c r="C74" s="818" t="s">
        <v>641</v>
      </c>
      <c r="D74" s="818" t="s">
        <v>642</v>
      </c>
      <c r="E74" s="895">
        <v>0.2</v>
      </c>
      <c r="F74" s="882">
        <v>30</v>
      </c>
    </row>
    <row r="75" spans="1:6" s="878" customFormat="1" ht="24">
      <c r="A75" s="882">
        <v>15</v>
      </c>
      <c r="B75" s="3324"/>
      <c r="C75" s="818" t="s">
        <v>643</v>
      </c>
      <c r="D75" s="818" t="s">
        <v>644</v>
      </c>
      <c r="E75" s="895">
        <v>0.2</v>
      </c>
      <c r="F75" s="882">
        <v>30</v>
      </c>
    </row>
    <row r="76" spans="1:6" s="878" customFormat="1" ht="24">
      <c r="A76" s="882">
        <v>16</v>
      </c>
      <c r="B76" s="3324" t="s">
        <v>645</v>
      </c>
      <c r="C76" s="818" t="s">
        <v>646</v>
      </c>
      <c r="D76" s="818" t="s">
        <v>647</v>
      </c>
      <c r="E76" s="895">
        <v>0.5</v>
      </c>
      <c r="F76" s="882">
        <v>80</v>
      </c>
    </row>
    <row r="77" spans="1:6" s="878" customFormat="1" ht="24">
      <c r="A77" s="882">
        <v>17</v>
      </c>
      <c r="B77" s="3324"/>
      <c r="C77" s="818" t="s">
        <v>648</v>
      </c>
      <c r="D77" s="818" t="s">
        <v>649</v>
      </c>
      <c r="E77" s="895">
        <v>0.5</v>
      </c>
      <c r="F77" s="882">
        <v>80</v>
      </c>
    </row>
    <row r="78" spans="1:6" s="878" customFormat="1" ht="24">
      <c r="A78" s="882">
        <v>18</v>
      </c>
      <c r="B78" s="3324"/>
      <c r="C78" s="818" t="s">
        <v>650</v>
      </c>
      <c r="D78" s="818" t="s">
        <v>651</v>
      </c>
      <c r="E78" s="895">
        <v>0.2</v>
      </c>
      <c r="F78" s="882">
        <v>30</v>
      </c>
    </row>
    <row r="79" spans="1:6" s="878" customFormat="1" ht="24">
      <c r="A79" s="882">
        <v>19</v>
      </c>
      <c r="B79" s="3324"/>
      <c r="C79" s="818" t="s">
        <v>652</v>
      </c>
      <c r="D79" s="818" t="s">
        <v>653</v>
      </c>
      <c r="E79" s="895">
        <v>0.5</v>
      </c>
      <c r="F79" s="882">
        <v>80</v>
      </c>
    </row>
    <row r="80" spans="1:6" s="878" customFormat="1" ht="36">
      <c r="A80" s="882">
        <v>20</v>
      </c>
      <c r="B80" s="3324"/>
      <c r="C80" s="818" t="s">
        <v>654</v>
      </c>
      <c r="D80" s="818" t="s">
        <v>655</v>
      </c>
      <c r="E80" s="895">
        <v>0.2</v>
      </c>
      <c r="F80" s="882">
        <v>30</v>
      </c>
    </row>
    <row r="81" spans="1:6" s="878" customFormat="1" ht="36">
      <c r="A81" s="882">
        <v>21</v>
      </c>
      <c r="B81" s="3324"/>
      <c r="C81" s="818" t="s">
        <v>656</v>
      </c>
      <c r="D81" s="818" t="s">
        <v>657</v>
      </c>
      <c r="E81" s="895">
        <v>0.2</v>
      </c>
      <c r="F81" s="882">
        <v>30</v>
      </c>
    </row>
    <row r="82" spans="1:6" s="878" customFormat="1" ht="48">
      <c r="A82" s="882">
        <v>22</v>
      </c>
      <c r="B82" s="3324"/>
      <c r="C82" s="818" t="s">
        <v>658</v>
      </c>
      <c r="D82" s="818" t="s">
        <v>659</v>
      </c>
      <c r="E82" s="895">
        <v>0.2</v>
      </c>
      <c r="F82" s="882">
        <v>30</v>
      </c>
    </row>
    <row r="83" spans="1:6" s="878" customFormat="1" ht="48">
      <c r="A83" s="882">
        <v>23</v>
      </c>
      <c r="B83" s="3324"/>
      <c r="C83" s="818" t="s">
        <v>660</v>
      </c>
      <c r="D83" s="818" t="s">
        <v>661</v>
      </c>
      <c r="E83" s="895">
        <v>0.2</v>
      </c>
      <c r="F83" s="882">
        <v>30</v>
      </c>
    </row>
    <row r="84" spans="1:6" s="878" customFormat="1" ht="36">
      <c r="A84" s="882">
        <v>24</v>
      </c>
      <c r="B84" s="3324"/>
      <c r="C84" s="818" t="s">
        <v>662</v>
      </c>
      <c r="D84" s="818" t="s">
        <v>663</v>
      </c>
      <c r="E84" s="895">
        <v>0.2</v>
      </c>
      <c r="F84" s="882">
        <v>30</v>
      </c>
    </row>
    <row r="85" spans="1:6" s="878" customFormat="1" ht="36">
      <c r="A85" s="882">
        <v>25</v>
      </c>
      <c r="B85" s="3324"/>
      <c r="C85" s="818" t="s">
        <v>664</v>
      </c>
      <c r="D85" s="818" t="s">
        <v>665</v>
      </c>
      <c r="E85" s="895">
        <v>0.5</v>
      </c>
      <c r="F85" s="882">
        <v>80</v>
      </c>
    </row>
    <row r="86" spans="1:6" s="878" customFormat="1" ht="36">
      <c r="A86" s="882">
        <v>26</v>
      </c>
      <c r="B86" s="3324"/>
      <c r="C86" s="818" t="s">
        <v>666</v>
      </c>
      <c r="D86" s="818" t="s">
        <v>667</v>
      </c>
      <c r="E86" s="895">
        <v>0.2</v>
      </c>
      <c r="F86" s="882">
        <v>30</v>
      </c>
    </row>
    <row r="87" spans="1:6" s="878" customFormat="1" ht="36">
      <c r="A87" s="882">
        <v>27</v>
      </c>
      <c r="B87" s="3324"/>
      <c r="C87" s="818" t="s">
        <v>668</v>
      </c>
      <c r="D87" s="818" t="s">
        <v>669</v>
      </c>
      <c r="E87" s="895">
        <v>0.2</v>
      </c>
      <c r="F87" s="882">
        <v>30</v>
      </c>
    </row>
    <row r="88" spans="1:6" s="878" customFormat="1" ht="36">
      <c r="A88" s="882">
        <v>28</v>
      </c>
      <c r="B88" s="3324"/>
      <c r="C88" s="818" t="s">
        <v>670</v>
      </c>
      <c r="D88" s="818" t="s">
        <v>671</v>
      </c>
      <c r="E88" s="895">
        <v>0.2</v>
      </c>
      <c r="F88" s="882">
        <v>30</v>
      </c>
    </row>
    <row r="89" spans="1:6" s="878" customFormat="1" ht="24">
      <c r="A89" s="882">
        <v>29</v>
      </c>
      <c r="B89" s="3324"/>
      <c r="C89" s="818" t="s">
        <v>672</v>
      </c>
      <c r="D89" s="818" t="s">
        <v>673</v>
      </c>
      <c r="E89" s="895">
        <v>0.2</v>
      </c>
      <c r="F89" s="882">
        <v>30</v>
      </c>
    </row>
    <row r="90" spans="1:6" s="878" customFormat="1" ht="24">
      <c r="A90" s="882">
        <v>30</v>
      </c>
      <c r="B90" s="3324"/>
      <c r="C90" s="818" t="s">
        <v>674</v>
      </c>
      <c r="D90" s="818" t="s">
        <v>675</v>
      </c>
      <c r="E90" s="895">
        <v>0.2</v>
      </c>
      <c r="F90" s="882">
        <v>30</v>
      </c>
    </row>
    <row r="91" spans="1:6" s="878" customFormat="1" ht="36">
      <c r="A91" s="882">
        <v>31</v>
      </c>
      <c r="B91" s="3324"/>
      <c r="C91" s="818" t="s">
        <v>676</v>
      </c>
      <c r="D91" s="818" t="s">
        <v>677</v>
      </c>
      <c r="E91" s="895">
        <v>0.2</v>
      </c>
      <c r="F91" s="882">
        <v>30</v>
      </c>
    </row>
    <row r="92" spans="1:6" s="878" customFormat="1" ht="24">
      <c r="A92" s="882">
        <v>32</v>
      </c>
      <c r="B92" s="3324" t="s">
        <v>678</v>
      </c>
      <c r="C92" s="882" t="s">
        <v>679</v>
      </c>
      <c r="D92" s="818" t="s">
        <v>680</v>
      </c>
      <c r="E92" s="895">
        <v>0.2</v>
      </c>
      <c r="F92" s="882">
        <v>30</v>
      </c>
    </row>
    <row r="93" spans="1:6" s="878" customFormat="1" ht="36">
      <c r="A93" s="882">
        <v>33</v>
      </c>
      <c r="B93" s="3324"/>
      <c r="C93" s="882" t="s">
        <v>681</v>
      </c>
      <c r="D93" s="818" t="s">
        <v>682</v>
      </c>
      <c r="E93" s="895">
        <v>0.2</v>
      </c>
      <c r="F93" s="882">
        <v>30</v>
      </c>
    </row>
    <row r="94" spans="1:6" s="878" customFormat="1" ht="48">
      <c r="A94" s="882">
        <v>34</v>
      </c>
      <c r="B94" s="3324"/>
      <c r="C94" s="882" t="s">
        <v>683</v>
      </c>
      <c r="D94" s="818" t="s">
        <v>684</v>
      </c>
      <c r="E94" s="895">
        <v>0.2</v>
      </c>
      <c r="F94" s="882">
        <v>30</v>
      </c>
    </row>
    <row r="95" spans="1:6" s="878" customFormat="1" ht="36">
      <c r="A95" s="882">
        <v>35</v>
      </c>
      <c r="B95" s="3324"/>
      <c r="C95" s="882" t="s">
        <v>685</v>
      </c>
      <c r="D95" s="818" t="s">
        <v>686</v>
      </c>
      <c r="E95" s="895">
        <v>0.2</v>
      </c>
      <c r="F95" s="882">
        <v>30</v>
      </c>
    </row>
    <row r="96" spans="1:6" s="878" customFormat="1" ht="48">
      <c r="A96" s="882">
        <v>36</v>
      </c>
      <c r="B96" s="3324"/>
      <c r="C96" s="818" t="s">
        <v>687</v>
      </c>
      <c r="D96" s="818" t="s">
        <v>688</v>
      </c>
      <c r="E96" s="895">
        <v>0.2</v>
      </c>
      <c r="F96" s="882">
        <v>30</v>
      </c>
    </row>
    <row r="97" spans="1:6" s="878" customFormat="1" ht="36">
      <c r="A97" s="882">
        <v>37</v>
      </c>
      <c r="B97" s="3324"/>
      <c r="C97" s="882" t="s">
        <v>689</v>
      </c>
      <c r="D97" s="818" t="s">
        <v>690</v>
      </c>
      <c r="E97" s="895">
        <v>0.2</v>
      </c>
      <c r="F97" s="882">
        <v>30</v>
      </c>
    </row>
    <row r="98" spans="1:6" s="878" customFormat="1" ht="36">
      <c r="A98" s="882">
        <v>38</v>
      </c>
      <c r="B98" s="3324"/>
      <c r="C98" s="882" t="s">
        <v>691</v>
      </c>
      <c r="D98" s="818" t="s">
        <v>692</v>
      </c>
      <c r="E98" s="895">
        <v>0.2</v>
      </c>
      <c r="F98" s="882">
        <v>30</v>
      </c>
    </row>
    <row r="99" spans="1:6" s="878" customFormat="1" ht="36">
      <c r="A99" s="882">
        <v>39</v>
      </c>
      <c r="B99" s="3324" t="s">
        <v>693</v>
      </c>
      <c r="C99" s="882" t="s">
        <v>694</v>
      </c>
      <c r="D99" s="818" t="s">
        <v>695</v>
      </c>
      <c r="E99" s="895">
        <v>0.3</v>
      </c>
      <c r="F99" s="882">
        <v>50</v>
      </c>
    </row>
    <row r="100" spans="1:6" s="878" customFormat="1" ht="24">
      <c r="A100" s="882">
        <v>40</v>
      </c>
      <c r="B100" s="3324"/>
      <c r="C100" s="882" t="s">
        <v>696</v>
      </c>
      <c r="D100" s="818" t="s">
        <v>697</v>
      </c>
      <c r="E100" s="895">
        <v>0.2</v>
      </c>
      <c r="F100" s="882">
        <v>30</v>
      </c>
    </row>
    <row r="101" spans="1:6" s="878" customFormat="1" ht="36">
      <c r="A101" s="882">
        <v>41</v>
      </c>
      <c r="B101" s="332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4" t="s">
        <v>708</v>
      </c>
      <c r="C105" s="882" t="s">
        <v>709</v>
      </c>
      <c r="D105" s="818" t="s">
        <v>710</v>
      </c>
      <c r="E105" s="895">
        <v>0.2</v>
      </c>
      <c r="F105" s="882">
        <v>30</v>
      </c>
    </row>
    <row r="106" spans="1:6" s="878" customFormat="1" ht="36">
      <c r="A106" s="882">
        <v>46</v>
      </c>
      <c r="B106" s="3324"/>
      <c r="C106" s="882" t="s">
        <v>711</v>
      </c>
      <c r="D106" s="818" t="s">
        <v>712</v>
      </c>
      <c r="E106" s="895">
        <v>0.2</v>
      </c>
      <c r="F106" s="882">
        <v>30</v>
      </c>
    </row>
    <row r="107" spans="1:6" s="878" customFormat="1" ht="36">
      <c r="A107" s="882">
        <v>47</v>
      </c>
      <c r="B107" s="3324" t="s">
        <v>713</v>
      </c>
      <c r="C107" s="882" t="s">
        <v>714</v>
      </c>
      <c r="D107" s="818" t="s">
        <v>715</v>
      </c>
      <c r="E107" s="895">
        <v>0.3</v>
      </c>
      <c r="F107" s="882">
        <v>50</v>
      </c>
    </row>
    <row r="108" spans="1:6" s="878" customFormat="1" ht="36">
      <c r="A108" s="882">
        <v>48</v>
      </c>
      <c r="B108" s="332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4" t="s">
        <v>724</v>
      </c>
      <c r="C111" s="882" t="s">
        <v>725</v>
      </c>
      <c r="D111" s="818" t="s">
        <v>726</v>
      </c>
      <c r="E111" s="895">
        <v>0.2</v>
      </c>
      <c r="F111" s="882">
        <v>30</v>
      </c>
    </row>
    <row r="112" spans="1:6" s="878" customFormat="1" ht="24">
      <c r="A112" s="882">
        <v>52</v>
      </c>
      <c r="B112" s="3324"/>
      <c r="C112" s="882" t="s">
        <v>727</v>
      </c>
      <c r="D112" s="818" t="s">
        <v>728</v>
      </c>
      <c r="E112" s="895">
        <v>0.2</v>
      </c>
      <c r="F112" s="882">
        <v>30</v>
      </c>
    </row>
    <row r="113" spans="1:6" s="878" customFormat="1" ht="24">
      <c r="A113" s="882">
        <v>53</v>
      </c>
      <c r="B113" s="332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4" t="s">
        <v>737</v>
      </c>
      <c r="C116" s="882" t="s">
        <v>738</v>
      </c>
      <c r="D116" s="818" t="s">
        <v>739</v>
      </c>
      <c r="E116" s="895">
        <v>0.2</v>
      </c>
      <c r="F116" s="882">
        <v>30</v>
      </c>
    </row>
    <row r="117" spans="1:6" ht="36">
      <c r="A117" s="882">
        <v>57</v>
      </c>
      <c r="B117" s="332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2999</v>
      </c>
    </row>
    <row r="2" spans="1:5" ht="15.75">
      <c r="A2" s="2913" t="s">
        <v>2991</v>
      </c>
      <c r="B2" s="2914">
        <f ca="1">SUMIF(B6:B13,"&lt;&gt;#ref!",B6:B13)</f>
        <v>3001</v>
      </c>
      <c r="C2" s="2913" t="s">
        <v>2992</v>
      </c>
      <c r="D2" s="2913" t="s">
        <v>2993</v>
      </c>
      <c r="E2" s="2914" t="e">
        <f ca="1">SUM(E6:E13)</f>
        <v>#REF!</v>
      </c>
    </row>
    <row r="3" spans="1:5" ht="15.75">
      <c r="A3" s="2913" t="s">
        <v>2994</v>
      </c>
      <c r="B3" s="2914" t="e">
        <f ca="1">ROUND(B2*10000/E2,0)</f>
        <v>#REF!</v>
      </c>
      <c r="C3" s="2913" t="s">
        <v>3000</v>
      </c>
      <c r="D3" s="2915"/>
      <c r="E3" s="2915"/>
    </row>
    <row r="4" spans="1:5" ht="15.75">
      <c r="A4" s="2916"/>
      <c r="B4" s="2915"/>
      <c r="C4" s="2915"/>
      <c r="D4" s="2915"/>
      <c r="E4" s="2915"/>
    </row>
    <row r="5" spans="1:5" ht="28.5">
      <c r="A5" s="2917" t="s">
        <v>2995</v>
      </c>
      <c r="B5" s="2913" t="s">
        <v>2996</v>
      </c>
      <c r="C5" s="2914"/>
      <c r="D5" s="2915"/>
      <c r="E5" s="2913" t="s">
        <v>2997</v>
      </c>
    </row>
    <row r="6" spans="1:5" ht="15.75">
      <c r="A6" s="2918" t="s">
        <v>2998</v>
      </c>
      <c r="B6" s="2914">
        <f ca="1">SUMIF(INDIRECT("'"&amp;A6&amp;"'"&amp;"!A:A"),"总价",INDIRECT("'"&amp;A6&amp;"'"&amp;"!B:B"))</f>
        <v>3001</v>
      </c>
      <c r="C6" s="2913" t="s">
        <v>2992</v>
      </c>
      <c r="D6" s="2915"/>
      <c r="E6" s="2578">
        <f ca="1">SUMIF(INDIRECT("'"&amp;A6&amp;"'"&amp;"!C:C"),"建筑面积",INDIRECT("'"&amp;A6&amp;"'"&amp;"!D:D"))</f>
        <v>21214.79</v>
      </c>
    </row>
    <row r="7" spans="1:5" ht="15.75">
      <c r="A7" s="2918"/>
      <c r="B7" s="2914" t="e">
        <f ca="1">SUMIF(INDIRECT("'"&amp;A7&amp;"'"&amp;"!A:A"),"总价",INDIRECT("'"&amp;A7&amp;"'"&amp;"!B:B"))</f>
        <v>#REF!</v>
      </c>
      <c r="C7" s="2913" t="s">
        <v>2992</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2992</v>
      </c>
      <c r="D8" s="2915"/>
      <c r="E8" s="2578" t="e">
        <f t="shared" ca="1" si="0"/>
        <v>#REF!</v>
      </c>
    </row>
    <row r="9" spans="1:5" ht="15.75">
      <c r="A9" s="2918"/>
      <c r="B9" s="2914" t="e">
        <f t="shared" ca="1" si="1"/>
        <v>#REF!</v>
      </c>
      <c r="C9" s="2913" t="s">
        <v>2992</v>
      </c>
      <c r="D9" s="2915"/>
      <c r="E9" s="2578" t="e">
        <f t="shared" ca="1" si="0"/>
        <v>#REF!</v>
      </c>
    </row>
    <row r="10" spans="1:5" ht="15.75">
      <c r="A10" s="2918"/>
      <c r="B10" s="2914" t="e">
        <f t="shared" ca="1" si="1"/>
        <v>#REF!</v>
      </c>
      <c r="C10" s="2913" t="s">
        <v>2992</v>
      </c>
      <c r="D10" s="2915"/>
      <c r="E10" s="2578" t="e">
        <f t="shared" ca="1" si="0"/>
        <v>#REF!</v>
      </c>
    </row>
    <row r="11" spans="1:5" ht="15.75">
      <c r="A11" s="2918"/>
      <c r="B11" s="2914" t="e">
        <f t="shared" ca="1" si="1"/>
        <v>#REF!</v>
      </c>
      <c r="C11" s="2913" t="s">
        <v>2992</v>
      </c>
      <c r="D11" s="2915"/>
      <c r="E11" s="2578" t="e">
        <f t="shared" ca="1" si="0"/>
        <v>#REF!</v>
      </c>
    </row>
    <row r="12" spans="1:5" ht="15.75">
      <c r="A12" s="2918"/>
      <c r="B12" s="2914" t="e">
        <f t="shared" ca="1" si="1"/>
        <v>#REF!</v>
      </c>
      <c r="C12" s="2913" t="s">
        <v>2992</v>
      </c>
      <c r="D12" s="2915"/>
      <c r="E12" s="2578" t="e">
        <f t="shared" ca="1" si="0"/>
        <v>#REF!</v>
      </c>
    </row>
    <row r="13" spans="1:5" ht="15.75">
      <c r="A13" s="2918"/>
      <c r="B13" s="2914" t="e">
        <f t="shared" ca="1" si="1"/>
        <v>#REF!</v>
      </c>
      <c r="C13" s="2913" t="s">
        <v>2992</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0" t="s">
        <v>1150</v>
      </c>
      <c r="C1" s="3330"/>
      <c r="D1" s="3330"/>
      <c r="E1" s="3330"/>
      <c r="F1" s="3330"/>
      <c r="G1" s="3326" t="s">
        <v>1151</v>
      </c>
      <c r="H1" s="3326"/>
      <c r="I1" s="3326"/>
      <c r="J1" s="3326"/>
      <c r="K1" s="3326"/>
      <c r="L1" s="3326"/>
      <c r="N1" s="3326" t="s">
        <v>1152</v>
      </c>
      <c r="O1" s="3326"/>
      <c r="P1" s="3326"/>
      <c r="Q1" s="3326"/>
      <c r="R1" s="1449"/>
      <c r="S1" s="3326" t="s">
        <v>1153</v>
      </c>
      <c r="T1" s="3326"/>
      <c r="U1" s="3326"/>
      <c r="V1" s="3326"/>
      <c r="X1" s="3325" t="s">
        <v>1154</v>
      </c>
      <c r="Y1" s="3326"/>
      <c r="Z1" s="3326"/>
      <c r="AA1" s="3326"/>
      <c r="AB1" s="3326"/>
      <c r="AD1" s="3325" t="s">
        <v>1155</v>
      </c>
      <c r="AE1" s="3326"/>
      <c r="AF1" s="3326"/>
      <c r="AG1" s="3326"/>
      <c r="AH1" s="332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3038</v>
      </c>
      <c r="B3" s="2933"/>
      <c r="C3" s="2933"/>
      <c r="D3" s="2934"/>
      <c r="E3" s="2934"/>
      <c r="F3" s="2933"/>
      <c r="G3" s="2935"/>
      <c r="H3" s="2936"/>
      <c r="I3" s="2937">
        <f>ROUND(AVERAGE($I6:$I21),2)</f>
        <v>2.4500000000000002</v>
      </c>
      <c r="J3" s="2937">
        <f>ROUND(AVERAGE($J6:$J21),2)</f>
        <v>1.65</v>
      </c>
      <c r="K3" s="2937">
        <f>ROUND(AVERAGE($K6:$K21),2)</f>
        <v>2.71</v>
      </c>
      <c r="L3" s="2937">
        <f>ROUND(AVERAGE($L6:$L21),2)</f>
        <v>1.39</v>
      </c>
      <c r="N3" s="2935"/>
      <c r="O3" s="2938"/>
      <c r="P3" s="2938"/>
      <c r="Q3" s="2938"/>
      <c r="R3" s="2938"/>
      <c r="S3" s="2935"/>
      <c r="T3" s="2938"/>
      <c r="U3" s="2938"/>
      <c r="V3" s="2938"/>
      <c r="W3" s="2930"/>
      <c r="X3" s="2939">
        <f>ROUND(SUMPRODUCT(PRODUCT(1+N3:N$20)),4)</f>
        <v>1.4274</v>
      </c>
      <c r="Y3" s="2939">
        <f>ROUND(SUMPRODUCT(PRODUCT(1+O3:O$20)),4)</f>
        <v>1.2685</v>
      </c>
      <c r="Z3" s="2939">
        <f t="shared" ref="Z3:Z18" si="0">Y3</f>
        <v>1.2685</v>
      </c>
      <c r="AA3" s="2939">
        <f>ROUND(SUMPRODUCT(PRODUCT(1+P3:P$20)),4)</f>
        <v>1.4825999999999999</v>
      </c>
      <c r="AB3" s="2939">
        <f>ROUND(SUMPRODUCT(PRODUCT(1+Q3:Q$20)),4)</f>
        <v>1.2309000000000001</v>
      </c>
      <c r="AD3" s="2940">
        <f>ROUND(AVERAGE(I3:I$21)/100,4)</f>
        <v>2.3099999999999999E-2</v>
      </c>
      <c r="AE3" s="2940">
        <f>ROUND(AVERAGE(J3:J$21)/100,4)</f>
        <v>1.5599999999999999E-2</v>
      </c>
      <c r="AF3" s="2940">
        <f t="shared" ref="AF3:AF19" si="1">AE3</f>
        <v>1.5599999999999999E-2</v>
      </c>
      <c r="AG3" s="2940">
        <f>ROUND(AVERAGE(K3:K$21)/100,4)</f>
        <v>2.5600000000000001E-2</v>
      </c>
      <c r="AH3" s="2940">
        <f>ROUND(AVERAGE(L3:L$21)/100,4)</f>
        <v>1.32E-2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3037</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9">
        <v>2018</v>
      </c>
      <c r="H5" s="1733">
        <v>1</v>
      </c>
      <c r="I5" s="2927">
        <v>0</v>
      </c>
      <c r="J5" s="2927">
        <v>0</v>
      </c>
      <c r="K5" s="2927">
        <v>0</v>
      </c>
      <c r="L5" s="2927">
        <v>0</v>
      </c>
      <c r="N5" s="1470">
        <f t="shared" ref="N5:N10" si="7">I5/100</f>
        <v>0</v>
      </c>
      <c r="O5" s="1470">
        <f t="shared" ref="O5" si="8">J5/100</f>
        <v>0</v>
      </c>
      <c r="P5" s="1470">
        <f t="shared" ref="P5" si="9">K5/100</f>
        <v>0</v>
      </c>
      <c r="Q5" s="1470">
        <f t="shared" ref="Q5" si="10">L5/100</f>
        <v>0</v>
      </c>
      <c r="R5" s="1735"/>
      <c r="S5" s="1736"/>
      <c r="T5" s="1735"/>
      <c r="U5" s="1735"/>
      <c r="V5" s="1735"/>
      <c r="W5" s="2931" t="s">
        <v>3039</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9">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5"/>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4"/>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5"/>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331">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28"/>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28"/>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29"/>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27">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28"/>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28"/>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29"/>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27">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28"/>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28"/>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29"/>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32">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33"/>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33"/>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34"/>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27">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28"/>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28"/>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29"/>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27">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28">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28">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29">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27">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28">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28">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29">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27">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28">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28">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29">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27">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28">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28">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29">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27">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28">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28">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29">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27">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28">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28">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29">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27">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28">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28">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29">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27">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28">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28">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29">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27">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28">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28">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29">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27">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28">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28">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29">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30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3"/>
      <c r="C2" s="3023"/>
      <c r="D2" s="3023"/>
      <c r="E2" s="3023"/>
    </row>
    <row r="3" spans="1:5" ht="18">
      <c r="A3" s="3024" t="str">
        <f>IF(项目基本情况!B9="房地产市场价值","估价结果一览表（市场价值不需“结果表-1”）","估价结果一览表")</f>
        <v>估价结果一览表</v>
      </c>
      <c r="B3" s="3024"/>
      <c r="C3" s="3024"/>
      <c r="D3" s="3024"/>
      <c r="E3" s="3024"/>
    </row>
    <row r="4" spans="1:5" ht="19.5" thickBot="1">
      <c r="A4" s="1964"/>
      <c r="B4" s="3022" t="s">
        <v>1631</v>
      </c>
      <c r="C4" s="3022"/>
      <c r="D4" s="3022"/>
      <c r="E4" s="1964"/>
    </row>
    <row r="5" spans="1:5" ht="16.5" thickTop="1">
      <c r="A5" s="1962"/>
      <c r="B5" s="3020" t="s">
        <v>1623</v>
      </c>
      <c r="C5" s="1965" t="s">
        <v>1624</v>
      </c>
      <c r="D5" s="1043">
        <f ca="1">结果表!H101</f>
        <v>47967</v>
      </c>
      <c r="E5" s="1962"/>
    </row>
    <row r="6" spans="1:5" ht="15.75">
      <c r="A6" s="1962"/>
      <c r="B6" s="3020"/>
      <c r="C6" s="1965" t="s">
        <v>1625</v>
      </c>
      <c r="D6" s="1043" t="str">
        <f ca="1">NUMBERSTRING(INT(D5*10000),2)&amp;"元整"</f>
        <v>肆亿柒仟玖佰陆拾柒万元整</v>
      </c>
      <c r="E6" s="1962"/>
    </row>
    <row r="7" spans="1:5" ht="15.75">
      <c r="A7" s="1962"/>
      <c r="B7" s="3025"/>
      <c r="C7" s="1966" t="s">
        <v>1626</v>
      </c>
      <c r="D7" s="1044">
        <f ca="1">结果表!H102</f>
        <v>22610</v>
      </c>
      <c r="E7" s="1962"/>
    </row>
    <row r="8" spans="1:5" ht="15.75">
      <c r="A8" s="1962"/>
      <c r="B8" s="3026" t="str">
        <f>结果表!E103</f>
        <v>2.估价师知悉的法定优先受偿款</v>
      </c>
      <c r="C8" s="1967" t="s">
        <v>1627</v>
      </c>
      <c r="D8" s="1044">
        <f>结果表!H103</f>
        <v>0</v>
      </c>
      <c r="E8" s="1962"/>
    </row>
    <row r="9" spans="1:5" ht="15.75">
      <c r="A9" s="1962"/>
      <c r="B9" s="3028"/>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3019" t="str">
        <f>结果表!E107</f>
        <v>3.房地产抵押价值</v>
      </c>
      <c r="C13" s="1970" t="s">
        <v>1624</v>
      </c>
      <c r="D13" s="1046">
        <f ca="1">结果表!H107</f>
        <v>47967</v>
      </c>
      <c r="E13" s="1962"/>
    </row>
    <row r="14" spans="1:5" ht="15.75">
      <c r="A14" s="1962"/>
      <c r="B14" s="3020"/>
      <c r="C14" s="1965" t="s">
        <v>1625</v>
      </c>
      <c r="D14" s="1043" t="str">
        <f ca="1">NUMBERSTRING(INT(D13*10000),2)&amp;"元整"</f>
        <v>肆亿柒仟玖佰陆拾柒万元整</v>
      </c>
      <c r="E14" s="1962"/>
    </row>
    <row r="15" spans="1:5" ht="15">
      <c r="A15" s="1962"/>
      <c r="B15" s="3025"/>
      <c r="C15" s="1966" t="s">
        <v>1635</v>
      </c>
      <c r="D15" s="1055">
        <f ca="1">结果表!H108</f>
        <v>22610</v>
      </c>
      <c r="E15" s="1962"/>
    </row>
    <row r="16" spans="1:5" ht="15">
      <c r="A16" s="1962"/>
      <c r="B16" s="3026" t="str">
        <f>结果表!E109</f>
        <v>——</v>
      </c>
      <c r="C16" s="1970" t="s">
        <v>1636</v>
      </c>
      <c r="D16" s="1971" t="str">
        <f>结果表!H109</f>
        <v>——</v>
      </c>
      <c r="E16" s="1962"/>
    </row>
    <row r="17" spans="1:5" ht="15.75">
      <c r="A17" s="1962"/>
      <c r="B17" s="3027"/>
      <c r="C17" s="1965" t="s">
        <v>1637</v>
      </c>
      <c r="D17" s="1043" t="e">
        <f>NUMBERSTRING(INT(D16*10000),2)&amp;"元整"</f>
        <v>#VALUE!</v>
      </c>
      <c r="E17" s="1962"/>
    </row>
    <row r="18" spans="1:5" ht="15">
      <c r="A18" s="1962"/>
      <c r="B18" s="3028"/>
      <c r="C18" s="1966" t="s">
        <v>1626</v>
      </c>
      <c r="D18" s="1055" t="str">
        <f>结果表!H110</f>
        <v>——</v>
      </c>
      <c r="E18" s="1962"/>
    </row>
    <row r="19" spans="1:5" ht="15.75">
      <c r="A19" s="1962"/>
      <c r="B19" s="3019" t="str">
        <f>结果表!E111</f>
        <v>——</v>
      </c>
      <c r="C19" s="1970" t="s">
        <v>1624</v>
      </c>
      <c r="D19" s="1044" t="str">
        <f>结果表!H111</f>
        <v>——</v>
      </c>
      <c r="E19" s="1962"/>
    </row>
    <row r="20" spans="1:5" ht="15.75">
      <c r="A20" s="1962"/>
      <c r="B20" s="3020"/>
      <c r="C20" s="1965" t="s">
        <v>1637</v>
      </c>
      <c r="D20" s="1043" t="e">
        <f>NUMBERSTRING(INT(D19*10000),2)&amp;"元整"</f>
        <v>#VALUE!</v>
      </c>
      <c r="E20" s="1962"/>
    </row>
    <row r="21" spans="1:5" ht="15.75" thickBot="1">
      <c r="A21" s="1962"/>
      <c r="B21" s="3021"/>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336" t="s">
        <v>3002</v>
      </c>
      <c r="D1" s="3337"/>
      <c r="E1" s="3337"/>
      <c r="F1" s="3337"/>
      <c r="G1" s="3337"/>
      <c r="H1" s="3337"/>
      <c r="I1" s="3337"/>
      <c r="J1" s="3337"/>
      <c r="K1" s="3337"/>
      <c r="L1" s="3337"/>
      <c r="M1" s="3337"/>
      <c r="N1" s="3337"/>
      <c r="O1" s="3337"/>
      <c r="P1" s="3337"/>
      <c r="Q1" s="3337"/>
      <c r="R1" s="3337"/>
      <c r="S1" s="3338"/>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3011</v>
      </c>
      <c r="B17" s="2920"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3013</v>
      </c>
      <c r="E19" s="1795"/>
      <c r="F19" s="1795"/>
      <c r="G19" s="1795"/>
      <c r="H19" s="1283"/>
      <c r="I19" s="168"/>
      <c r="J19" s="168"/>
      <c r="K19" s="168"/>
      <c r="L19" s="168"/>
      <c r="M19" s="168"/>
      <c r="N19" s="168"/>
      <c r="O19" s="168"/>
      <c r="P19" s="168"/>
      <c r="Q19" s="168"/>
      <c r="R19" s="788"/>
      <c r="S19" s="138"/>
    </row>
    <row r="20" spans="1:45" ht="16.5" thickBot="1">
      <c r="A20" s="715" t="s">
        <v>3014</v>
      </c>
      <c r="B20" s="338" t="e">
        <f ca="1">IF(D20="——",S22,S22-F20)</f>
        <v>#REF!</v>
      </c>
      <c r="C20" s="168"/>
      <c r="D20" s="2922" t="s">
        <v>3015</v>
      </c>
      <c r="E20" s="1796"/>
      <c r="F20" s="1207" t="e">
        <f ca="1">SUMIF(INDIRECT("'"&amp;H20&amp;"'"&amp;"!A:A"),"承租人权益价值",INDIRECT("'"&amp;H20&amp;"'"&amp;"!c:c"))</f>
        <v>#REF!</v>
      </c>
      <c r="G20" s="1207" t="s">
        <v>3016</v>
      </c>
      <c r="H20" s="2923"/>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19" t="s">
        <v>33</v>
      </c>
      <c r="D22" s="3120"/>
      <c r="E22" s="3120"/>
      <c r="F22" s="3120"/>
      <c r="G22" s="3120"/>
      <c r="H22" s="3120"/>
      <c r="I22" s="3120"/>
      <c r="J22" s="3120"/>
      <c r="K22" s="3120"/>
      <c r="L22" s="3120"/>
      <c r="M22" s="3120"/>
      <c r="N22" s="3120"/>
      <c r="O22" s="3120"/>
      <c r="P22" s="3120"/>
      <c r="Q22" s="3335"/>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38835</v>
      </c>
      <c r="C2" s="2" t="s">
        <v>133</v>
      </c>
      <c r="D2" s="243"/>
      <c r="E2" s="243"/>
      <c r="F2" s="243"/>
      <c r="G2" s="243"/>
    </row>
    <row r="3" spans="1:7" s="244" customFormat="1" ht="18" customHeight="1" thickBot="1">
      <c r="A3" s="247" t="s">
        <v>85</v>
      </c>
      <c r="B3" s="248">
        <f ca="1">ROUND(B2*10000/'数据-汇总表'!E3,0)</f>
        <v>18306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403</v>
      </c>
      <c r="D10" s="1035">
        <f>'数据-汇总表'!E6</f>
        <v>21214.79</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424</v>
      </c>
      <c r="D19" s="1039">
        <f>'数据-汇总表'!E3</f>
        <v>21214.79</v>
      </c>
      <c r="E19" s="255">
        <f>'数据-取费表'!B31</f>
        <v>200</v>
      </c>
      <c r="F19" s="275"/>
      <c r="G19" s="1" t="s">
        <v>1074</v>
      </c>
    </row>
    <row r="20" spans="1:7" s="258" customFormat="1" ht="13.5" customHeight="1">
      <c r="A20" s="951" t="s">
        <v>1057</v>
      </c>
      <c r="B20" s="254" t="s">
        <v>104</v>
      </c>
      <c r="C20" s="276">
        <f>ROUND((C5+C19)*F20,0)</f>
        <v>421</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2065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4291</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4291</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30144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6524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5728</v>
      </c>
      <c r="D34" s="261"/>
      <c r="E34" s="264"/>
      <c r="F34" s="301">
        <f>IF('数据-取费表'!B24=0,1,'数据-取费表'!N16)</f>
        <v>1</v>
      </c>
      <c r="G34" s="263" t="s">
        <v>116</v>
      </c>
    </row>
    <row r="35" spans="1:7" ht="13.5" customHeight="1">
      <c r="A35" s="954" t="s">
        <v>796</v>
      </c>
      <c r="B35" s="259" t="s">
        <v>60</v>
      </c>
      <c r="C35" s="264">
        <f>ROUND(C34*F35,0)</f>
        <v>286</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424</v>
      </c>
      <c r="D37" s="261">
        <f>'数据-汇总表'!E3</f>
        <v>21214.79</v>
      </c>
      <c r="E37" s="293">
        <f>'数据-取费表'!B35</f>
        <v>200</v>
      </c>
      <c r="F37" s="303"/>
      <c r="G37" s="305" t="s">
        <v>119</v>
      </c>
    </row>
    <row r="38" spans="1:7" ht="13.5" customHeight="1">
      <c r="A38" s="954" t="s">
        <v>799</v>
      </c>
      <c r="B38" s="259" t="s">
        <v>63</v>
      </c>
      <c r="C38" s="264">
        <f>ROUND(C34*F38,0)</f>
        <v>86</v>
      </c>
      <c r="D38" s="264"/>
      <c r="E38" s="264"/>
      <c r="F38" s="303">
        <f>'数据-取费表'!B36</f>
        <v>1.4999999999999999E-2</v>
      </c>
      <c r="G38" s="263" t="s">
        <v>117</v>
      </c>
    </row>
    <row r="39" spans="1:7" s="258" customFormat="1" ht="13.5" customHeight="1">
      <c r="A39" s="951" t="s">
        <v>783</v>
      </c>
      <c r="B39" s="254" t="s">
        <v>104</v>
      </c>
      <c r="C39" s="276">
        <f>ROUND(C33*F20,0)</f>
        <v>130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316</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310</v>
      </c>
      <c r="D42" s="282"/>
      <c r="E42" s="282"/>
      <c r="F42" s="283"/>
      <c r="G42" s="3204" t="s">
        <v>121</v>
      </c>
    </row>
    <row r="43" spans="1:7" ht="13.5" customHeight="1">
      <c r="A43" s="954" t="s">
        <v>792</v>
      </c>
      <c r="B43" s="259" t="s">
        <v>1064</v>
      </c>
      <c r="C43" s="282">
        <f ca="1">ROUND(IF('数据-取费表'!B22&lt;=1,C39*F22*'数据-取费表'!B21/2,C39*(POWER((1+F22),'数据-取费表'!B21/2)-1)),0)</f>
        <v>6</v>
      </c>
      <c r="D43" s="282"/>
      <c r="E43" s="282"/>
      <c r="F43" s="283"/>
      <c r="G43" s="3205"/>
    </row>
    <row r="44" spans="1:7" ht="13.5" customHeight="1">
      <c r="A44" s="954" t="s">
        <v>793</v>
      </c>
      <c r="B44" s="259" t="s">
        <v>1066</v>
      </c>
      <c r="C44" s="282">
        <f ca="1">ROUND(IF('数据-取费表'!B22&lt;=1,C40*F22*'数据-取费表'!B21/2,C40*(POWER((1+F22),'数据-取费表'!B21/2)-1)),4)</f>
        <v>1E-3</v>
      </c>
      <c r="D44" s="282"/>
      <c r="E44" s="282"/>
      <c r="F44" s="283"/>
      <c r="G44" s="3206"/>
    </row>
    <row r="45" spans="1:7" s="258" customFormat="1" ht="13.5" customHeight="1">
      <c r="A45" s="951" t="s">
        <v>786</v>
      </c>
      <c r="B45" s="288" t="s">
        <v>112</v>
      </c>
      <c r="C45" s="289">
        <f>C46</f>
        <v>1331</v>
      </c>
      <c r="D45" s="279">
        <f>C47</f>
        <v>4.0000000000000001E-3</v>
      </c>
      <c r="E45" s="280" t="s">
        <v>129</v>
      </c>
      <c r="F45" s="290"/>
      <c r="G45" s="291" t="s">
        <v>1072</v>
      </c>
    </row>
    <row r="46" spans="1:7" s="258" customFormat="1" ht="13.5" customHeight="1">
      <c r="A46" s="954" t="s">
        <v>794</v>
      </c>
      <c r="B46" s="292" t="s">
        <v>1065</v>
      </c>
      <c r="C46" s="293">
        <f>ROUND((C33+C39)*F27,0)</f>
        <v>1331</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8997</v>
      </c>
      <c r="D49" s="276"/>
      <c r="E49" s="276"/>
      <c r="F49" s="308"/>
      <c r="G49" s="278" t="s">
        <v>1073</v>
      </c>
    </row>
    <row r="50" spans="1:7" s="302" customFormat="1" ht="24">
      <c r="A50" s="951" t="s">
        <v>789</v>
      </c>
      <c r="B50" s="254" t="s">
        <v>124</v>
      </c>
      <c r="C50" s="276"/>
      <c r="D50" s="276"/>
      <c r="E50" s="276"/>
      <c r="F50" s="308">
        <f>IF('数据-取费表'!B24=0,'数据-取费表'!N16,1)</f>
        <v>0.96599999999999997</v>
      </c>
      <c r="G50" s="291" t="s">
        <v>125</v>
      </c>
    </row>
    <row r="51" spans="1:7" ht="16.5" customHeight="1">
      <c r="A51" s="951" t="s">
        <v>790</v>
      </c>
      <c r="B51" s="254" t="s">
        <v>132</v>
      </c>
      <c r="C51" s="276">
        <f ca="1">ROUND(C49*F50,0)</f>
        <v>8691</v>
      </c>
      <c r="D51" s="276"/>
      <c r="E51" s="276"/>
      <c r="F51" s="308"/>
      <c r="G51" s="278" t="s">
        <v>64</v>
      </c>
    </row>
    <row r="52" spans="1:7" s="252" customFormat="1" ht="16.5" thickBot="1">
      <c r="A52" s="309" t="s">
        <v>65</v>
      </c>
      <c r="B52" s="310"/>
      <c r="C52" s="311">
        <f ca="1">C31+C51</f>
        <v>38835</v>
      </c>
      <c r="D52" s="310"/>
      <c r="E52" s="310"/>
      <c r="F52" s="310"/>
      <c r="G52" s="312"/>
    </row>
    <row r="55" spans="1:7" ht="15">
      <c r="B55" s="314" t="s">
        <v>66</v>
      </c>
      <c r="C55" s="315"/>
    </row>
    <row r="56" spans="1:7">
      <c r="B56" s="317" t="s">
        <v>67</v>
      </c>
      <c r="C56" s="318">
        <f ca="1">ROUND(C51/C52,3)</f>
        <v>0.224</v>
      </c>
    </row>
    <row r="57" spans="1:7">
      <c r="B57" s="317" t="s">
        <v>68</v>
      </c>
      <c r="C57" s="319">
        <f ca="1">1-C56</f>
        <v>0.77600000000000002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39" t="s">
        <v>156</v>
      </c>
      <c r="B1" s="3339"/>
      <c r="C1" s="3339"/>
      <c r="D1" s="3339"/>
      <c r="E1" s="3339"/>
      <c r="F1" s="333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0" t="s">
        <v>169</v>
      </c>
      <c r="B2" s="3340"/>
      <c r="C2" s="3340"/>
      <c r="D2" s="3340"/>
      <c r="E2" s="3340"/>
      <c r="F2" s="334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9" t="s">
        <v>871</v>
      </c>
      <c r="B1" s="333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43100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2:M45"/>
  <sheetViews>
    <sheetView topLeftCell="G1" workbookViewId="0">
      <selection activeCell="L23" sqref="L23"/>
    </sheetView>
  </sheetViews>
  <sheetFormatPr defaultRowHeight="13.5"/>
  <cols>
    <col min="4" max="4" width="12.125" customWidth="1"/>
    <col min="6" max="6" width="11.5" style="2953" customWidth="1"/>
    <col min="11" max="11" width="20.25" customWidth="1"/>
    <col min="12" max="12" width="17.25" customWidth="1"/>
  </cols>
  <sheetData>
    <row r="12" spans="11:12">
      <c r="K12" s="2955" t="s">
        <v>3113</v>
      </c>
      <c r="L12">
        <f>ROUND(209729841/10000,0)</f>
        <v>20973</v>
      </c>
    </row>
    <row r="13" spans="11:12">
      <c r="K13" s="2955" t="s">
        <v>3114</v>
      </c>
      <c r="L13">
        <f>ROUND((216861590+86607298.38+106908422.19)/10000,0)</f>
        <v>41038</v>
      </c>
    </row>
    <row r="14" spans="11:12">
      <c r="K14" s="2955" t="s">
        <v>3115</v>
      </c>
      <c r="L14">
        <f>ROUND(38199374.48/10000,0)</f>
        <v>3820</v>
      </c>
    </row>
    <row r="15" spans="11:12">
      <c r="L15">
        <f>L12+L13+L14</f>
        <v>65831</v>
      </c>
    </row>
    <row r="18" spans="11:13">
      <c r="K18" s="2952" t="s">
        <v>3068</v>
      </c>
      <c r="L18" s="2953">
        <v>19547.61</v>
      </c>
    </row>
    <row r="19" spans="11:13">
      <c r="K19" s="2952" t="s">
        <v>3069</v>
      </c>
      <c r="L19" s="2962">
        <v>29321</v>
      </c>
      <c r="M19" s="2955" t="s">
        <v>3098</v>
      </c>
    </row>
    <row r="20" spans="11:13">
      <c r="K20" s="2952" t="s">
        <v>3070</v>
      </c>
      <c r="L20" s="2962">
        <f>SUM('数据-基础表'!I13:I17)</f>
        <v>17809.45</v>
      </c>
      <c r="M20" s="2955" t="s">
        <v>3098</v>
      </c>
    </row>
    <row r="21" spans="11:13">
      <c r="K21" s="2952" t="s">
        <v>3071</v>
      </c>
      <c r="L21" s="2953">
        <f>ROUND(L20/L19*L18,2)</f>
        <v>11873.13</v>
      </c>
    </row>
    <row r="39" spans="2:6">
      <c r="C39" s="2953"/>
      <c r="D39" s="2952" t="s">
        <v>3092</v>
      </c>
      <c r="E39" s="2952" t="s">
        <v>3093</v>
      </c>
      <c r="F39" s="2952" t="s">
        <v>3094</v>
      </c>
    </row>
    <row r="40" spans="2:6">
      <c r="B40" s="2952" t="s">
        <v>3085</v>
      </c>
      <c r="C40" s="2952" t="s">
        <v>3086</v>
      </c>
      <c r="D40" s="2953">
        <v>186211590</v>
      </c>
      <c r="E40" s="2953">
        <v>11161.74</v>
      </c>
      <c r="F40" s="2953">
        <f>ROUND(D40/E40,0)</f>
        <v>16683</v>
      </c>
    </row>
    <row r="41" spans="2:6">
      <c r="B41" s="2953"/>
      <c r="C41" s="2952" t="s">
        <v>3087</v>
      </c>
      <c r="D41" s="2953">
        <v>40208960</v>
      </c>
      <c r="E41" s="2953">
        <v>2513.06</v>
      </c>
      <c r="F41" s="2953">
        <f t="shared" ref="F41:F44" si="0">D41/E41</f>
        <v>16000</v>
      </c>
    </row>
    <row r="42" spans="2:6">
      <c r="B42" s="2953"/>
      <c r="C42" s="2952" t="s">
        <v>3088</v>
      </c>
      <c r="D42" s="2953">
        <v>40221920</v>
      </c>
      <c r="E42" s="2953">
        <v>2513.87</v>
      </c>
      <c r="F42" s="2953">
        <f t="shared" si="0"/>
        <v>16000</v>
      </c>
    </row>
    <row r="43" spans="2:6">
      <c r="B43" s="2953"/>
      <c r="C43" s="2952" t="s">
        <v>3089</v>
      </c>
      <c r="D43" s="2953">
        <v>46491610</v>
      </c>
      <c r="E43" s="2953">
        <v>2513.06</v>
      </c>
      <c r="F43" s="2953">
        <f t="shared" si="0"/>
        <v>18500</v>
      </c>
    </row>
    <row r="44" spans="2:6">
      <c r="B44" s="2953"/>
      <c r="C44" s="2952" t="s">
        <v>3090</v>
      </c>
      <c r="D44" s="2953">
        <v>46491610</v>
      </c>
      <c r="E44" s="2953">
        <v>2513.06</v>
      </c>
      <c r="F44" s="2953">
        <f t="shared" si="0"/>
        <v>18500</v>
      </c>
    </row>
    <row r="45" spans="2:6">
      <c r="C45" s="2953"/>
      <c r="D45" s="2953">
        <f>SUM(D40:D44)</f>
        <v>359625690</v>
      </c>
      <c r="E45" s="2953"/>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O40" sqref="O40"/>
    </sheetView>
  </sheetViews>
  <sheetFormatPr defaultRowHeight="13.5"/>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8"/>
  <sheetViews>
    <sheetView workbookViewId="0">
      <selection activeCell="H21" sqref="H21"/>
    </sheetView>
  </sheetViews>
  <sheetFormatPr defaultRowHeight="13.5"/>
  <cols>
    <col min="1" max="1" width="9" style="2953"/>
    <col min="2" max="2" width="30.75" style="2953" customWidth="1"/>
    <col min="3" max="4" width="9" style="2953"/>
    <col min="5" max="5" width="13" style="2953" customWidth="1"/>
    <col min="6" max="6" width="19.625" style="2953" customWidth="1"/>
    <col min="7" max="7" width="14.875" style="2953" customWidth="1"/>
    <col min="10" max="18" width="11.125" style="2953" customWidth="1"/>
  </cols>
  <sheetData>
    <row r="1" spans="1:18" ht="26.25" customHeight="1">
      <c r="A1" s="2965" t="s">
        <v>3258</v>
      </c>
      <c r="B1" s="2965" t="s">
        <v>3259</v>
      </c>
      <c r="C1" s="2965" t="s">
        <v>3261</v>
      </c>
      <c r="D1" s="2965" t="s">
        <v>3260</v>
      </c>
      <c r="E1" s="2966"/>
      <c r="F1" s="2965" t="s">
        <v>3264</v>
      </c>
      <c r="G1" s="2966"/>
      <c r="H1" s="2967" t="s">
        <v>3283</v>
      </c>
      <c r="J1" s="3012" t="s">
        <v>3304</v>
      </c>
      <c r="K1" s="3011" t="s">
        <v>3275</v>
      </c>
      <c r="L1" s="3012" t="s">
        <v>3276</v>
      </c>
      <c r="M1" s="3012" t="s">
        <v>3277</v>
      </c>
      <c r="N1" s="3012" t="s">
        <v>3278</v>
      </c>
      <c r="O1" s="3012" t="s">
        <v>3305</v>
      </c>
      <c r="P1" s="3012" t="s">
        <v>3306</v>
      </c>
      <c r="Q1" s="3012" t="s">
        <v>3307</v>
      </c>
      <c r="R1" s="3012" t="s">
        <v>3308</v>
      </c>
    </row>
    <row r="2" spans="1:18">
      <c r="A2" s="2966">
        <v>1</v>
      </c>
      <c r="B2" s="2965" t="s">
        <v>3262</v>
      </c>
      <c r="C2" s="2966">
        <v>151.49</v>
      </c>
      <c r="D2" s="2966">
        <v>4.5999999999999996</v>
      </c>
      <c r="E2" s="2965" t="s">
        <v>3263</v>
      </c>
      <c r="F2" s="2965" t="s">
        <v>3265</v>
      </c>
      <c r="G2" s="2966"/>
      <c r="H2" s="2966"/>
      <c r="J2" s="2953">
        <v>4.5999999999999996</v>
      </c>
      <c r="K2" s="2953">
        <v>4.5999999999999996</v>
      </c>
      <c r="L2" s="2953">
        <v>4.5999999999999996</v>
      </c>
      <c r="M2" s="2953">
        <v>4.5999999999999996</v>
      </c>
      <c r="N2" s="2953">
        <v>4.5999999999999996</v>
      </c>
      <c r="O2" s="2953">
        <v>4.5999999999999996</v>
      </c>
      <c r="P2" s="2953">
        <v>4.5999999999999996</v>
      </c>
      <c r="Q2" s="2953">
        <v>4.5999999999999996</v>
      </c>
      <c r="R2" s="2953">
        <v>4.5999999999999996</v>
      </c>
    </row>
    <row r="3" spans="1:18">
      <c r="A3" s="2966">
        <v>2</v>
      </c>
      <c r="B3" s="2965" t="s">
        <v>3266</v>
      </c>
      <c r="C3" s="2966">
        <v>53.33</v>
      </c>
      <c r="D3" s="2966">
        <v>4.5999999999999996</v>
      </c>
      <c r="E3" s="2965" t="s">
        <v>3263</v>
      </c>
      <c r="F3" s="2965" t="s">
        <v>3267</v>
      </c>
      <c r="G3" s="2966"/>
      <c r="H3" s="2966"/>
      <c r="J3" s="2953">
        <v>4.5999999999999996</v>
      </c>
      <c r="K3" s="2953">
        <v>4.5999999999999996</v>
      </c>
      <c r="L3" s="2953">
        <v>4.5999999999999996</v>
      </c>
      <c r="M3" s="2953">
        <v>4.5999999999999996</v>
      </c>
      <c r="N3" s="2953">
        <v>4.5999999999999996</v>
      </c>
      <c r="O3" s="2953">
        <v>4.5999999999999996</v>
      </c>
      <c r="P3" s="2953">
        <v>4.5999999999999996</v>
      </c>
      <c r="Q3" s="2953">
        <v>4.5999999999999996</v>
      </c>
      <c r="R3" s="2953">
        <v>4.5999999999999996</v>
      </c>
    </row>
    <row r="4" spans="1:18">
      <c r="A4" s="3344">
        <v>3</v>
      </c>
      <c r="B4" s="3343" t="s">
        <v>3268</v>
      </c>
      <c r="C4" s="3344">
        <v>2513.87</v>
      </c>
      <c r="D4" s="2966">
        <v>3</v>
      </c>
      <c r="E4" s="3343" t="s">
        <v>3270</v>
      </c>
      <c r="F4" s="2965" t="s">
        <v>3269</v>
      </c>
      <c r="G4" s="3343" t="s">
        <v>3271</v>
      </c>
      <c r="H4" s="2966"/>
      <c r="J4" s="3345">
        <v>3</v>
      </c>
    </row>
    <row r="5" spans="1:18">
      <c r="A5" s="3344"/>
      <c r="B5" s="3343"/>
      <c r="C5" s="3344"/>
      <c r="D5" s="2966">
        <v>3</v>
      </c>
      <c r="E5" s="3343"/>
      <c r="F5" s="2965" t="s">
        <v>3309</v>
      </c>
      <c r="G5" s="3343"/>
      <c r="H5" s="2966"/>
      <c r="J5" s="3345"/>
    </row>
    <row r="6" spans="1:18">
      <c r="A6" s="3344"/>
      <c r="B6" s="3343"/>
      <c r="C6" s="3344"/>
      <c r="D6" s="2966">
        <v>3.24</v>
      </c>
      <c r="E6" s="3343"/>
      <c r="F6" s="2965" t="s">
        <v>3310</v>
      </c>
      <c r="G6" s="3343"/>
      <c r="H6" s="2968">
        <v>0.08</v>
      </c>
      <c r="J6" s="3345"/>
    </row>
    <row r="7" spans="1:18">
      <c r="A7" s="3344"/>
      <c r="B7" s="3343"/>
      <c r="C7" s="3344"/>
      <c r="D7" s="2966">
        <v>3.24</v>
      </c>
      <c r="E7" s="3343"/>
      <c r="F7" s="2965" t="s">
        <v>3311</v>
      </c>
      <c r="G7" s="3343"/>
      <c r="H7" s="2968">
        <v>0.08</v>
      </c>
      <c r="J7" s="3345"/>
    </row>
    <row r="8" spans="1:18">
      <c r="A8" s="3344"/>
      <c r="B8" s="3343"/>
      <c r="C8" s="3344"/>
      <c r="D8" s="2966">
        <v>3.56</v>
      </c>
      <c r="E8" s="3343"/>
      <c r="F8" s="2965" t="s">
        <v>3312</v>
      </c>
      <c r="G8" s="3343"/>
      <c r="H8" s="2968">
        <v>0.1</v>
      </c>
      <c r="J8" s="3345"/>
    </row>
    <row r="9" spans="1:18">
      <c r="A9" s="3344">
        <v>4</v>
      </c>
      <c r="B9" s="3343" t="s">
        <v>3272</v>
      </c>
      <c r="C9" s="3344">
        <v>5026.12</v>
      </c>
      <c r="D9" s="2966">
        <v>4</v>
      </c>
      <c r="E9" s="3343" t="s">
        <v>3263</v>
      </c>
      <c r="F9" s="2965" t="s">
        <v>3273</v>
      </c>
      <c r="G9" s="3344"/>
      <c r="H9" s="2966"/>
    </row>
    <row r="10" spans="1:18">
      <c r="A10" s="3344"/>
      <c r="B10" s="3343"/>
      <c r="C10" s="3344"/>
      <c r="D10" s="2966">
        <v>4</v>
      </c>
      <c r="E10" s="3343"/>
      <c r="F10" s="2965" t="s">
        <v>3274</v>
      </c>
      <c r="G10" s="3344"/>
      <c r="H10" s="2966"/>
    </row>
    <row r="11" spans="1:18">
      <c r="A11" s="3344"/>
      <c r="B11" s="3343"/>
      <c r="C11" s="3344"/>
      <c r="D11" s="2966">
        <v>4</v>
      </c>
      <c r="E11" s="3343"/>
      <c r="F11" s="2965" t="s">
        <v>3275</v>
      </c>
      <c r="G11" s="3344"/>
      <c r="H11" s="2966"/>
    </row>
    <row r="12" spans="1:18">
      <c r="A12" s="3344"/>
      <c r="B12" s="3343"/>
      <c r="C12" s="3344"/>
      <c r="D12" s="2966">
        <v>4.32</v>
      </c>
      <c r="E12" s="3343"/>
      <c r="F12" s="2965" t="s">
        <v>3276</v>
      </c>
      <c r="G12" s="3344"/>
      <c r="H12" s="2968">
        <v>0.08</v>
      </c>
    </row>
    <row r="13" spans="1:18">
      <c r="A13" s="3344"/>
      <c r="B13" s="3343"/>
      <c r="C13" s="3344"/>
      <c r="D13" s="2966">
        <v>4.32</v>
      </c>
      <c r="E13" s="3343"/>
      <c r="F13" s="2965" t="s">
        <v>3277</v>
      </c>
      <c r="G13" s="3344"/>
      <c r="H13" s="2968">
        <v>0.08</v>
      </c>
    </row>
    <row r="14" spans="1:18">
      <c r="A14" s="3344"/>
      <c r="B14" s="3343"/>
      <c r="C14" s="3344"/>
      <c r="D14" s="2966">
        <v>4.32</v>
      </c>
      <c r="E14" s="3343"/>
      <c r="F14" s="2965" t="s">
        <v>3278</v>
      </c>
      <c r="G14" s="3344"/>
      <c r="H14" s="2968">
        <v>0.08</v>
      </c>
    </row>
    <row r="15" spans="1:18">
      <c r="A15" s="3344"/>
      <c r="B15" s="3343"/>
      <c r="C15" s="3344"/>
      <c r="D15" s="2966">
        <v>4.67</v>
      </c>
      <c r="E15" s="3343"/>
      <c r="F15" s="2965" t="s">
        <v>3279</v>
      </c>
      <c r="G15" s="3344"/>
      <c r="H15" s="2968">
        <v>0.08</v>
      </c>
    </row>
    <row r="16" spans="1:18">
      <c r="A16" s="3344"/>
      <c r="B16" s="3343"/>
      <c r="C16" s="3344"/>
      <c r="D16" s="2966">
        <v>4.67</v>
      </c>
      <c r="E16" s="3343"/>
      <c r="F16" s="2965" t="s">
        <v>3280</v>
      </c>
      <c r="G16" s="3344"/>
      <c r="H16" s="2968">
        <v>0.08</v>
      </c>
    </row>
    <row r="17" spans="1:8">
      <c r="A17" s="3344"/>
      <c r="B17" s="3343"/>
      <c r="C17" s="3344"/>
      <c r="D17" s="2966">
        <v>4.67</v>
      </c>
      <c r="E17" s="3343"/>
      <c r="F17" s="2965" t="s">
        <v>3281</v>
      </c>
      <c r="G17" s="3344"/>
      <c r="H17" s="2968">
        <v>0.08</v>
      </c>
    </row>
    <row r="18" spans="1:8">
      <c r="A18" s="3344"/>
      <c r="B18" s="3343"/>
      <c r="C18" s="3344"/>
      <c r="D18" s="2966">
        <v>5.04</v>
      </c>
      <c r="E18" s="3343"/>
      <c r="F18" s="2965" t="s">
        <v>3282</v>
      </c>
      <c r="G18" s="3344"/>
      <c r="H18" s="2968">
        <v>0.08</v>
      </c>
    </row>
  </sheetData>
  <mergeCells count="11">
    <mergeCell ref="J4:J8"/>
    <mergeCell ref="C4:C8"/>
    <mergeCell ref="B4:B8"/>
    <mergeCell ref="A4:A8"/>
    <mergeCell ref="G4:G8"/>
    <mergeCell ref="E4:E8"/>
    <mergeCell ref="E9:E18"/>
    <mergeCell ref="C9:C18"/>
    <mergeCell ref="B9:B18"/>
    <mergeCell ref="A9:A18"/>
    <mergeCell ref="G9:G18"/>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G5" sqref="G5"/>
    </sheetView>
  </sheetViews>
  <sheetFormatPr defaultRowHeight="20.25" customHeight="1"/>
  <cols>
    <col min="1" max="1" width="14.25" style="2971" customWidth="1"/>
    <col min="2" max="2" width="18.75" style="2971" customWidth="1"/>
    <col min="3" max="5" width="14.25" style="2971" customWidth="1"/>
    <col min="6" max="6" width="11" style="2971" customWidth="1"/>
    <col min="7" max="7" width="9" style="2971"/>
    <col min="8" max="8" width="13.75" style="2971" customWidth="1"/>
    <col min="9" max="256" width="9" style="2971"/>
    <col min="257" max="257" width="14.25" style="2971" customWidth="1"/>
    <col min="258" max="258" width="18.75" style="2971" customWidth="1"/>
    <col min="259" max="261" width="14.25" style="2971" customWidth="1"/>
    <col min="262" max="262" width="11" style="2971" customWidth="1"/>
    <col min="263" max="263" width="9" style="2971"/>
    <col min="264" max="264" width="13.75" style="2971" customWidth="1"/>
    <col min="265" max="512" width="9" style="2971"/>
    <col min="513" max="513" width="14.25" style="2971" customWidth="1"/>
    <col min="514" max="514" width="18.75" style="2971" customWidth="1"/>
    <col min="515" max="517" width="14.25" style="2971" customWidth="1"/>
    <col min="518" max="518" width="11" style="2971" customWidth="1"/>
    <col min="519" max="519" width="9" style="2971"/>
    <col min="520" max="520" width="13.75" style="2971" customWidth="1"/>
    <col min="521" max="768" width="9" style="2971"/>
    <col min="769" max="769" width="14.25" style="2971" customWidth="1"/>
    <col min="770" max="770" width="18.75" style="2971" customWidth="1"/>
    <col min="771" max="773" width="14.25" style="2971" customWidth="1"/>
    <col min="774" max="774" width="11" style="2971" customWidth="1"/>
    <col min="775" max="775" width="9" style="2971"/>
    <col min="776" max="776" width="13.75" style="2971" customWidth="1"/>
    <col min="777" max="1024" width="9" style="2971"/>
    <col min="1025" max="1025" width="14.25" style="2971" customWidth="1"/>
    <col min="1026" max="1026" width="18.75" style="2971" customWidth="1"/>
    <col min="1027" max="1029" width="14.25" style="2971" customWidth="1"/>
    <col min="1030" max="1030" width="11" style="2971" customWidth="1"/>
    <col min="1031" max="1031" width="9" style="2971"/>
    <col min="1032" max="1032" width="13.75" style="2971" customWidth="1"/>
    <col min="1033" max="1280" width="9" style="2971"/>
    <col min="1281" max="1281" width="14.25" style="2971" customWidth="1"/>
    <col min="1282" max="1282" width="18.75" style="2971" customWidth="1"/>
    <col min="1283" max="1285" width="14.25" style="2971" customWidth="1"/>
    <col min="1286" max="1286" width="11" style="2971" customWidth="1"/>
    <col min="1287" max="1287" width="9" style="2971"/>
    <col min="1288" max="1288" width="13.75" style="2971" customWidth="1"/>
    <col min="1289" max="1536" width="9" style="2971"/>
    <col min="1537" max="1537" width="14.25" style="2971" customWidth="1"/>
    <col min="1538" max="1538" width="18.75" style="2971" customWidth="1"/>
    <col min="1539" max="1541" width="14.25" style="2971" customWidth="1"/>
    <col min="1542" max="1542" width="11" style="2971" customWidth="1"/>
    <col min="1543" max="1543" width="9" style="2971"/>
    <col min="1544" max="1544" width="13.75" style="2971" customWidth="1"/>
    <col min="1545" max="1792" width="9" style="2971"/>
    <col min="1793" max="1793" width="14.25" style="2971" customWidth="1"/>
    <col min="1794" max="1794" width="18.75" style="2971" customWidth="1"/>
    <col min="1795" max="1797" width="14.25" style="2971" customWidth="1"/>
    <col min="1798" max="1798" width="11" style="2971" customWidth="1"/>
    <col min="1799" max="1799" width="9" style="2971"/>
    <col min="1800" max="1800" width="13.75" style="2971" customWidth="1"/>
    <col min="1801" max="2048" width="9" style="2971"/>
    <col min="2049" max="2049" width="14.25" style="2971" customWidth="1"/>
    <col min="2050" max="2050" width="18.75" style="2971" customWidth="1"/>
    <col min="2051" max="2053" width="14.25" style="2971" customWidth="1"/>
    <col min="2054" max="2054" width="11" style="2971" customWidth="1"/>
    <col min="2055" max="2055" width="9" style="2971"/>
    <col min="2056" max="2056" width="13.75" style="2971" customWidth="1"/>
    <col min="2057" max="2304" width="9" style="2971"/>
    <col min="2305" max="2305" width="14.25" style="2971" customWidth="1"/>
    <col min="2306" max="2306" width="18.75" style="2971" customWidth="1"/>
    <col min="2307" max="2309" width="14.25" style="2971" customWidth="1"/>
    <col min="2310" max="2310" width="11" style="2971" customWidth="1"/>
    <col min="2311" max="2311" width="9" style="2971"/>
    <col min="2312" max="2312" width="13.75" style="2971" customWidth="1"/>
    <col min="2313" max="2560" width="9" style="2971"/>
    <col min="2561" max="2561" width="14.25" style="2971" customWidth="1"/>
    <col min="2562" max="2562" width="18.75" style="2971" customWidth="1"/>
    <col min="2563" max="2565" width="14.25" style="2971" customWidth="1"/>
    <col min="2566" max="2566" width="11" style="2971" customWidth="1"/>
    <col min="2567" max="2567" width="9" style="2971"/>
    <col min="2568" max="2568" width="13.75" style="2971" customWidth="1"/>
    <col min="2569" max="2816" width="9" style="2971"/>
    <col min="2817" max="2817" width="14.25" style="2971" customWidth="1"/>
    <col min="2818" max="2818" width="18.75" style="2971" customWidth="1"/>
    <col min="2819" max="2821" width="14.25" style="2971" customWidth="1"/>
    <col min="2822" max="2822" width="11" style="2971" customWidth="1"/>
    <col min="2823" max="2823" width="9" style="2971"/>
    <col min="2824" max="2824" width="13.75" style="2971" customWidth="1"/>
    <col min="2825" max="3072" width="9" style="2971"/>
    <col min="3073" max="3073" width="14.25" style="2971" customWidth="1"/>
    <col min="3074" max="3074" width="18.75" style="2971" customWidth="1"/>
    <col min="3075" max="3077" width="14.25" style="2971" customWidth="1"/>
    <col min="3078" max="3078" width="11" style="2971" customWidth="1"/>
    <col min="3079" max="3079" width="9" style="2971"/>
    <col min="3080" max="3080" width="13.75" style="2971" customWidth="1"/>
    <col min="3081" max="3328" width="9" style="2971"/>
    <col min="3329" max="3329" width="14.25" style="2971" customWidth="1"/>
    <col min="3330" max="3330" width="18.75" style="2971" customWidth="1"/>
    <col min="3331" max="3333" width="14.25" style="2971" customWidth="1"/>
    <col min="3334" max="3334" width="11" style="2971" customWidth="1"/>
    <col min="3335" max="3335" width="9" style="2971"/>
    <col min="3336" max="3336" width="13.75" style="2971" customWidth="1"/>
    <col min="3337" max="3584" width="9" style="2971"/>
    <col min="3585" max="3585" width="14.25" style="2971" customWidth="1"/>
    <col min="3586" max="3586" width="18.75" style="2971" customWidth="1"/>
    <col min="3587" max="3589" width="14.25" style="2971" customWidth="1"/>
    <col min="3590" max="3590" width="11" style="2971" customWidth="1"/>
    <col min="3591" max="3591" width="9" style="2971"/>
    <col min="3592" max="3592" width="13.75" style="2971" customWidth="1"/>
    <col min="3593" max="3840" width="9" style="2971"/>
    <col min="3841" max="3841" width="14.25" style="2971" customWidth="1"/>
    <col min="3842" max="3842" width="18.75" style="2971" customWidth="1"/>
    <col min="3843" max="3845" width="14.25" style="2971" customWidth="1"/>
    <col min="3846" max="3846" width="11" style="2971" customWidth="1"/>
    <col min="3847" max="3847" width="9" style="2971"/>
    <col min="3848" max="3848" width="13.75" style="2971" customWidth="1"/>
    <col min="3849" max="4096" width="9" style="2971"/>
    <col min="4097" max="4097" width="14.25" style="2971" customWidth="1"/>
    <col min="4098" max="4098" width="18.75" style="2971" customWidth="1"/>
    <col min="4099" max="4101" width="14.25" style="2971" customWidth="1"/>
    <col min="4102" max="4102" width="11" style="2971" customWidth="1"/>
    <col min="4103" max="4103" width="9" style="2971"/>
    <col min="4104" max="4104" width="13.75" style="2971" customWidth="1"/>
    <col min="4105" max="4352" width="9" style="2971"/>
    <col min="4353" max="4353" width="14.25" style="2971" customWidth="1"/>
    <col min="4354" max="4354" width="18.75" style="2971" customWidth="1"/>
    <col min="4355" max="4357" width="14.25" style="2971" customWidth="1"/>
    <col min="4358" max="4358" width="11" style="2971" customWidth="1"/>
    <col min="4359" max="4359" width="9" style="2971"/>
    <col min="4360" max="4360" width="13.75" style="2971" customWidth="1"/>
    <col min="4361" max="4608" width="9" style="2971"/>
    <col min="4609" max="4609" width="14.25" style="2971" customWidth="1"/>
    <col min="4610" max="4610" width="18.75" style="2971" customWidth="1"/>
    <col min="4611" max="4613" width="14.25" style="2971" customWidth="1"/>
    <col min="4614" max="4614" width="11" style="2971" customWidth="1"/>
    <col min="4615" max="4615" width="9" style="2971"/>
    <col min="4616" max="4616" width="13.75" style="2971" customWidth="1"/>
    <col min="4617" max="4864" width="9" style="2971"/>
    <col min="4865" max="4865" width="14.25" style="2971" customWidth="1"/>
    <col min="4866" max="4866" width="18.75" style="2971" customWidth="1"/>
    <col min="4867" max="4869" width="14.25" style="2971" customWidth="1"/>
    <col min="4870" max="4870" width="11" style="2971" customWidth="1"/>
    <col min="4871" max="4871" width="9" style="2971"/>
    <col min="4872" max="4872" width="13.75" style="2971" customWidth="1"/>
    <col min="4873" max="5120" width="9" style="2971"/>
    <col min="5121" max="5121" width="14.25" style="2971" customWidth="1"/>
    <col min="5122" max="5122" width="18.75" style="2971" customWidth="1"/>
    <col min="5123" max="5125" width="14.25" style="2971" customWidth="1"/>
    <col min="5126" max="5126" width="11" style="2971" customWidth="1"/>
    <col min="5127" max="5127" width="9" style="2971"/>
    <col min="5128" max="5128" width="13.75" style="2971" customWidth="1"/>
    <col min="5129" max="5376" width="9" style="2971"/>
    <col min="5377" max="5377" width="14.25" style="2971" customWidth="1"/>
    <col min="5378" max="5378" width="18.75" style="2971" customWidth="1"/>
    <col min="5379" max="5381" width="14.25" style="2971" customWidth="1"/>
    <col min="5382" max="5382" width="11" style="2971" customWidth="1"/>
    <col min="5383" max="5383" width="9" style="2971"/>
    <col min="5384" max="5384" width="13.75" style="2971" customWidth="1"/>
    <col min="5385" max="5632" width="9" style="2971"/>
    <col min="5633" max="5633" width="14.25" style="2971" customWidth="1"/>
    <col min="5634" max="5634" width="18.75" style="2971" customWidth="1"/>
    <col min="5635" max="5637" width="14.25" style="2971" customWidth="1"/>
    <col min="5638" max="5638" width="11" style="2971" customWidth="1"/>
    <col min="5639" max="5639" width="9" style="2971"/>
    <col min="5640" max="5640" width="13.75" style="2971" customWidth="1"/>
    <col min="5641" max="5888" width="9" style="2971"/>
    <col min="5889" max="5889" width="14.25" style="2971" customWidth="1"/>
    <col min="5890" max="5890" width="18.75" style="2971" customWidth="1"/>
    <col min="5891" max="5893" width="14.25" style="2971" customWidth="1"/>
    <col min="5894" max="5894" width="11" style="2971" customWidth="1"/>
    <col min="5895" max="5895" width="9" style="2971"/>
    <col min="5896" max="5896" width="13.75" style="2971" customWidth="1"/>
    <col min="5897" max="6144" width="9" style="2971"/>
    <col min="6145" max="6145" width="14.25" style="2971" customWidth="1"/>
    <col min="6146" max="6146" width="18.75" style="2971" customWidth="1"/>
    <col min="6147" max="6149" width="14.25" style="2971" customWidth="1"/>
    <col min="6150" max="6150" width="11" style="2971" customWidth="1"/>
    <col min="6151" max="6151" width="9" style="2971"/>
    <col min="6152" max="6152" width="13.75" style="2971" customWidth="1"/>
    <col min="6153" max="6400" width="9" style="2971"/>
    <col min="6401" max="6401" width="14.25" style="2971" customWidth="1"/>
    <col min="6402" max="6402" width="18.75" style="2971" customWidth="1"/>
    <col min="6403" max="6405" width="14.25" style="2971" customWidth="1"/>
    <col min="6406" max="6406" width="11" style="2971" customWidth="1"/>
    <col min="6407" max="6407" width="9" style="2971"/>
    <col min="6408" max="6408" width="13.75" style="2971" customWidth="1"/>
    <col min="6409" max="6656" width="9" style="2971"/>
    <col min="6657" max="6657" width="14.25" style="2971" customWidth="1"/>
    <col min="6658" max="6658" width="18.75" style="2971" customWidth="1"/>
    <col min="6659" max="6661" width="14.25" style="2971" customWidth="1"/>
    <col min="6662" max="6662" width="11" style="2971" customWidth="1"/>
    <col min="6663" max="6663" width="9" style="2971"/>
    <col min="6664" max="6664" width="13.75" style="2971" customWidth="1"/>
    <col min="6665" max="6912" width="9" style="2971"/>
    <col min="6913" max="6913" width="14.25" style="2971" customWidth="1"/>
    <col min="6914" max="6914" width="18.75" style="2971" customWidth="1"/>
    <col min="6915" max="6917" width="14.25" style="2971" customWidth="1"/>
    <col min="6918" max="6918" width="11" style="2971" customWidth="1"/>
    <col min="6919" max="6919" width="9" style="2971"/>
    <col min="6920" max="6920" width="13.75" style="2971" customWidth="1"/>
    <col min="6921" max="7168" width="9" style="2971"/>
    <col min="7169" max="7169" width="14.25" style="2971" customWidth="1"/>
    <col min="7170" max="7170" width="18.75" style="2971" customWidth="1"/>
    <col min="7171" max="7173" width="14.25" style="2971" customWidth="1"/>
    <col min="7174" max="7174" width="11" style="2971" customWidth="1"/>
    <col min="7175" max="7175" width="9" style="2971"/>
    <col min="7176" max="7176" width="13.75" style="2971" customWidth="1"/>
    <col min="7177" max="7424" width="9" style="2971"/>
    <col min="7425" max="7425" width="14.25" style="2971" customWidth="1"/>
    <col min="7426" max="7426" width="18.75" style="2971" customWidth="1"/>
    <col min="7427" max="7429" width="14.25" style="2971" customWidth="1"/>
    <col min="7430" max="7430" width="11" style="2971" customWidth="1"/>
    <col min="7431" max="7431" width="9" style="2971"/>
    <col min="7432" max="7432" width="13.75" style="2971" customWidth="1"/>
    <col min="7433" max="7680" width="9" style="2971"/>
    <col min="7681" max="7681" width="14.25" style="2971" customWidth="1"/>
    <col min="7682" max="7682" width="18.75" style="2971" customWidth="1"/>
    <col min="7683" max="7685" width="14.25" style="2971" customWidth="1"/>
    <col min="7686" max="7686" width="11" style="2971" customWidth="1"/>
    <col min="7687" max="7687" width="9" style="2971"/>
    <col min="7688" max="7688" width="13.75" style="2971" customWidth="1"/>
    <col min="7689" max="7936" width="9" style="2971"/>
    <col min="7937" max="7937" width="14.25" style="2971" customWidth="1"/>
    <col min="7938" max="7938" width="18.75" style="2971" customWidth="1"/>
    <col min="7939" max="7941" width="14.25" style="2971" customWidth="1"/>
    <col min="7942" max="7942" width="11" style="2971" customWidth="1"/>
    <col min="7943" max="7943" width="9" style="2971"/>
    <col min="7944" max="7944" width="13.75" style="2971" customWidth="1"/>
    <col min="7945" max="8192" width="9" style="2971"/>
    <col min="8193" max="8193" width="14.25" style="2971" customWidth="1"/>
    <col min="8194" max="8194" width="18.75" style="2971" customWidth="1"/>
    <col min="8195" max="8197" width="14.25" style="2971" customWidth="1"/>
    <col min="8198" max="8198" width="11" style="2971" customWidth="1"/>
    <col min="8199" max="8199" width="9" style="2971"/>
    <col min="8200" max="8200" width="13.75" style="2971" customWidth="1"/>
    <col min="8201" max="8448" width="9" style="2971"/>
    <col min="8449" max="8449" width="14.25" style="2971" customWidth="1"/>
    <col min="8450" max="8450" width="18.75" style="2971" customWidth="1"/>
    <col min="8451" max="8453" width="14.25" style="2971" customWidth="1"/>
    <col min="8454" max="8454" width="11" style="2971" customWidth="1"/>
    <col min="8455" max="8455" width="9" style="2971"/>
    <col min="8456" max="8456" width="13.75" style="2971" customWidth="1"/>
    <col min="8457" max="8704" width="9" style="2971"/>
    <col min="8705" max="8705" width="14.25" style="2971" customWidth="1"/>
    <col min="8706" max="8706" width="18.75" style="2971" customWidth="1"/>
    <col min="8707" max="8709" width="14.25" style="2971" customWidth="1"/>
    <col min="8710" max="8710" width="11" style="2971" customWidth="1"/>
    <col min="8711" max="8711" width="9" style="2971"/>
    <col min="8712" max="8712" width="13.75" style="2971" customWidth="1"/>
    <col min="8713" max="8960" width="9" style="2971"/>
    <col min="8961" max="8961" width="14.25" style="2971" customWidth="1"/>
    <col min="8962" max="8962" width="18.75" style="2971" customWidth="1"/>
    <col min="8963" max="8965" width="14.25" style="2971" customWidth="1"/>
    <col min="8966" max="8966" width="11" style="2971" customWidth="1"/>
    <col min="8967" max="8967" width="9" style="2971"/>
    <col min="8968" max="8968" width="13.75" style="2971" customWidth="1"/>
    <col min="8969" max="9216" width="9" style="2971"/>
    <col min="9217" max="9217" width="14.25" style="2971" customWidth="1"/>
    <col min="9218" max="9218" width="18.75" style="2971" customWidth="1"/>
    <col min="9219" max="9221" width="14.25" style="2971" customWidth="1"/>
    <col min="9222" max="9222" width="11" style="2971" customWidth="1"/>
    <col min="9223" max="9223" width="9" style="2971"/>
    <col min="9224" max="9224" width="13.75" style="2971" customWidth="1"/>
    <col min="9225" max="9472" width="9" style="2971"/>
    <col min="9473" max="9473" width="14.25" style="2971" customWidth="1"/>
    <col min="9474" max="9474" width="18.75" style="2971" customWidth="1"/>
    <col min="9475" max="9477" width="14.25" style="2971" customWidth="1"/>
    <col min="9478" max="9478" width="11" style="2971" customWidth="1"/>
    <col min="9479" max="9479" width="9" style="2971"/>
    <col min="9480" max="9480" width="13.75" style="2971" customWidth="1"/>
    <col min="9481" max="9728" width="9" style="2971"/>
    <col min="9729" max="9729" width="14.25" style="2971" customWidth="1"/>
    <col min="9730" max="9730" width="18.75" style="2971" customWidth="1"/>
    <col min="9731" max="9733" width="14.25" style="2971" customWidth="1"/>
    <col min="9734" max="9734" width="11" style="2971" customWidth="1"/>
    <col min="9735" max="9735" width="9" style="2971"/>
    <col min="9736" max="9736" width="13.75" style="2971" customWidth="1"/>
    <col min="9737" max="9984" width="9" style="2971"/>
    <col min="9985" max="9985" width="14.25" style="2971" customWidth="1"/>
    <col min="9986" max="9986" width="18.75" style="2971" customWidth="1"/>
    <col min="9987" max="9989" width="14.25" style="2971" customWidth="1"/>
    <col min="9990" max="9990" width="11" style="2971" customWidth="1"/>
    <col min="9991" max="9991" width="9" style="2971"/>
    <col min="9992" max="9992" width="13.75" style="2971" customWidth="1"/>
    <col min="9993" max="10240" width="9" style="2971"/>
    <col min="10241" max="10241" width="14.25" style="2971" customWidth="1"/>
    <col min="10242" max="10242" width="18.75" style="2971" customWidth="1"/>
    <col min="10243" max="10245" width="14.25" style="2971" customWidth="1"/>
    <col min="10246" max="10246" width="11" style="2971" customWidth="1"/>
    <col min="10247" max="10247" width="9" style="2971"/>
    <col min="10248" max="10248" width="13.75" style="2971" customWidth="1"/>
    <col min="10249" max="10496" width="9" style="2971"/>
    <col min="10497" max="10497" width="14.25" style="2971" customWidth="1"/>
    <col min="10498" max="10498" width="18.75" style="2971" customWidth="1"/>
    <col min="10499" max="10501" width="14.25" style="2971" customWidth="1"/>
    <col min="10502" max="10502" width="11" style="2971" customWidth="1"/>
    <col min="10503" max="10503" width="9" style="2971"/>
    <col min="10504" max="10504" width="13.75" style="2971" customWidth="1"/>
    <col min="10505" max="10752" width="9" style="2971"/>
    <col min="10753" max="10753" width="14.25" style="2971" customWidth="1"/>
    <col min="10754" max="10754" width="18.75" style="2971" customWidth="1"/>
    <col min="10755" max="10757" width="14.25" style="2971" customWidth="1"/>
    <col min="10758" max="10758" width="11" style="2971" customWidth="1"/>
    <col min="10759" max="10759" width="9" style="2971"/>
    <col min="10760" max="10760" width="13.75" style="2971" customWidth="1"/>
    <col min="10761" max="11008" width="9" style="2971"/>
    <col min="11009" max="11009" width="14.25" style="2971" customWidth="1"/>
    <col min="11010" max="11010" width="18.75" style="2971" customWidth="1"/>
    <col min="11011" max="11013" width="14.25" style="2971" customWidth="1"/>
    <col min="11014" max="11014" width="11" style="2971" customWidth="1"/>
    <col min="11015" max="11015" width="9" style="2971"/>
    <col min="11016" max="11016" width="13.75" style="2971" customWidth="1"/>
    <col min="11017" max="11264" width="9" style="2971"/>
    <col min="11265" max="11265" width="14.25" style="2971" customWidth="1"/>
    <col min="11266" max="11266" width="18.75" style="2971" customWidth="1"/>
    <col min="11267" max="11269" width="14.25" style="2971" customWidth="1"/>
    <col min="11270" max="11270" width="11" style="2971" customWidth="1"/>
    <col min="11271" max="11271" width="9" style="2971"/>
    <col min="11272" max="11272" width="13.75" style="2971" customWidth="1"/>
    <col min="11273" max="11520" width="9" style="2971"/>
    <col min="11521" max="11521" width="14.25" style="2971" customWidth="1"/>
    <col min="11522" max="11522" width="18.75" style="2971" customWidth="1"/>
    <col min="11523" max="11525" width="14.25" style="2971" customWidth="1"/>
    <col min="11526" max="11526" width="11" style="2971" customWidth="1"/>
    <col min="11527" max="11527" width="9" style="2971"/>
    <col min="11528" max="11528" width="13.75" style="2971" customWidth="1"/>
    <col min="11529" max="11776" width="9" style="2971"/>
    <col min="11777" max="11777" width="14.25" style="2971" customWidth="1"/>
    <col min="11778" max="11778" width="18.75" style="2971" customWidth="1"/>
    <col min="11779" max="11781" width="14.25" style="2971" customWidth="1"/>
    <col min="11782" max="11782" width="11" style="2971" customWidth="1"/>
    <col min="11783" max="11783" width="9" style="2971"/>
    <col min="11784" max="11784" width="13.75" style="2971" customWidth="1"/>
    <col min="11785" max="12032" width="9" style="2971"/>
    <col min="12033" max="12033" width="14.25" style="2971" customWidth="1"/>
    <col min="12034" max="12034" width="18.75" style="2971" customWidth="1"/>
    <col min="12035" max="12037" width="14.25" style="2971" customWidth="1"/>
    <col min="12038" max="12038" width="11" style="2971" customWidth="1"/>
    <col min="12039" max="12039" width="9" style="2971"/>
    <col min="12040" max="12040" width="13.75" style="2971" customWidth="1"/>
    <col min="12041" max="12288" width="9" style="2971"/>
    <col min="12289" max="12289" width="14.25" style="2971" customWidth="1"/>
    <col min="12290" max="12290" width="18.75" style="2971" customWidth="1"/>
    <col min="12291" max="12293" width="14.25" style="2971" customWidth="1"/>
    <col min="12294" max="12294" width="11" style="2971" customWidth="1"/>
    <col min="12295" max="12295" width="9" style="2971"/>
    <col min="12296" max="12296" width="13.75" style="2971" customWidth="1"/>
    <col min="12297" max="12544" width="9" style="2971"/>
    <col min="12545" max="12545" width="14.25" style="2971" customWidth="1"/>
    <col min="12546" max="12546" width="18.75" style="2971" customWidth="1"/>
    <col min="12547" max="12549" width="14.25" style="2971" customWidth="1"/>
    <col min="12550" max="12550" width="11" style="2971" customWidth="1"/>
    <col min="12551" max="12551" width="9" style="2971"/>
    <col min="12552" max="12552" width="13.75" style="2971" customWidth="1"/>
    <col min="12553" max="12800" width="9" style="2971"/>
    <col min="12801" max="12801" width="14.25" style="2971" customWidth="1"/>
    <col min="12802" max="12802" width="18.75" style="2971" customWidth="1"/>
    <col min="12803" max="12805" width="14.25" style="2971" customWidth="1"/>
    <col min="12806" max="12806" width="11" style="2971" customWidth="1"/>
    <col min="12807" max="12807" width="9" style="2971"/>
    <col min="12808" max="12808" width="13.75" style="2971" customWidth="1"/>
    <col min="12809" max="13056" width="9" style="2971"/>
    <col min="13057" max="13057" width="14.25" style="2971" customWidth="1"/>
    <col min="13058" max="13058" width="18.75" style="2971" customWidth="1"/>
    <col min="13059" max="13061" width="14.25" style="2971" customWidth="1"/>
    <col min="13062" max="13062" width="11" style="2971" customWidth="1"/>
    <col min="13063" max="13063" width="9" style="2971"/>
    <col min="13064" max="13064" width="13.75" style="2971" customWidth="1"/>
    <col min="13065" max="13312" width="9" style="2971"/>
    <col min="13313" max="13313" width="14.25" style="2971" customWidth="1"/>
    <col min="13314" max="13314" width="18.75" style="2971" customWidth="1"/>
    <col min="13315" max="13317" width="14.25" style="2971" customWidth="1"/>
    <col min="13318" max="13318" width="11" style="2971" customWidth="1"/>
    <col min="13319" max="13319" width="9" style="2971"/>
    <col min="13320" max="13320" width="13.75" style="2971" customWidth="1"/>
    <col min="13321" max="13568" width="9" style="2971"/>
    <col min="13569" max="13569" width="14.25" style="2971" customWidth="1"/>
    <col min="13570" max="13570" width="18.75" style="2971" customWidth="1"/>
    <col min="13571" max="13573" width="14.25" style="2971" customWidth="1"/>
    <col min="13574" max="13574" width="11" style="2971" customWidth="1"/>
    <col min="13575" max="13575" width="9" style="2971"/>
    <col min="13576" max="13576" width="13.75" style="2971" customWidth="1"/>
    <col min="13577" max="13824" width="9" style="2971"/>
    <col min="13825" max="13825" width="14.25" style="2971" customWidth="1"/>
    <col min="13826" max="13826" width="18.75" style="2971" customWidth="1"/>
    <col min="13827" max="13829" width="14.25" style="2971" customWidth="1"/>
    <col min="13830" max="13830" width="11" style="2971" customWidth="1"/>
    <col min="13831" max="13831" width="9" style="2971"/>
    <col min="13832" max="13832" width="13.75" style="2971" customWidth="1"/>
    <col min="13833" max="14080" width="9" style="2971"/>
    <col min="14081" max="14081" width="14.25" style="2971" customWidth="1"/>
    <col min="14082" max="14082" width="18.75" style="2971" customWidth="1"/>
    <col min="14083" max="14085" width="14.25" style="2971" customWidth="1"/>
    <col min="14086" max="14086" width="11" style="2971" customWidth="1"/>
    <col min="14087" max="14087" width="9" style="2971"/>
    <col min="14088" max="14088" width="13.75" style="2971" customWidth="1"/>
    <col min="14089" max="14336" width="9" style="2971"/>
    <col min="14337" max="14337" width="14.25" style="2971" customWidth="1"/>
    <col min="14338" max="14338" width="18.75" style="2971" customWidth="1"/>
    <col min="14339" max="14341" width="14.25" style="2971" customWidth="1"/>
    <col min="14342" max="14342" width="11" style="2971" customWidth="1"/>
    <col min="14343" max="14343" width="9" style="2971"/>
    <col min="14344" max="14344" width="13.75" style="2971" customWidth="1"/>
    <col min="14345" max="14592" width="9" style="2971"/>
    <col min="14593" max="14593" width="14.25" style="2971" customWidth="1"/>
    <col min="14594" max="14594" width="18.75" style="2971" customWidth="1"/>
    <col min="14595" max="14597" width="14.25" style="2971" customWidth="1"/>
    <col min="14598" max="14598" width="11" style="2971" customWidth="1"/>
    <col min="14599" max="14599" width="9" style="2971"/>
    <col min="14600" max="14600" width="13.75" style="2971" customWidth="1"/>
    <col min="14601" max="14848" width="9" style="2971"/>
    <col min="14849" max="14849" width="14.25" style="2971" customWidth="1"/>
    <col min="14850" max="14850" width="18.75" style="2971" customWidth="1"/>
    <col min="14851" max="14853" width="14.25" style="2971" customWidth="1"/>
    <col min="14854" max="14854" width="11" style="2971" customWidth="1"/>
    <col min="14855" max="14855" width="9" style="2971"/>
    <col min="14856" max="14856" width="13.75" style="2971" customWidth="1"/>
    <col min="14857" max="15104" width="9" style="2971"/>
    <col min="15105" max="15105" width="14.25" style="2971" customWidth="1"/>
    <col min="15106" max="15106" width="18.75" style="2971" customWidth="1"/>
    <col min="15107" max="15109" width="14.25" style="2971" customWidth="1"/>
    <col min="15110" max="15110" width="11" style="2971" customWidth="1"/>
    <col min="15111" max="15111" width="9" style="2971"/>
    <col min="15112" max="15112" width="13.75" style="2971" customWidth="1"/>
    <col min="15113" max="15360" width="9" style="2971"/>
    <col min="15361" max="15361" width="14.25" style="2971" customWidth="1"/>
    <col min="15362" max="15362" width="18.75" style="2971" customWidth="1"/>
    <col min="15363" max="15365" width="14.25" style="2971" customWidth="1"/>
    <col min="15366" max="15366" width="11" style="2971" customWidth="1"/>
    <col min="15367" max="15367" width="9" style="2971"/>
    <col min="15368" max="15368" width="13.75" style="2971" customWidth="1"/>
    <col min="15369" max="15616" width="9" style="2971"/>
    <col min="15617" max="15617" width="14.25" style="2971" customWidth="1"/>
    <col min="15618" max="15618" width="18.75" style="2971" customWidth="1"/>
    <col min="15619" max="15621" width="14.25" style="2971" customWidth="1"/>
    <col min="15622" max="15622" width="11" style="2971" customWidth="1"/>
    <col min="15623" max="15623" width="9" style="2971"/>
    <col min="15624" max="15624" width="13.75" style="2971" customWidth="1"/>
    <col min="15625" max="15872" width="9" style="2971"/>
    <col min="15873" max="15873" width="14.25" style="2971" customWidth="1"/>
    <col min="15874" max="15874" width="18.75" style="2971" customWidth="1"/>
    <col min="15875" max="15877" width="14.25" style="2971" customWidth="1"/>
    <col min="15878" max="15878" width="11" style="2971" customWidth="1"/>
    <col min="15879" max="15879" width="9" style="2971"/>
    <col min="15880" max="15880" width="13.75" style="2971" customWidth="1"/>
    <col min="15881" max="16128" width="9" style="2971"/>
    <col min="16129" max="16129" width="14.25" style="2971" customWidth="1"/>
    <col min="16130" max="16130" width="18.75" style="2971" customWidth="1"/>
    <col min="16131" max="16133" width="14.25" style="2971" customWidth="1"/>
    <col min="16134" max="16134" width="11" style="2971" customWidth="1"/>
    <col min="16135" max="16135" width="9" style="2971"/>
    <col min="16136" max="16136" width="13.75" style="2971" customWidth="1"/>
    <col min="16137" max="16384" width="9" style="2971"/>
  </cols>
  <sheetData>
    <row r="1" spans="1:6" ht="20.25" customHeight="1" thickBot="1">
      <c r="A1" s="2969" t="s">
        <v>3284</v>
      </c>
      <c r="B1" s="2970">
        <v>43100</v>
      </c>
    </row>
    <row r="2" spans="1:6" ht="33" customHeight="1">
      <c r="A2" s="2972" t="s">
        <v>3285</v>
      </c>
      <c r="B2" s="2973" t="s">
        <v>3286</v>
      </c>
      <c r="C2" s="2974" t="s">
        <v>3287</v>
      </c>
      <c r="D2" s="2973" t="s">
        <v>3288</v>
      </c>
      <c r="E2" s="2975" t="s">
        <v>3289</v>
      </c>
    </row>
    <row r="3" spans="1:6" ht="20.25" customHeight="1">
      <c r="A3" s="2976">
        <v>40</v>
      </c>
      <c r="B3" s="2977">
        <v>46387</v>
      </c>
      <c r="C3" s="2978">
        <f>ROUNDDOWN(MIN((B3-$B$1)/365,A3),2)</f>
        <v>9</v>
      </c>
      <c r="D3" s="2979">
        <f>IF(ISERROR(ROUND(POWER(1+E3,A3-C3)*(POWER(1+E3,C3)-1)/(POWER(1+E3,A3)-1),3)),0,ROUND(POWER(1+E3,A3-C3)*(POWER(1+E3,C3)-1)/(POWER(1+E3,A3)-1),3))</f>
        <v>0</v>
      </c>
      <c r="E3" s="2980"/>
    </row>
    <row r="4" spans="1:6" ht="20.25" customHeight="1">
      <c r="A4" s="2976">
        <v>50</v>
      </c>
      <c r="B4" s="2977"/>
      <c r="C4" s="2978">
        <f>ROUNDDOWN(MIN((B4-$B$1)/365,A4),2)</f>
        <v>-118.08</v>
      </c>
      <c r="D4" s="2979">
        <f>IF(ISERROR(ROUND(POWER(1+E4,A4-C4)*(POWER(1+E4,C4)-1)/(POWER(1+E4,A4)-1),3)),0,ROUND(POWER(1+E4,A4-C4)*(POWER(1+E4,C4)-1)/(POWER(1+E4,A4)-1),3))</f>
        <v>0</v>
      </c>
      <c r="E4" s="2980"/>
    </row>
    <row r="5" spans="1:6" ht="20.25" customHeight="1" thickBot="1">
      <c r="A5" s="2981">
        <v>70</v>
      </c>
      <c r="B5" s="2982"/>
      <c r="C5" s="2983">
        <f>ROUNDDOWN(MIN((B5-$B$1)/365,A5),2)</f>
        <v>-118.08</v>
      </c>
      <c r="D5" s="2984">
        <f>IF(ISERROR(ROUND(POWER(1+E5,A5-C5)*(POWER(1+E5,C5)-1)/(POWER(1+E5,A5)-1),3)),0,ROUND(POWER(1+E5,A5-C5)*(POWER(1+E5,C5)-1)/(POWER(1+E5,A5)-1),3))</f>
        <v>0</v>
      </c>
      <c r="E5" s="2985"/>
    </row>
    <row r="6" spans="1:6" ht="20.25" customHeight="1" thickBot="1"/>
    <row r="7" spans="1:6" s="2988" customFormat="1" ht="20.25" customHeight="1" thickBot="1">
      <c r="A7" s="2986" t="s">
        <v>3290</v>
      </c>
      <c r="B7" s="2987"/>
    </row>
    <row r="8" spans="1:6" ht="20.25" customHeight="1" thickBot="1">
      <c r="A8" s="3346" t="s">
        <v>3291</v>
      </c>
      <c r="B8" s="3347"/>
      <c r="C8" s="2989"/>
      <c r="D8" s="2990" t="s">
        <v>3289</v>
      </c>
      <c r="E8" s="2989"/>
      <c r="F8" s="2991" t="s">
        <v>3288</v>
      </c>
    </row>
    <row r="9" spans="1:6" ht="20.25" customHeight="1">
      <c r="A9" s="2992" t="s">
        <v>3292</v>
      </c>
      <c r="B9" s="2993">
        <v>70</v>
      </c>
      <c r="C9" s="2994" t="s">
        <v>3293</v>
      </c>
      <c r="D9" s="2995">
        <v>4.4999999999999998E-2</v>
      </c>
      <c r="E9" s="2994" t="s">
        <v>3294</v>
      </c>
      <c r="F9" s="2996">
        <f>1-(1/(POWER(1+D9,B9)))</f>
        <v>0.95409503414356267</v>
      </c>
    </row>
    <row r="10" spans="1:6" ht="20.25" customHeight="1" thickBot="1">
      <c r="A10" s="2997" t="s">
        <v>3295</v>
      </c>
      <c r="B10" s="2998">
        <v>40</v>
      </c>
      <c r="C10" s="2999" t="s">
        <v>3296</v>
      </c>
      <c r="D10" s="3000">
        <v>4.4999999999999998E-2</v>
      </c>
      <c r="E10" s="2999" t="s">
        <v>3297</v>
      </c>
      <c r="F10" s="3001">
        <f>1-(1/(POWER(1+D10,B10)))</f>
        <v>0.8280712989125899</v>
      </c>
    </row>
    <row r="11" spans="1:6" ht="20.25" customHeight="1" thickBot="1">
      <c r="A11" s="3002" t="s">
        <v>3298</v>
      </c>
      <c r="B11" s="3003"/>
      <c r="C11" s="3003"/>
      <c r="D11" s="3003"/>
      <c r="E11" s="3003"/>
      <c r="F11" s="3003"/>
    </row>
    <row r="12" spans="1:6" ht="20.25" customHeight="1">
      <c r="A12" s="2992" t="s">
        <v>3299</v>
      </c>
      <c r="B12" s="3004">
        <v>5000</v>
      </c>
      <c r="E12" s="3005"/>
      <c r="F12" s="3005"/>
    </row>
    <row r="13" spans="1:6" ht="20.25" customHeight="1" thickBot="1">
      <c r="A13" s="2997" t="s">
        <v>3300</v>
      </c>
      <c r="B13" s="3006">
        <f>ROUND(B12*F10/F9,2)</f>
        <v>4339.5600000000004</v>
      </c>
      <c r="C13" s="3007">
        <f>ROUND(F10/F9,4)</f>
        <v>0.8679</v>
      </c>
      <c r="E13" s="3005"/>
      <c r="F13" s="3005"/>
    </row>
    <row r="14" spans="1:6" ht="20.25" customHeight="1" thickBot="1">
      <c r="A14" s="3002" t="s">
        <v>3301</v>
      </c>
      <c r="B14" s="3008"/>
      <c r="C14" s="3005"/>
    </row>
    <row r="15" spans="1:6" ht="20.25" customHeight="1">
      <c r="A15" s="2994" t="s">
        <v>3302</v>
      </c>
      <c r="B15" s="3009">
        <v>4810</v>
      </c>
      <c r="C15" s="3005"/>
    </row>
    <row r="16" spans="1:6" ht="20.25" customHeight="1" thickBot="1">
      <c r="A16" s="2999" t="s">
        <v>3303</v>
      </c>
      <c r="B16" s="3010">
        <f>ROUND(B15*F9/F10,2)</f>
        <v>5542.03</v>
      </c>
      <c r="C16" s="3007">
        <f>ROUND(F9/F10,4)</f>
        <v>1.1521999999999999</v>
      </c>
    </row>
    <row r="17" spans="3:3" ht="20.25" customHeight="1">
      <c r="C17" s="3005"/>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9" t="str">
        <f>IF(项目基本情况!B9="房地产市场价值","估价结果一览表","结果表-2")</f>
        <v>结果表-2</v>
      </c>
      <c r="B1" s="3029"/>
      <c r="C1" s="3029"/>
      <c r="D1" s="3029"/>
      <c r="E1" s="3029"/>
      <c r="F1" s="3029"/>
      <c r="G1" s="3029"/>
      <c r="H1" s="3029"/>
      <c r="I1" s="3029"/>
    </row>
    <row r="2" spans="1:9" ht="30" customHeight="1" thickTop="1">
      <c r="A2" s="3030" t="s">
        <v>1642</v>
      </c>
      <c r="B2" s="3030" t="s">
        <v>1643</v>
      </c>
      <c r="C2" s="3030" t="s">
        <v>1644</v>
      </c>
      <c r="D2" s="3030" t="str">
        <f>结果表!D116</f>
        <v>出让国有建设用地使用权价值</v>
      </c>
      <c r="E2" s="3030"/>
      <c r="F2" s="3030" t="str">
        <f>结果表!F116</f>
        <v>建筑物价值</v>
      </c>
      <c r="G2" s="3030"/>
      <c r="H2" s="3030" t="str">
        <f>IF(项目基本情况!B9="房地产市场价值","房地产市场价值","房地产价值")</f>
        <v>房地产价值</v>
      </c>
      <c r="I2" s="3030"/>
    </row>
    <row r="3" spans="1:9" ht="15">
      <c r="A3" s="3031"/>
      <c r="B3" s="3031"/>
      <c r="C3" s="3031"/>
      <c r="D3" s="1047" t="s">
        <v>1639</v>
      </c>
      <c r="E3" s="1047" t="s">
        <v>1645</v>
      </c>
      <c r="F3" s="1047" t="s">
        <v>1639</v>
      </c>
      <c r="G3" s="1047" t="s">
        <v>1640</v>
      </c>
      <c r="H3" s="1047" t="s">
        <v>1639</v>
      </c>
      <c r="I3" s="1047" t="s">
        <v>1640</v>
      </c>
    </row>
    <row r="4" spans="1:9" ht="30">
      <c r="A4" s="1976" t="str">
        <f>项目基本情况!S2</f>
        <v>北京市昌平区昌盛路12号院房地产</v>
      </c>
      <c r="B4" s="1047">
        <f>项目基本情况!C17</f>
        <v>21214.79</v>
      </c>
      <c r="C4" s="1047">
        <f>项目基本情况!C18</f>
        <v>11873.13</v>
      </c>
      <c r="D4" s="1047">
        <f ca="1">结果表!D118</f>
        <v>17556</v>
      </c>
      <c r="E4" s="1047">
        <f ca="1">结果表!E118</f>
        <v>8275</v>
      </c>
      <c r="F4" s="1047">
        <f ca="1">结果表!F118</f>
        <v>30411</v>
      </c>
      <c r="G4" s="1047">
        <f ca="1">结果表!G118</f>
        <v>14335</v>
      </c>
      <c r="H4" s="1047">
        <f ca="1">结果表!H118</f>
        <v>47967</v>
      </c>
      <c r="I4" s="1047">
        <f ca="1">结果表!I118</f>
        <v>22610</v>
      </c>
    </row>
    <row r="5" spans="1:9" ht="30" customHeight="1">
      <c r="A5" s="3031" t="s">
        <v>1641</v>
      </c>
      <c r="B5" s="3031"/>
      <c r="C5" s="3031"/>
      <c r="D5" s="3032" t="str">
        <f ca="1">结果表!D119</f>
        <v>壹亿柒仟伍佰伍拾陆万元整</v>
      </c>
      <c r="E5" s="3032"/>
      <c r="F5" s="3032" t="str">
        <f ca="1">结果表!F119</f>
        <v>叁亿零肆佰壹拾壹万元整</v>
      </c>
      <c r="G5" s="3032"/>
      <c r="H5" s="3032" t="str">
        <f ca="1">结果表!H119</f>
        <v>肆亿柒仟玖佰陆拾柒万元整</v>
      </c>
      <c r="I5" s="3032"/>
    </row>
    <row r="6" spans="1:9" ht="15.75">
      <c r="A6" s="3033" t="str">
        <f>结果表!A120</f>
        <v>估价师知悉的法定优先受偿款</v>
      </c>
      <c r="B6" s="3033"/>
      <c r="C6" s="3033"/>
      <c r="D6" s="3033">
        <f>结果表!D120</f>
        <v>0</v>
      </c>
      <c r="E6" s="3033"/>
      <c r="F6" s="3033"/>
      <c r="G6" s="3033"/>
      <c r="H6" s="3033"/>
      <c r="I6" s="3033"/>
    </row>
    <row r="7" spans="1:9" ht="15">
      <c r="A7" s="3031" t="s">
        <v>1641</v>
      </c>
      <c r="B7" s="3031"/>
      <c r="C7" s="3031"/>
      <c r="D7" s="3034" t="str">
        <f>结果表!D121</f>
        <v>零元整</v>
      </c>
      <c r="E7" s="3035"/>
      <c r="F7" s="3035"/>
      <c r="G7" s="3035"/>
      <c r="H7" s="3035"/>
      <c r="I7" s="3036"/>
    </row>
    <row r="8" spans="1:9" ht="15.75">
      <c r="A8" s="3033" t="str">
        <f>结果表!A122</f>
        <v>房地产抵押价值</v>
      </c>
      <c r="B8" s="3033"/>
      <c r="C8" s="3033"/>
      <c r="D8" s="3033">
        <f ca="1">结果表!D122</f>
        <v>47967</v>
      </c>
      <c r="E8" s="3033"/>
      <c r="F8" s="3033"/>
      <c r="G8" s="3033"/>
      <c r="H8" s="3033"/>
      <c r="I8" s="3033"/>
    </row>
    <row r="9" spans="1:9" ht="15">
      <c r="A9" s="3031" t="s">
        <v>1641</v>
      </c>
      <c r="B9" s="3031"/>
      <c r="C9" s="3031"/>
      <c r="D9" s="3032" t="str">
        <f ca="1">结果表!D123</f>
        <v>肆亿柒仟玖佰陆拾柒万元整</v>
      </c>
      <c r="E9" s="3032"/>
      <c r="F9" s="3032"/>
      <c r="G9" s="3032"/>
      <c r="H9" s="3032"/>
      <c r="I9" s="3032"/>
    </row>
    <row r="10" spans="1:9" ht="15.75">
      <c r="A10" s="3033" t="str">
        <f>结果表!A124</f>
        <v/>
      </c>
      <c r="B10" s="3033"/>
      <c r="C10" s="3033"/>
      <c r="D10" s="3033" t="str">
        <f>结果表!D124</f>
        <v>——</v>
      </c>
      <c r="E10" s="3033"/>
      <c r="F10" s="3033"/>
      <c r="G10" s="3033"/>
      <c r="H10" s="3033"/>
      <c r="I10" s="3033"/>
    </row>
    <row r="11" spans="1:9" ht="15">
      <c r="A11" s="3031" t="s">
        <v>1641</v>
      </c>
      <c r="B11" s="3031"/>
      <c r="C11" s="3031"/>
      <c r="D11" s="3032" t="e">
        <f>结果表!D125</f>
        <v>#VALUE!</v>
      </c>
      <c r="E11" s="3032"/>
      <c r="F11" s="3032"/>
      <c r="G11" s="3032"/>
      <c r="H11" s="3032"/>
      <c r="I11" s="3032"/>
    </row>
    <row r="12" spans="1:9" ht="15.75">
      <c r="A12" s="3033" t="str">
        <f>结果表!A126</f>
        <v/>
      </c>
      <c r="B12" s="3033"/>
      <c r="C12" s="3033"/>
      <c r="D12" s="3033" t="str">
        <f>结果表!D126</f>
        <v>——</v>
      </c>
      <c r="E12" s="3033"/>
      <c r="F12" s="3033"/>
      <c r="G12" s="3033"/>
      <c r="H12" s="3033"/>
      <c r="I12" s="3033"/>
    </row>
    <row r="13" spans="1:9" ht="15.75" thickBot="1">
      <c r="A13" s="3037" t="s">
        <v>1641</v>
      </c>
      <c r="B13" s="3037"/>
      <c r="C13" s="3037"/>
      <c r="D13" s="3038" t="e">
        <f>结果表!D127</f>
        <v>#VALUE!</v>
      </c>
      <c r="E13" s="3038"/>
      <c r="F13" s="3038"/>
      <c r="G13" s="3038"/>
      <c r="H13" s="3038"/>
      <c r="I13" s="3038"/>
    </row>
    <row r="14" spans="1:9" ht="15" thickTop="1">
      <c r="A14" s="3039" t="s">
        <v>1646</v>
      </c>
      <c r="B14" s="3039"/>
      <c r="C14" s="3039"/>
      <c r="D14" s="3039"/>
      <c r="E14" s="3039"/>
      <c r="F14" s="3039"/>
      <c r="G14" s="3039"/>
      <c r="H14" s="3039"/>
      <c r="I14" s="3039"/>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4" workbookViewId="0">
      <selection activeCell="D13" sqref="D13"/>
    </sheetView>
  </sheetViews>
  <sheetFormatPr defaultRowHeight="13.5"/>
  <cols>
    <col min="1" max="1" width="50.125" style="1638" customWidth="1"/>
    <col min="2" max="2" width="6.25" style="1638" customWidth="1"/>
    <col min="3" max="3" width="7.875" style="1638" customWidth="1"/>
    <col min="4" max="5" width="13.875" style="1638" customWidth="1"/>
    <col min="6" max="6" width="6.25" style="1638" customWidth="1"/>
    <col min="7" max="7" width="7.875" style="1638" customWidth="1"/>
    <col min="8" max="8" width="12.875" style="1638" customWidth="1"/>
    <col min="9" max="10" width="10.625" style="1638" customWidth="1"/>
    <col min="11" max="11" width="14.375" style="1638" customWidth="1"/>
    <col min="12" max="12" width="6.25" style="1638" customWidth="1"/>
    <col min="13" max="13" width="32" style="1638" customWidth="1"/>
    <col min="14" max="256" width="9" style="1638"/>
    <col min="257" max="257" width="50.125" style="1638" customWidth="1"/>
    <col min="258" max="258" width="6.25" style="1638" customWidth="1"/>
    <col min="259" max="259" width="7.875" style="1638" customWidth="1"/>
    <col min="260" max="261" width="13.875" style="1638" customWidth="1"/>
    <col min="262" max="262" width="6.25" style="1638" customWidth="1"/>
    <col min="263" max="263" width="7.875" style="1638" customWidth="1"/>
    <col min="264" max="264" width="9" style="1638" customWidth="1"/>
    <col min="265" max="266" width="10.625" style="1638" customWidth="1"/>
    <col min="267" max="267" width="14.375" style="1638" customWidth="1"/>
    <col min="268" max="268" width="6.25" style="1638" customWidth="1"/>
    <col min="269" max="269" width="32" style="1638" customWidth="1"/>
    <col min="270" max="512" width="9" style="1638"/>
    <col min="513" max="513" width="50.125" style="1638" customWidth="1"/>
    <col min="514" max="514" width="6.25" style="1638" customWidth="1"/>
    <col min="515" max="515" width="7.875" style="1638" customWidth="1"/>
    <col min="516" max="517" width="13.875" style="1638" customWidth="1"/>
    <col min="518" max="518" width="6.25" style="1638" customWidth="1"/>
    <col min="519" max="519" width="7.875" style="1638" customWidth="1"/>
    <col min="520" max="520" width="9" style="1638" customWidth="1"/>
    <col min="521" max="522" width="10.625" style="1638" customWidth="1"/>
    <col min="523" max="523" width="14.375" style="1638" customWidth="1"/>
    <col min="524" max="524" width="6.25" style="1638" customWidth="1"/>
    <col min="525" max="525" width="32" style="1638" customWidth="1"/>
    <col min="526" max="768" width="9" style="1638"/>
    <col min="769" max="769" width="50.125" style="1638" customWidth="1"/>
    <col min="770" max="770" width="6.25" style="1638" customWidth="1"/>
    <col min="771" max="771" width="7.875" style="1638" customWidth="1"/>
    <col min="772" max="773" width="13.875" style="1638" customWidth="1"/>
    <col min="774" max="774" width="6.25" style="1638" customWidth="1"/>
    <col min="775" max="775" width="7.875" style="1638" customWidth="1"/>
    <col min="776" max="776" width="9" style="1638" customWidth="1"/>
    <col min="777" max="778" width="10.625" style="1638" customWidth="1"/>
    <col min="779" max="779" width="14.375" style="1638" customWidth="1"/>
    <col min="780" max="780" width="6.25" style="1638" customWidth="1"/>
    <col min="781" max="781" width="32" style="1638" customWidth="1"/>
    <col min="782" max="1024" width="9" style="1638"/>
    <col min="1025" max="1025" width="50.125" style="1638" customWidth="1"/>
    <col min="1026" max="1026" width="6.25" style="1638" customWidth="1"/>
    <col min="1027" max="1027" width="7.875" style="1638" customWidth="1"/>
    <col min="1028" max="1029" width="13.875" style="1638" customWidth="1"/>
    <col min="1030" max="1030" width="6.25" style="1638" customWidth="1"/>
    <col min="1031" max="1031" width="7.875" style="1638" customWidth="1"/>
    <col min="1032" max="1032" width="9" style="1638" customWidth="1"/>
    <col min="1033" max="1034" width="10.625" style="1638" customWidth="1"/>
    <col min="1035" max="1035" width="14.375" style="1638" customWidth="1"/>
    <col min="1036" max="1036" width="6.25" style="1638" customWidth="1"/>
    <col min="1037" max="1037" width="32" style="1638" customWidth="1"/>
    <col min="1038" max="1280" width="9" style="1638"/>
    <col min="1281" max="1281" width="50.125" style="1638" customWidth="1"/>
    <col min="1282" max="1282" width="6.25" style="1638" customWidth="1"/>
    <col min="1283" max="1283" width="7.875" style="1638" customWidth="1"/>
    <col min="1284" max="1285" width="13.875" style="1638" customWidth="1"/>
    <col min="1286" max="1286" width="6.25" style="1638" customWidth="1"/>
    <col min="1287" max="1287" width="7.875" style="1638" customWidth="1"/>
    <col min="1288" max="1288" width="9" style="1638" customWidth="1"/>
    <col min="1289" max="1290" width="10.625" style="1638" customWidth="1"/>
    <col min="1291" max="1291" width="14.375" style="1638" customWidth="1"/>
    <col min="1292" max="1292" width="6.25" style="1638" customWidth="1"/>
    <col min="1293" max="1293" width="32" style="1638" customWidth="1"/>
    <col min="1294" max="1536" width="9" style="1638"/>
    <col min="1537" max="1537" width="50.125" style="1638" customWidth="1"/>
    <col min="1538" max="1538" width="6.25" style="1638" customWidth="1"/>
    <col min="1539" max="1539" width="7.875" style="1638" customWidth="1"/>
    <col min="1540" max="1541" width="13.875" style="1638" customWidth="1"/>
    <col min="1542" max="1542" width="6.25" style="1638" customWidth="1"/>
    <col min="1543" max="1543" width="7.875" style="1638" customWidth="1"/>
    <col min="1544" max="1544" width="9" style="1638" customWidth="1"/>
    <col min="1545" max="1546" width="10.625" style="1638" customWidth="1"/>
    <col min="1547" max="1547" width="14.375" style="1638" customWidth="1"/>
    <col min="1548" max="1548" width="6.25" style="1638" customWidth="1"/>
    <col min="1549" max="1549" width="32" style="1638" customWidth="1"/>
    <col min="1550" max="1792" width="9" style="1638"/>
    <col min="1793" max="1793" width="50.125" style="1638" customWidth="1"/>
    <col min="1794" max="1794" width="6.25" style="1638" customWidth="1"/>
    <col min="1795" max="1795" width="7.875" style="1638" customWidth="1"/>
    <col min="1796" max="1797" width="13.875" style="1638" customWidth="1"/>
    <col min="1798" max="1798" width="6.25" style="1638" customWidth="1"/>
    <col min="1799" max="1799" width="7.875" style="1638" customWidth="1"/>
    <col min="1800" max="1800" width="9" style="1638" customWidth="1"/>
    <col min="1801" max="1802" width="10.625" style="1638" customWidth="1"/>
    <col min="1803" max="1803" width="14.375" style="1638" customWidth="1"/>
    <col min="1804" max="1804" width="6.25" style="1638" customWidth="1"/>
    <col min="1805" max="1805" width="32" style="1638" customWidth="1"/>
    <col min="1806" max="2048" width="9" style="1638"/>
    <col min="2049" max="2049" width="50.125" style="1638" customWidth="1"/>
    <col min="2050" max="2050" width="6.25" style="1638" customWidth="1"/>
    <col min="2051" max="2051" width="7.875" style="1638" customWidth="1"/>
    <col min="2052" max="2053" width="13.875" style="1638" customWidth="1"/>
    <col min="2054" max="2054" width="6.25" style="1638" customWidth="1"/>
    <col min="2055" max="2055" width="7.875" style="1638" customWidth="1"/>
    <col min="2056" max="2056" width="9" style="1638" customWidth="1"/>
    <col min="2057" max="2058" width="10.625" style="1638" customWidth="1"/>
    <col min="2059" max="2059" width="14.375" style="1638" customWidth="1"/>
    <col min="2060" max="2060" width="6.25" style="1638" customWidth="1"/>
    <col min="2061" max="2061" width="32" style="1638" customWidth="1"/>
    <col min="2062" max="2304" width="9" style="1638"/>
    <col min="2305" max="2305" width="50.125" style="1638" customWidth="1"/>
    <col min="2306" max="2306" width="6.25" style="1638" customWidth="1"/>
    <col min="2307" max="2307" width="7.875" style="1638" customWidth="1"/>
    <col min="2308" max="2309" width="13.875" style="1638" customWidth="1"/>
    <col min="2310" max="2310" width="6.25" style="1638" customWidth="1"/>
    <col min="2311" max="2311" width="7.875" style="1638" customWidth="1"/>
    <col min="2312" max="2312" width="9" style="1638" customWidth="1"/>
    <col min="2313" max="2314" width="10.625" style="1638" customWidth="1"/>
    <col min="2315" max="2315" width="14.375" style="1638" customWidth="1"/>
    <col min="2316" max="2316" width="6.25" style="1638" customWidth="1"/>
    <col min="2317" max="2317" width="32" style="1638" customWidth="1"/>
    <col min="2318" max="2560" width="9" style="1638"/>
    <col min="2561" max="2561" width="50.125" style="1638" customWidth="1"/>
    <col min="2562" max="2562" width="6.25" style="1638" customWidth="1"/>
    <col min="2563" max="2563" width="7.875" style="1638" customWidth="1"/>
    <col min="2564" max="2565" width="13.875" style="1638" customWidth="1"/>
    <col min="2566" max="2566" width="6.25" style="1638" customWidth="1"/>
    <col min="2567" max="2567" width="7.875" style="1638" customWidth="1"/>
    <col min="2568" max="2568" width="9" style="1638" customWidth="1"/>
    <col min="2569" max="2570" width="10.625" style="1638" customWidth="1"/>
    <col min="2571" max="2571" width="14.375" style="1638" customWidth="1"/>
    <col min="2572" max="2572" width="6.25" style="1638" customWidth="1"/>
    <col min="2573" max="2573" width="32" style="1638" customWidth="1"/>
    <col min="2574" max="2816" width="9" style="1638"/>
    <col min="2817" max="2817" width="50.125" style="1638" customWidth="1"/>
    <col min="2818" max="2818" width="6.25" style="1638" customWidth="1"/>
    <col min="2819" max="2819" width="7.875" style="1638" customWidth="1"/>
    <col min="2820" max="2821" width="13.875" style="1638" customWidth="1"/>
    <col min="2822" max="2822" width="6.25" style="1638" customWidth="1"/>
    <col min="2823" max="2823" width="7.875" style="1638" customWidth="1"/>
    <col min="2824" max="2824" width="9" style="1638" customWidth="1"/>
    <col min="2825" max="2826" width="10.625" style="1638" customWidth="1"/>
    <col min="2827" max="2827" width="14.375" style="1638" customWidth="1"/>
    <col min="2828" max="2828" width="6.25" style="1638" customWidth="1"/>
    <col min="2829" max="2829" width="32" style="1638" customWidth="1"/>
    <col min="2830" max="3072" width="9" style="1638"/>
    <col min="3073" max="3073" width="50.125" style="1638" customWidth="1"/>
    <col min="3074" max="3074" width="6.25" style="1638" customWidth="1"/>
    <col min="3075" max="3075" width="7.875" style="1638" customWidth="1"/>
    <col min="3076" max="3077" width="13.875" style="1638" customWidth="1"/>
    <col min="3078" max="3078" width="6.25" style="1638" customWidth="1"/>
    <col min="3079" max="3079" width="7.875" style="1638" customWidth="1"/>
    <col min="3080" max="3080" width="9" style="1638" customWidth="1"/>
    <col min="3081" max="3082" width="10.625" style="1638" customWidth="1"/>
    <col min="3083" max="3083" width="14.375" style="1638" customWidth="1"/>
    <col min="3084" max="3084" width="6.25" style="1638" customWidth="1"/>
    <col min="3085" max="3085" width="32" style="1638" customWidth="1"/>
    <col min="3086" max="3328" width="9" style="1638"/>
    <col min="3329" max="3329" width="50.125" style="1638" customWidth="1"/>
    <col min="3330" max="3330" width="6.25" style="1638" customWidth="1"/>
    <col min="3331" max="3331" width="7.875" style="1638" customWidth="1"/>
    <col min="3332" max="3333" width="13.875" style="1638" customWidth="1"/>
    <col min="3334" max="3334" width="6.25" style="1638" customWidth="1"/>
    <col min="3335" max="3335" width="7.875" style="1638" customWidth="1"/>
    <col min="3336" max="3336" width="9" style="1638" customWidth="1"/>
    <col min="3337" max="3338" width="10.625" style="1638" customWidth="1"/>
    <col min="3339" max="3339" width="14.375" style="1638" customWidth="1"/>
    <col min="3340" max="3340" width="6.25" style="1638" customWidth="1"/>
    <col min="3341" max="3341" width="32" style="1638" customWidth="1"/>
    <col min="3342" max="3584" width="9" style="1638"/>
    <col min="3585" max="3585" width="50.125" style="1638" customWidth="1"/>
    <col min="3586" max="3586" width="6.25" style="1638" customWidth="1"/>
    <col min="3587" max="3587" width="7.875" style="1638" customWidth="1"/>
    <col min="3588" max="3589" width="13.875" style="1638" customWidth="1"/>
    <col min="3590" max="3590" width="6.25" style="1638" customWidth="1"/>
    <col min="3591" max="3591" width="7.875" style="1638" customWidth="1"/>
    <col min="3592" max="3592" width="9" style="1638" customWidth="1"/>
    <col min="3593" max="3594" width="10.625" style="1638" customWidth="1"/>
    <col min="3595" max="3595" width="14.375" style="1638" customWidth="1"/>
    <col min="3596" max="3596" width="6.25" style="1638" customWidth="1"/>
    <col min="3597" max="3597" width="32" style="1638" customWidth="1"/>
    <col min="3598" max="3840" width="9" style="1638"/>
    <col min="3841" max="3841" width="50.125" style="1638" customWidth="1"/>
    <col min="3842" max="3842" width="6.25" style="1638" customWidth="1"/>
    <col min="3843" max="3843" width="7.875" style="1638" customWidth="1"/>
    <col min="3844" max="3845" width="13.875" style="1638" customWidth="1"/>
    <col min="3846" max="3846" width="6.25" style="1638" customWidth="1"/>
    <col min="3847" max="3847" width="7.875" style="1638" customWidth="1"/>
    <col min="3848" max="3848" width="9" style="1638" customWidth="1"/>
    <col min="3849" max="3850" width="10.625" style="1638" customWidth="1"/>
    <col min="3851" max="3851" width="14.375" style="1638" customWidth="1"/>
    <col min="3852" max="3852" width="6.25" style="1638" customWidth="1"/>
    <col min="3853" max="3853" width="32" style="1638" customWidth="1"/>
    <col min="3854" max="4096" width="9" style="1638"/>
    <col min="4097" max="4097" width="50.125" style="1638" customWidth="1"/>
    <col min="4098" max="4098" width="6.25" style="1638" customWidth="1"/>
    <col min="4099" max="4099" width="7.875" style="1638" customWidth="1"/>
    <col min="4100" max="4101" width="13.875" style="1638" customWidth="1"/>
    <col min="4102" max="4102" width="6.25" style="1638" customWidth="1"/>
    <col min="4103" max="4103" width="7.875" style="1638" customWidth="1"/>
    <col min="4104" max="4104" width="9" style="1638" customWidth="1"/>
    <col min="4105" max="4106" width="10.625" style="1638" customWidth="1"/>
    <col min="4107" max="4107" width="14.375" style="1638" customWidth="1"/>
    <col min="4108" max="4108" width="6.25" style="1638" customWidth="1"/>
    <col min="4109" max="4109" width="32" style="1638" customWidth="1"/>
    <col min="4110" max="4352" width="9" style="1638"/>
    <col min="4353" max="4353" width="50.125" style="1638" customWidth="1"/>
    <col min="4354" max="4354" width="6.25" style="1638" customWidth="1"/>
    <col min="4355" max="4355" width="7.875" style="1638" customWidth="1"/>
    <col min="4356" max="4357" width="13.875" style="1638" customWidth="1"/>
    <col min="4358" max="4358" width="6.25" style="1638" customWidth="1"/>
    <col min="4359" max="4359" width="7.875" style="1638" customWidth="1"/>
    <col min="4360" max="4360" width="9" style="1638" customWidth="1"/>
    <col min="4361" max="4362" width="10.625" style="1638" customWidth="1"/>
    <col min="4363" max="4363" width="14.375" style="1638" customWidth="1"/>
    <col min="4364" max="4364" width="6.25" style="1638" customWidth="1"/>
    <col min="4365" max="4365" width="32" style="1638" customWidth="1"/>
    <col min="4366" max="4608" width="9" style="1638"/>
    <col min="4609" max="4609" width="50.125" style="1638" customWidth="1"/>
    <col min="4610" max="4610" width="6.25" style="1638" customWidth="1"/>
    <col min="4611" max="4611" width="7.875" style="1638" customWidth="1"/>
    <col min="4612" max="4613" width="13.875" style="1638" customWidth="1"/>
    <col min="4614" max="4614" width="6.25" style="1638" customWidth="1"/>
    <col min="4615" max="4615" width="7.875" style="1638" customWidth="1"/>
    <col min="4616" max="4616" width="9" style="1638" customWidth="1"/>
    <col min="4617" max="4618" width="10.625" style="1638" customWidth="1"/>
    <col min="4619" max="4619" width="14.375" style="1638" customWidth="1"/>
    <col min="4620" max="4620" width="6.25" style="1638" customWidth="1"/>
    <col min="4621" max="4621" width="32" style="1638" customWidth="1"/>
    <col min="4622" max="4864" width="9" style="1638"/>
    <col min="4865" max="4865" width="50.125" style="1638" customWidth="1"/>
    <col min="4866" max="4866" width="6.25" style="1638" customWidth="1"/>
    <col min="4867" max="4867" width="7.875" style="1638" customWidth="1"/>
    <col min="4868" max="4869" width="13.875" style="1638" customWidth="1"/>
    <col min="4870" max="4870" width="6.25" style="1638" customWidth="1"/>
    <col min="4871" max="4871" width="7.875" style="1638" customWidth="1"/>
    <col min="4872" max="4872" width="9" style="1638" customWidth="1"/>
    <col min="4873" max="4874" width="10.625" style="1638" customWidth="1"/>
    <col min="4875" max="4875" width="14.375" style="1638" customWidth="1"/>
    <col min="4876" max="4876" width="6.25" style="1638" customWidth="1"/>
    <col min="4877" max="4877" width="32" style="1638" customWidth="1"/>
    <col min="4878" max="5120" width="9" style="1638"/>
    <col min="5121" max="5121" width="50.125" style="1638" customWidth="1"/>
    <col min="5122" max="5122" width="6.25" style="1638" customWidth="1"/>
    <col min="5123" max="5123" width="7.875" style="1638" customWidth="1"/>
    <col min="5124" max="5125" width="13.875" style="1638" customWidth="1"/>
    <col min="5126" max="5126" width="6.25" style="1638" customWidth="1"/>
    <col min="5127" max="5127" width="7.875" style="1638" customWidth="1"/>
    <col min="5128" max="5128" width="9" style="1638" customWidth="1"/>
    <col min="5129" max="5130" width="10.625" style="1638" customWidth="1"/>
    <col min="5131" max="5131" width="14.375" style="1638" customWidth="1"/>
    <col min="5132" max="5132" width="6.25" style="1638" customWidth="1"/>
    <col min="5133" max="5133" width="32" style="1638" customWidth="1"/>
    <col min="5134" max="5376" width="9" style="1638"/>
    <col min="5377" max="5377" width="50.125" style="1638" customWidth="1"/>
    <col min="5378" max="5378" width="6.25" style="1638" customWidth="1"/>
    <col min="5379" max="5379" width="7.875" style="1638" customWidth="1"/>
    <col min="5380" max="5381" width="13.875" style="1638" customWidth="1"/>
    <col min="5382" max="5382" width="6.25" style="1638" customWidth="1"/>
    <col min="5383" max="5383" width="7.875" style="1638" customWidth="1"/>
    <col min="5384" max="5384" width="9" style="1638" customWidth="1"/>
    <col min="5385" max="5386" width="10.625" style="1638" customWidth="1"/>
    <col min="5387" max="5387" width="14.375" style="1638" customWidth="1"/>
    <col min="5388" max="5388" width="6.25" style="1638" customWidth="1"/>
    <col min="5389" max="5389" width="32" style="1638" customWidth="1"/>
    <col min="5390" max="5632" width="9" style="1638"/>
    <col min="5633" max="5633" width="50.125" style="1638" customWidth="1"/>
    <col min="5634" max="5634" width="6.25" style="1638" customWidth="1"/>
    <col min="5635" max="5635" width="7.875" style="1638" customWidth="1"/>
    <col min="5636" max="5637" width="13.875" style="1638" customWidth="1"/>
    <col min="5638" max="5638" width="6.25" style="1638" customWidth="1"/>
    <col min="5639" max="5639" width="7.875" style="1638" customWidth="1"/>
    <col min="5640" max="5640" width="9" style="1638" customWidth="1"/>
    <col min="5641" max="5642" width="10.625" style="1638" customWidth="1"/>
    <col min="5643" max="5643" width="14.375" style="1638" customWidth="1"/>
    <col min="5644" max="5644" width="6.25" style="1638" customWidth="1"/>
    <col min="5645" max="5645" width="32" style="1638" customWidth="1"/>
    <col min="5646" max="5888" width="9" style="1638"/>
    <col min="5889" max="5889" width="50.125" style="1638" customWidth="1"/>
    <col min="5890" max="5890" width="6.25" style="1638" customWidth="1"/>
    <col min="5891" max="5891" width="7.875" style="1638" customWidth="1"/>
    <col min="5892" max="5893" width="13.875" style="1638" customWidth="1"/>
    <col min="5894" max="5894" width="6.25" style="1638" customWidth="1"/>
    <col min="5895" max="5895" width="7.875" style="1638" customWidth="1"/>
    <col min="5896" max="5896" width="9" style="1638" customWidth="1"/>
    <col min="5897" max="5898" width="10.625" style="1638" customWidth="1"/>
    <col min="5899" max="5899" width="14.375" style="1638" customWidth="1"/>
    <col min="5900" max="5900" width="6.25" style="1638" customWidth="1"/>
    <col min="5901" max="5901" width="32" style="1638" customWidth="1"/>
    <col min="5902" max="6144" width="9" style="1638"/>
    <col min="6145" max="6145" width="50.125" style="1638" customWidth="1"/>
    <col min="6146" max="6146" width="6.25" style="1638" customWidth="1"/>
    <col min="6147" max="6147" width="7.875" style="1638" customWidth="1"/>
    <col min="6148" max="6149" width="13.875" style="1638" customWidth="1"/>
    <col min="6150" max="6150" width="6.25" style="1638" customWidth="1"/>
    <col min="6151" max="6151" width="7.875" style="1638" customWidth="1"/>
    <col min="6152" max="6152" width="9" style="1638" customWidth="1"/>
    <col min="6153" max="6154" width="10.625" style="1638" customWidth="1"/>
    <col min="6155" max="6155" width="14.375" style="1638" customWidth="1"/>
    <col min="6156" max="6156" width="6.25" style="1638" customWidth="1"/>
    <col min="6157" max="6157" width="32" style="1638" customWidth="1"/>
    <col min="6158" max="6400" width="9" style="1638"/>
    <col min="6401" max="6401" width="50.125" style="1638" customWidth="1"/>
    <col min="6402" max="6402" width="6.25" style="1638" customWidth="1"/>
    <col min="6403" max="6403" width="7.875" style="1638" customWidth="1"/>
    <col min="6404" max="6405" width="13.875" style="1638" customWidth="1"/>
    <col min="6406" max="6406" width="6.25" style="1638" customWidth="1"/>
    <col min="6407" max="6407" width="7.875" style="1638" customWidth="1"/>
    <col min="6408" max="6408" width="9" style="1638" customWidth="1"/>
    <col min="6409" max="6410" width="10.625" style="1638" customWidth="1"/>
    <col min="6411" max="6411" width="14.375" style="1638" customWidth="1"/>
    <col min="6412" max="6412" width="6.25" style="1638" customWidth="1"/>
    <col min="6413" max="6413" width="32" style="1638" customWidth="1"/>
    <col min="6414" max="6656" width="9" style="1638"/>
    <col min="6657" max="6657" width="50.125" style="1638" customWidth="1"/>
    <col min="6658" max="6658" width="6.25" style="1638" customWidth="1"/>
    <col min="6659" max="6659" width="7.875" style="1638" customWidth="1"/>
    <col min="6660" max="6661" width="13.875" style="1638" customWidth="1"/>
    <col min="6662" max="6662" width="6.25" style="1638" customWidth="1"/>
    <col min="6663" max="6663" width="7.875" style="1638" customWidth="1"/>
    <col min="6664" max="6664" width="9" style="1638" customWidth="1"/>
    <col min="6665" max="6666" width="10.625" style="1638" customWidth="1"/>
    <col min="6667" max="6667" width="14.375" style="1638" customWidth="1"/>
    <col min="6668" max="6668" width="6.25" style="1638" customWidth="1"/>
    <col min="6669" max="6669" width="32" style="1638" customWidth="1"/>
    <col min="6670" max="6912" width="9" style="1638"/>
    <col min="6913" max="6913" width="50.125" style="1638" customWidth="1"/>
    <col min="6914" max="6914" width="6.25" style="1638" customWidth="1"/>
    <col min="6915" max="6915" width="7.875" style="1638" customWidth="1"/>
    <col min="6916" max="6917" width="13.875" style="1638" customWidth="1"/>
    <col min="6918" max="6918" width="6.25" style="1638" customWidth="1"/>
    <col min="6919" max="6919" width="7.875" style="1638" customWidth="1"/>
    <col min="6920" max="6920" width="9" style="1638" customWidth="1"/>
    <col min="6921" max="6922" width="10.625" style="1638" customWidth="1"/>
    <col min="6923" max="6923" width="14.375" style="1638" customWidth="1"/>
    <col min="6924" max="6924" width="6.25" style="1638" customWidth="1"/>
    <col min="6925" max="6925" width="32" style="1638" customWidth="1"/>
    <col min="6926" max="7168" width="9" style="1638"/>
    <col min="7169" max="7169" width="50.125" style="1638" customWidth="1"/>
    <col min="7170" max="7170" width="6.25" style="1638" customWidth="1"/>
    <col min="7171" max="7171" width="7.875" style="1638" customWidth="1"/>
    <col min="7172" max="7173" width="13.875" style="1638" customWidth="1"/>
    <col min="7174" max="7174" width="6.25" style="1638" customWidth="1"/>
    <col min="7175" max="7175" width="7.875" style="1638" customWidth="1"/>
    <col min="7176" max="7176" width="9" style="1638" customWidth="1"/>
    <col min="7177" max="7178" width="10.625" style="1638" customWidth="1"/>
    <col min="7179" max="7179" width="14.375" style="1638" customWidth="1"/>
    <col min="7180" max="7180" width="6.25" style="1638" customWidth="1"/>
    <col min="7181" max="7181" width="32" style="1638" customWidth="1"/>
    <col min="7182" max="7424" width="9" style="1638"/>
    <col min="7425" max="7425" width="50.125" style="1638" customWidth="1"/>
    <col min="7426" max="7426" width="6.25" style="1638" customWidth="1"/>
    <col min="7427" max="7427" width="7.875" style="1638" customWidth="1"/>
    <col min="7428" max="7429" width="13.875" style="1638" customWidth="1"/>
    <col min="7430" max="7430" width="6.25" style="1638" customWidth="1"/>
    <col min="7431" max="7431" width="7.875" style="1638" customWidth="1"/>
    <col min="7432" max="7432" width="9" style="1638" customWidth="1"/>
    <col min="7433" max="7434" width="10.625" style="1638" customWidth="1"/>
    <col min="7435" max="7435" width="14.375" style="1638" customWidth="1"/>
    <col min="7436" max="7436" width="6.25" style="1638" customWidth="1"/>
    <col min="7437" max="7437" width="32" style="1638" customWidth="1"/>
    <col min="7438" max="7680" width="9" style="1638"/>
    <col min="7681" max="7681" width="50.125" style="1638" customWidth="1"/>
    <col min="7682" max="7682" width="6.25" style="1638" customWidth="1"/>
    <col min="7683" max="7683" width="7.875" style="1638" customWidth="1"/>
    <col min="7684" max="7685" width="13.875" style="1638" customWidth="1"/>
    <col min="7686" max="7686" width="6.25" style="1638" customWidth="1"/>
    <col min="7687" max="7687" width="7.875" style="1638" customWidth="1"/>
    <col min="7688" max="7688" width="9" style="1638" customWidth="1"/>
    <col min="7689" max="7690" width="10.625" style="1638" customWidth="1"/>
    <col min="7691" max="7691" width="14.375" style="1638" customWidth="1"/>
    <col min="7692" max="7692" width="6.25" style="1638" customWidth="1"/>
    <col min="7693" max="7693" width="32" style="1638" customWidth="1"/>
    <col min="7694" max="7936" width="9" style="1638"/>
    <col min="7937" max="7937" width="50.125" style="1638" customWidth="1"/>
    <col min="7938" max="7938" width="6.25" style="1638" customWidth="1"/>
    <col min="7939" max="7939" width="7.875" style="1638" customWidth="1"/>
    <col min="7940" max="7941" width="13.875" style="1638" customWidth="1"/>
    <col min="7942" max="7942" width="6.25" style="1638" customWidth="1"/>
    <col min="7943" max="7943" width="7.875" style="1638" customWidth="1"/>
    <col min="7944" max="7944" width="9" style="1638" customWidth="1"/>
    <col min="7945" max="7946" width="10.625" style="1638" customWidth="1"/>
    <col min="7947" max="7947" width="14.375" style="1638" customWidth="1"/>
    <col min="7948" max="7948" width="6.25" style="1638" customWidth="1"/>
    <col min="7949" max="7949" width="32" style="1638" customWidth="1"/>
    <col min="7950" max="8192" width="9" style="1638"/>
    <col min="8193" max="8193" width="50.125" style="1638" customWidth="1"/>
    <col min="8194" max="8194" width="6.25" style="1638" customWidth="1"/>
    <col min="8195" max="8195" width="7.875" style="1638" customWidth="1"/>
    <col min="8196" max="8197" width="13.875" style="1638" customWidth="1"/>
    <col min="8198" max="8198" width="6.25" style="1638" customWidth="1"/>
    <col min="8199" max="8199" width="7.875" style="1638" customWidth="1"/>
    <col min="8200" max="8200" width="9" style="1638" customWidth="1"/>
    <col min="8201" max="8202" width="10.625" style="1638" customWidth="1"/>
    <col min="8203" max="8203" width="14.375" style="1638" customWidth="1"/>
    <col min="8204" max="8204" width="6.25" style="1638" customWidth="1"/>
    <col min="8205" max="8205" width="32" style="1638" customWidth="1"/>
    <col min="8206" max="8448" width="9" style="1638"/>
    <col min="8449" max="8449" width="50.125" style="1638" customWidth="1"/>
    <col min="8450" max="8450" width="6.25" style="1638" customWidth="1"/>
    <col min="8451" max="8451" width="7.875" style="1638" customWidth="1"/>
    <col min="8452" max="8453" width="13.875" style="1638" customWidth="1"/>
    <col min="8454" max="8454" width="6.25" style="1638" customWidth="1"/>
    <col min="8455" max="8455" width="7.875" style="1638" customWidth="1"/>
    <col min="8456" max="8456" width="9" style="1638" customWidth="1"/>
    <col min="8457" max="8458" width="10.625" style="1638" customWidth="1"/>
    <col min="8459" max="8459" width="14.375" style="1638" customWidth="1"/>
    <col min="8460" max="8460" width="6.25" style="1638" customWidth="1"/>
    <col min="8461" max="8461" width="32" style="1638" customWidth="1"/>
    <col min="8462" max="8704" width="9" style="1638"/>
    <col min="8705" max="8705" width="50.125" style="1638" customWidth="1"/>
    <col min="8706" max="8706" width="6.25" style="1638" customWidth="1"/>
    <col min="8707" max="8707" width="7.875" style="1638" customWidth="1"/>
    <col min="8708" max="8709" width="13.875" style="1638" customWidth="1"/>
    <col min="8710" max="8710" width="6.25" style="1638" customWidth="1"/>
    <col min="8711" max="8711" width="7.875" style="1638" customWidth="1"/>
    <col min="8712" max="8712" width="9" style="1638" customWidth="1"/>
    <col min="8713" max="8714" width="10.625" style="1638" customWidth="1"/>
    <col min="8715" max="8715" width="14.375" style="1638" customWidth="1"/>
    <col min="8716" max="8716" width="6.25" style="1638" customWidth="1"/>
    <col min="8717" max="8717" width="32" style="1638" customWidth="1"/>
    <col min="8718" max="8960" width="9" style="1638"/>
    <col min="8961" max="8961" width="50.125" style="1638" customWidth="1"/>
    <col min="8962" max="8962" width="6.25" style="1638" customWidth="1"/>
    <col min="8963" max="8963" width="7.875" style="1638" customWidth="1"/>
    <col min="8964" max="8965" width="13.875" style="1638" customWidth="1"/>
    <col min="8966" max="8966" width="6.25" style="1638" customWidth="1"/>
    <col min="8967" max="8967" width="7.875" style="1638" customWidth="1"/>
    <col min="8968" max="8968" width="9" style="1638" customWidth="1"/>
    <col min="8969" max="8970" width="10.625" style="1638" customWidth="1"/>
    <col min="8971" max="8971" width="14.375" style="1638" customWidth="1"/>
    <col min="8972" max="8972" width="6.25" style="1638" customWidth="1"/>
    <col min="8973" max="8973" width="32" style="1638" customWidth="1"/>
    <col min="8974" max="9216" width="9" style="1638"/>
    <col min="9217" max="9217" width="50.125" style="1638" customWidth="1"/>
    <col min="9218" max="9218" width="6.25" style="1638" customWidth="1"/>
    <col min="9219" max="9219" width="7.875" style="1638" customWidth="1"/>
    <col min="9220" max="9221" width="13.875" style="1638" customWidth="1"/>
    <col min="9222" max="9222" width="6.25" style="1638" customWidth="1"/>
    <col min="9223" max="9223" width="7.875" style="1638" customWidth="1"/>
    <col min="9224" max="9224" width="9" style="1638" customWidth="1"/>
    <col min="9225" max="9226" width="10.625" style="1638" customWidth="1"/>
    <col min="9227" max="9227" width="14.375" style="1638" customWidth="1"/>
    <col min="9228" max="9228" width="6.25" style="1638" customWidth="1"/>
    <col min="9229" max="9229" width="32" style="1638" customWidth="1"/>
    <col min="9230" max="9472" width="9" style="1638"/>
    <col min="9473" max="9473" width="50.125" style="1638" customWidth="1"/>
    <col min="9474" max="9474" width="6.25" style="1638" customWidth="1"/>
    <col min="9475" max="9475" width="7.875" style="1638" customWidth="1"/>
    <col min="9476" max="9477" width="13.875" style="1638" customWidth="1"/>
    <col min="9478" max="9478" width="6.25" style="1638" customWidth="1"/>
    <col min="9479" max="9479" width="7.875" style="1638" customWidth="1"/>
    <col min="9480" max="9480" width="9" style="1638" customWidth="1"/>
    <col min="9481" max="9482" width="10.625" style="1638" customWidth="1"/>
    <col min="9483" max="9483" width="14.375" style="1638" customWidth="1"/>
    <col min="9484" max="9484" width="6.25" style="1638" customWidth="1"/>
    <col min="9485" max="9485" width="32" style="1638" customWidth="1"/>
    <col min="9486" max="9728" width="9" style="1638"/>
    <col min="9729" max="9729" width="50.125" style="1638" customWidth="1"/>
    <col min="9730" max="9730" width="6.25" style="1638" customWidth="1"/>
    <col min="9731" max="9731" width="7.875" style="1638" customWidth="1"/>
    <col min="9732" max="9733" width="13.875" style="1638" customWidth="1"/>
    <col min="9734" max="9734" width="6.25" style="1638" customWidth="1"/>
    <col min="9735" max="9735" width="7.875" style="1638" customWidth="1"/>
    <col min="9736" max="9736" width="9" style="1638" customWidth="1"/>
    <col min="9737" max="9738" width="10.625" style="1638" customWidth="1"/>
    <col min="9739" max="9739" width="14.375" style="1638" customWidth="1"/>
    <col min="9740" max="9740" width="6.25" style="1638" customWidth="1"/>
    <col min="9741" max="9741" width="32" style="1638" customWidth="1"/>
    <col min="9742" max="9984" width="9" style="1638"/>
    <col min="9985" max="9985" width="50.125" style="1638" customWidth="1"/>
    <col min="9986" max="9986" width="6.25" style="1638" customWidth="1"/>
    <col min="9987" max="9987" width="7.875" style="1638" customWidth="1"/>
    <col min="9988" max="9989" width="13.875" style="1638" customWidth="1"/>
    <col min="9990" max="9990" width="6.25" style="1638" customWidth="1"/>
    <col min="9991" max="9991" width="7.875" style="1638" customWidth="1"/>
    <col min="9992" max="9992" width="9" style="1638" customWidth="1"/>
    <col min="9993" max="9994" width="10.625" style="1638" customWidth="1"/>
    <col min="9995" max="9995" width="14.375" style="1638" customWidth="1"/>
    <col min="9996" max="9996" width="6.25" style="1638" customWidth="1"/>
    <col min="9997" max="9997" width="32" style="1638" customWidth="1"/>
    <col min="9998" max="10240" width="9" style="1638"/>
    <col min="10241" max="10241" width="50.125" style="1638" customWidth="1"/>
    <col min="10242" max="10242" width="6.25" style="1638" customWidth="1"/>
    <col min="10243" max="10243" width="7.875" style="1638" customWidth="1"/>
    <col min="10244" max="10245" width="13.875" style="1638" customWidth="1"/>
    <col min="10246" max="10246" width="6.25" style="1638" customWidth="1"/>
    <col min="10247" max="10247" width="7.875" style="1638" customWidth="1"/>
    <col min="10248" max="10248" width="9" style="1638" customWidth="1"/>
    <col min="10249" max="10250" width="10.625" style="1638" customWidth="1"/>
    <col min="10251" max="10251" width="14.375" style="1638" customWidth="1"/>
    <col min="10252" max="10252" width="6.25" style="1638" customWidth="1"/>
    <col min="10253" max="10253" width="32" style="1638" customWidth="1"/>
    <col min="10254" max="10496" width="9" style="1638"/>
    <col min="10497" max="10497" width="50.125" style="1638" customWidth="1"/>
    <col min="10498" max="10498" width="6.25" style="1638" customWidth="1"/>
    <col min="10499" max="10499" width="7.875" style="1638" customWidth="1"/>
    <col min="10500" max="10501" width="13.875" style="1638" customWidth="1"/>
    <col min="10502" max="10502" width="6.25" style="1638" customWidth="1"/>
    <col min="10503" max="10503" width="7.875" style="1638" customWidth="1"/>
    <col min="10504" max="10504" width="9" style="1638" customWidth="1"/>
    <col min="10505" max="10506" width="10.625" style="1638" customWidth="1"/>
    <col min="10507" max="10507" width="14.375" style="1638" customWidth="1"/>
    <col min="10508" max="10508" width="6.25" style="1638" customWidth="1"/>
    <col min="10509" max="10509" width="32" style="1638" customWidth="1"/>
    <col min="10510" max="10752" width="9" style="1638"/>
    <col min="10753" max="10753" width="50.125" style="1638" customWidth="1"/>
    <col min="10754" max="10754" width="6.25" style="1638" customWidth="1"/>
    <col min="10755" max="10755" width="7.875" style="1638" customWidth="1"/>
    <col min="10756" max="10757" width="13.875" style="1638" customWidth="1"/>
    <col min="10758" max="10758" width="6.25" style="1638" customWidth="1"/>
    <col min="10759" max="10759" width="7.875" style="1638" customWidth="1"/>
    <col min="10760" max="10760" width="9" style="1638" customWidth="1"/>
    <col min="10761" max="10762" width="10.625" style="1638" customWidth="1"/>
    <col min="10763" max="10763" width="14.375" style="1638" customWidth="1"/>
    <col min="10764" max="10764" width="6.25" style="1638" customWidth="1"/>
    <col min="10765" max="10765" width="32" style="1638" customWidth="1"/>
    <col min="10766" max="11008" width="9" style="1638"/>
    <col min="11009" max="11009" width="50.125" style="1638" customWidth="1"/>
    <col min="11010" max="11010" width="6.25" style="1638" customWidth="1"/>
    <col min="11011" max="11011" width="7.875" style="1638" customWidth="1"/>
    <col min="11012" max="11013" width="13.875" style="1638" customWidth="1"/>
    <col min="11014" max="11014" width="6.25" style="1638" customWidth="1"/>
    <col min="11015" max="11015" width="7.875" style="1638" customWidth="1"/>
    <col min="11016" max="11016" width="9" style="1638" customWidth="1"/>
    <col min="11017" max="11018" width="10.625" style="1638" customWidth="1"/>
    <col min="11019" max="11019" width="14.375" style="1638" customWidth="1"/>
    <col min="11020" max="11020" width="6.25" style="1638" customWidth="1"/>
    <col min="11021" max="11021" width="32" style="1638" customWidth="1"/>
    <col min="11022" max="11264" width="9" style="1638"/>
    <col min="11265" max="11265" width="50.125" style="1638" customWidth="1"/>
    <col min="11266" max="11266" width="6.25" style="1638" customWidth="1"/>
    <col min="11267" max="11267" width="7.875" style="1638" customWidth="1"/>
    <col min="11268" max="11269" width="13.875" style="1638" customWidth="1"/>
    <col min="11270" max="11270" width="6.25" style="1638" customWidth="1"/>
    <col min="11271" max="11271" width="7.875" style="1638" customWidth="1"/>
    <col min="11272" max="11272" width="9" style="1638" customWidth="1"/>
    <col min="11273" max="11274" width="10.625" style="1638" customWidth="1"/>
    <col min="11275" max="11275" width="14.375" style="1638" customWidth="1"/>
    <col min="11276" max="11276" width="6.25" style="1638" customWidth="1"/>
    <col min="11277" max="11277" width="32" style="1638" customWidth="1"/>
    <col min="11278" max="11520" width="9" style="1638"/>
    <col min="11521" max="11521" width="50.125" style="1638" customWidth="1"/>
    <col min="11522" max="11522" width="6.25" style="1638" customWidth="1"/>
    <col min="11523" max="11523" width="7.875" style="1638" customWidth="1"/>
    <col min="11524" max="11525" width="13.875" style="1638" customWidth="1"/>
    <col min="11526" max="11526" width="6.25" style="1638" customWidth="1"/>
    <col min="11527" max="11527" width="7.875" style="1638" customWidth="1"/>
    <col min="11528" max="11528" width="9" style="1638" customWidth="1"/>
    <col min="11529" max="11530" width="10.625" style="1638" customWidth="1"/>
    <col min="11531" max="11531" width="14.375" style="1638" customWidth="1"/>
    <col min="11532" max="11532" width="6.25" style="1638" customWidth="1"/>
    <col min="11533" max="11533" width="32" style="1638" customWidth="1"/>
    <col min="11534" max="11776" width="9" style="1638"/>
    <col min="11777" max="11777" width="50.125" style="1638" customWidth="1"/>
    <col min="11778" max="11778" width="6.25" style="1638" customWidth="1"/>
    <col min="11779" max="11779" width="7.875" style="1638" customWidth="1"/>
    <col min="11780" max="11781" width="13.875" style="1638" customWidth="1"/>
    <col min="11782" max="11782" width="6.25" style="1638" customWidth="1"/>
    <col min="11783" max="11783" width="7.875" style="1638" customWidth="1"/>
    <col min="11784" max="11784" width="9" style="1638" customWidth="1"/>
    <col min="11785" max="11786" width="10.625" style="1638" customWidth="1"/>
    <col min="11787" max="11787" width="14.375" style="1638" customWidth="1"/>
    <col min="11788" max="11788" width="6.25" style="1638" customWidth="1"/>
    <col min="11789" max="11789" width="32" style="1638" customWidth="1"/>
    <col min="11790" max="12032" width="9" style="1638"/>
    <col min="12033" max="12033" width="50.125" style="1638" customWidth="1"/>
    <col min="12034" max="12034" width="6.25" style="1638" customWidth="1"/>
    <col min="12035" max="12035" width="7.875" style="1638" customWidth="1"/>
    <col min="12036" max="12037" width="13.875" style="1638" customWidth="1"/>
    <col min="12038" max="12038" width="6.25" style="1638" customWidth="1"/>
    <col min="12039" max="12039" width="7.875" style="1638" customWidth="1"/>
    <col min="12040" max="12040" width="9" style="1638" customWidth="1"/>
    <col min="12041" max="12042" width="10.625" style="1638" customWidth="1"/>
    <col min="12043" max="12043" width="14.375" style="1638" customWidth="1"/>
    <col min="12044" max="12044" width="6.25" style="1638" customWidth="1"/>
    <col min="12045" max="12045" width="32" style="1638" customWidth="1"/>
    <col min="12046" max="12288" width="9" style="1638"/>
    <col min="12289" max="12289" width="50.125" style="1638" customWidth="1"/>
    <col min="12290" max="12290" width="6.25" style="1638" customWidth="1"/>
    <col min="12291" max="12291" width="7.875" style="1638" customWidth="1"/>
    <col min="12292" max="12293" width="13.875" style="1638" customWidth="1"/>
    <col min="12294" max="12294" width="6.25" style="1638" customWidth="1"/>
    <col min="12295" max="12295" width="7.875" style="1638" customWidth="1"/>
    <col min="12296" max="12296" width="9" style="1638" customWidth="1"/>
    <col min="12297" max="12298" width="10.625" style="1638" customWidth="1"/>
    <col min="12299" max="12299" width="14.375" style="1638" customWidth="1"/>
    <col min="12300" max="12300" width="6.25" style="1638" customWidth="1"/>
    <col min="12301" max="12301" width="32" style="1638" customWidth="1"/>
    <col min="12302" max="12544" width="9" style="1638"/>
    <col min="12545" max="12545" width="50.125" style="1638" customWidth="1"/>
    <col min="12546" max="12546" width="6.25" style="1638" customWidth="1"/>
    <col min="12547" max="12547" width="7.875" style="1638" customWidth="1"/>
    <col min="12548" max="12549" width="13.875" style="1638" customWidth="1"/>
    <col min="12550" max="12550" width="6.25" style="1638" customWidth="1"/>
    <col min="12551" max="12551" width="7.875" style="1638" customWidth="1"/>
    <col min="12552" max="12552" width="9" style="1638" customWidth="1"/>
    <col min="12553" max="12554" width="10.625" style="1638" customWidth="1"/>
    <col min="12555" max="12555" width="14.375" style="1638" customWidth="1"/>
    <col min="12556" max="12556" width="6.25" style="1638" customWidth="1"/>
    <col min="12557" max="12557" width="32" style="1638" customWidth="1"/>
    <col min="12558" max="12800" width="9" style="1638"/>
    <col min="12801" max="12801" width="50.125" style="1638" customWidth="1"/>
    <col min="12802" max="12802" width="6.25" style="1638" customWidth="1"/>
    <col min="12803" max="12803" width="7.875" style="1638" customWidth="1"/>
    <col min="12804" max="12805" width="13.875" style="1638" customWidth="1"/>
    <col min="12806" max="12806" width="6.25" style="1638" customWidth="1"/>
    <col min="12807" max="12807" width="7.875" style="1638" customWidth="1"/>
    <col min="12808" max="12808" width="9" style="1638" customWidth="1"/>
    <col min="12809" max="12810" width="10.625" style="1638" customWidth="1"/>
    <col min="12811" max="12811" width="14.375" style="1638" customWidth="1"/>
    <col min="12812" max="12812" width="6.25" style="1638" customWidth="1"/>
    <col min="12813" max="12813" width="32" style="1638" customWidth="1"/>
    <col min="12814" max="13056" width="9" style="1638"/>
    <col min="13057" max="13057" width="50.125" style="1638" customWidth="1"/>
    <col min="13058" max="13058" width="6.25" style="1638" customWidth="1"/>
    <col min="13059" max="13059" width="7.875" style="1638" customWidth="1"/>
    <col min="13060" max="13061" width="13.875" style="1638" customWidth="1"/>
    <col min="13062" max="13062" width="6.25" style="1638" customWidth="1"/>
    <col min="13063" max="13063" width="7.875" style="1638" customWidth="1"/>
    <col min="13064" max="13064" width="9" style="1638" customWidth="1"/>
    <col min="13065" max="13066" width="10.625" style="1638" customWidth="1"/>
    <col min="13067" max="13067" width="14.375" style="1638" customWidth="1"/>
    <col min="13068" max="13068" width="6.25" style="1638" customWidth="1"/>
    <col min="13069" max="13069" width="32" style="1638" customWidth="1"/>
    <col min="13070" max="13312" width="9" style="1638"/>
    <col min="13313" max="13313" width="50.125" style="1638" customWidth="1"/>
    <col min="13314" max="13314" width="6.25" style="1638" customWidth="1"/>
    <col min="13315" max="13315" width="7.875" style="1638" customWidth="1"/>
    <col min="13316" max="13317" width="13.875" style="1638" customWidth="1"/>
    <col min="13318" max="13318" width="6.25" style="1638" customWidth="1"/>
    <col min="13319" max="13319" width="7.875" style="1638" customWidth="1"/>
    <col min="13320" max="13320" width="9" style="1638" customWidth="1"/>
    <col min="13321" max="13322" width="10.625" style="1638" customWidth="1"/>
    <col min="13323" max="13323" width="14.375" style="1638" customWidth="1"/>
    <col min="13324" max="13324" width="6.25" style="1638" customWidth="1"/>
    <col min="13325" max="13325" width="32" style="1638" customWidth="1"/>
    <col min="13326" max="13568" width="9" style="1638"/>
    <col min="13569" max="13569" width="50.125" style="1638" customWidth="1"/>
    <col min="13570" max="13570" width="6.25" style="1638" customWidth="1"/>
    <col min="13571" max="13571" width="7.875" style="1638" customWidth="1"/>
    <col min="13572" max="13573" width="13.875" style="1638" customWidth="1"/>
    <col min="13574" max="13574" width="6.25" style="1638" customWidth="1"/>
    <col min="13575" max="13575" width="7.875" style="1638" customWidth="1"/>
    <col min="13576" max="13576" width="9" style="1638" customWidth="1"/>
    <col min="13577" max="13578" width="10.625" style="1638" customWidth="1"/>
    <col min="13579" max="13579" width="14.375" style="1638" customWidth="1"/>
    <col min="13580" max="13580" width="6.25" style="1638" customWidth="1"/>
    <col min="13581" max="13581" width="32" style="1638" customWidth="1"/>
    <col min="13582" max="13824" width="9" style="1638"/>
    <col min="13825" max="13825" width="50.125" style="1638" customWidth="1"/>
    <col min="13826" max="13826" width="6.25" style="1638" customWidth="1"/>
    <col min="13827" max="13827" width="7.875" style="1638" customWidth="1"/>
    <col min="13828" max="13829" width="13.875" style="1638" customWidth="1"/>
    <col min="13830" max="13830" width="6.25" style="1638" customWidth="1"/>
    <col min="13831" max="13831" width="7.875" style="1638" customWidth="1"/>
    <col min="13832" max="13832" width="9" style="1638" customWidth="1"/>
    <col min="13833" max="13834" width="10.625" style="1638" customWidth="1"/>
    <col min="13835" max="13835" width="14.375" style="1638" customWidth="1"/>
    <col min="13836" max="13836" width="6.25" style="1638" customWidth="1"/>
    <col min="13837" max="13837" width="32" style="1638" customWidth="1"/>
    <col min="13838" max="14080" width="9" style="1638"/>
    <col min="14081" max="14081" width="50.125" style="1638" customWidth="1"/>
    <col min="14082" max="14082" width="6.25" style="1638" customWidth="1"/>
    <col min="14083" max="14083" width="7.875" style="1638" customWidth="1"/>
    <col min="14084" max="14085" width="13.875" style="1638" customWidth="1"/>
    <col min="14086" max="14086" width="6.25" style="1638" customWidth="1"/>
    <col min="14087" max="14087" width="7.875" style="1638" customWidth="1"/>
    <col min="14088" max="14088" width="9" style="1638" customWidth="1"/>
    <col min="14089" max="14090" width="10.625" style="1638" customWidth="1"/>
    <col min="14091" max="14091" width="14.375" style="1638" customWidth="1"/>
    <col min="14092" max="14092" width="6.25" style="1638" customWidth="1"/>
    <col min="14093" max="14093" width="32" style="1638" customWidth="1"/>
    <col min="14094" max="14336" width="9" style="1638"/>
    <col min="14337" max="14337" width="50.125" style="1638" customWidth="1"/>
    <col min="14338" max="14338" width="6.25" style="1638" customWidth="1"/>
    <col min="14339" max="14339" width="7.875" style="1638" customWidth="1"/>
    <col min="14340" max="14341" width="13.875" style="1638" customWidth="1"/>
    <col min="14342" max="14342" width="6.25" style="1638" customWidth="1"/>
    <col min="14343" max="14343" width="7.875" style="1638" customWidth="1"/>
    <col min="14344" max="14344" width="9" style="1638" customWidth="1"/>
    <col min="14345" max="14346" width="10.625" style="1638" customWidth="1"/>
    <col min="14347" max="14347" width="14.375" style="1638" customWidth="1"/>
    <col min="14348" max="14348" width="6.25" style="1638" customWidth="1"/>
    <col min="14349" max="14349" width="32" style="1638" customWidth="1"/>
    <col min="14350" max="14592" width="9" style="1638"/>
    <col min="14593" max="14593" width="50.125" style="1638" customWidth="1"/>
    <col min="14594" max="14594" width="6.25" style="1638" customWidth="1"/>
    <col min="14595" max="14595" width="7.875" style="1638" customWidth="1"/>
    <col min="14596" max="14597" width="13.875" style="1638" customWidth="1"/>
    <col min="14598" max="14598" width="6.25" style="1638" customWidth="1"/>
    <col min="14599" max="14599" width="7.875" style="1638" customWidth="1"/>
    <col min="14600" max="14600" width="9" style="1638" customWidth="1"/>
    <col min="14601" max="14602" width="10.625" style="1638" customWidth="1"/>
    <col min="14603" max="14603" width="14.375" style="1638" customWidth="1"/>
    <col min="14604" max="14604" width="6.25" style="1638" customWidth="1"/>
    <col min="14605" max="14605" width="32" style="1638" customWidth="1"/>
    <col min="14606" max="14848" width="9" style="1638"/>
    <col min="14849" max="14849" width="50.125" style="1638" customWidth="1"/>
    <col min="14850" max="14850" width="6.25" style="1638" customWidth="1"/>
    <col min="14851" max="14851" width="7.875" style="1638" customWidth="1"/>
    <col min="14852" max="14853" width="13.875" style="1638" customWidth="1"/>
    <col min="14854" max="14854" width="6.25" style="1638" customWidth="1"/>
    <col min="14855" max="14855" width="7.875" style="1638" customWidth="1"/>
    <col min="14856" max="14856" width="9" style="1638" customWidth="1"/>
    <col min="14857" max="14858" width="10.625" style="1638" customWidth="1"/>
    <col min="14859" max="14859" width="14.375" style="1638" customWidth="1"/>
    <col min="14860" max="14860" width="6.25" style="1638" customWidth="1"/>
    <col min="14861" max="14861" width="32" style="1638" customWidth="1"/>
    <col min="14862" max="15104" width="9" style="1638"/>
    <col min="15105" max="15105" width="50.125" style="1638" customWidth="1"/>
    <col min="15106" max="15106" width="6.25" style="1638" customWidth="1"/>
    <col min="15107" max="15107" width="7.875" style="1638" customWidth="1"/>
    <col min="15108" max="15109" width="13.875" style="1638" customWidth="1"/>
    <col min="15110" max="15110" width="6.25" style="1638" customWidth="1"/>
    <col min="15111" max="15111" width="7.875" style="1638" customWidth="1"/>
    <col min="15112" max="15112" width="9" style="1638" customWidth="1"/>
    <col min="15113" max="15114" width="10.625" style="1638" customWidth="1"/>
    <col min="15115" max="15115" width="14.375" style="1638" customWidth="1"/>
    <col min="15116" max="15116" width="6.25" style="1638" customWidth="1"/>
    <col min="15117" max="15117" width="32" style="1638" customWidth="1"/>
    <col min="15118" max="15360" width="9" style="1638"/>
    <col min="15361" max="15361" width="50.125" style="1638" customWidth="1"/>
    <col min="15362" max="15362" width="6.25" style="1638" customWidth="1"/>
    <col min="15363" max="15363" width="7.875" style="1638" customWidth="1"/>
    <col min="15364" max="15365" width="13.875" style="1638" customWidth="1"/>
    <col min="15366" max="15366" width="6.25" style="1638" customWidth="1"/>
    <col min="15367" max="15367" width="7.875" style="1638" customWidth="1"/>
    <col min="15368" max="15368" width="9" style="1638" customWidth="1"/>
    <col min="15369" max="15370" width="10.625" style="1638" customWidth="1"/>
    <col min="15371" max="15371" width="14.375" style="1638" customWidth="1"/>
    <col min="15372" max="15372" width="6.25" style="1638" customWidth="1"/>
    <col min="15373" max="15373" width="32" style="1638" customWidth="1"/>
    <col min="15374" max="15616" width="9" style="1638"/>
    <col min="15617" max="15617" width="50.125" style="1638" customWidth="1"/>
    <col min="15618" max="15618" width="6.25" style="1638" customWidth="1"/>
    <col min="15619" max="15619" width="7.875" style="1638" customWidth="1"/>
    <col min="15620" max="15621" width="13.875" style="1638" customWidth="1"/>
    <col min="15622" max="15622" width="6.25" style="1638" customWidth="1"/>
    <col min="15623" max="15623" width="7.875" style="1638" customWidth="1"/>
    <col min="15624" max="15624" width="9" style="1638" customWidth="1"/>
    <col min="15625" max="15626" width="10.625" style="1638" customWidth="1"/>
    <col min="15627" max="15627" width="14.375" style="1638" customWidth="1"/>
    <col min="15628" max="15628" width="6.25" style="1638" customWidth="1"/>
    <col min="15629" max="15629" width="32" style="1638" customWidth="1"/>
    <col min="15630" max="15872" width="9" style="1638"/>
    <col min="15873" max="15873" width="50.125" style="1638" customWidth="1"/>
    <col min="15874" max="15874" width="6.25" style="1638" customWidth="1"/>
    <col min="15875" max="15875" width="7.875" style="1638" customWidth="1"/>
    <col min="15876" max="15877" width="13.875" style="1638" customWidth="1"/>
    <col min="15878" max="15878" width="6.25" style="1638" customWidth="1"/>
    <col min="15879" max="15879" width="7.875" style="1638" customWidth="1"/>
    <col min="15880" max="15880" width="9" style="1638" customWidth="1"/>
    <col min="15881" max="15882" width="10.625" style="1638" customWidth="1"/>
    <col min="15883" max="15883" width="14.375" style="1638" customWidth="1"/>
    <col min="15884" max="15884" width="6.25" style="1638" customWidth="1"/>
    <col min="15885" max="15885" width="32" style="1638" customWidth="1"/>
    <col min="15886" max="16128" width="9" style="1638"/>
    <col min="16129" max="16129" width="50.125" style="1638" customWidth="1"/>
    <col min="16130" max="16130" width="6.25" style="1638" customWidth="1"/>
    <col min="16131" max="16131" width="7.875" style="1638" customWidth="1"/>
    <col min="16132" max="16133" width="13.875" style="1638" customWidth="1"/>
    <col min="16134" max="16134" width="6.25" style="1638" customWidth="1"/>
    <col min="16135" max="16135" width="7.875" style="1638" customWidth="1"/>
    <col min="16136" max="16136" width="9" style="1638" customWidth="1"/>
    <col min="16137" max="16138" width="10.625" style="1638" customWidth="1"/>
    <col min="16139" max="16139" width="14.375" style="1638" customWidth="1"/>
    <col min="16140" max="16140" width="6.25" style="1638" customWidth="1"/>
    <col min="16141" max="16141" width="32" style="1638" customWidth="1"/>
    <col min="16142" max="16384" width="9" style="1638"/>
  </cols>
  <sheetData>
    <row r="1" spans="1:13">
      <c r="A1" s="1638" t="s">
        <v>3118</v>
      </c>
      <c r="B1" s="1638" t="s">
        <v>3119</v>
      </c>
      <c r="C1" s="1638" t="s">
        <v>3120</v>
      </c>
      <c r="D1" s="1638" t="s">
        <v>3121</v>
      </c>
      <c r="E1" s="1638" t="s">
        <v>3122</v>
      </c>
      <c r="F1" s="1638" t="s">
        <v>3123</v>
      </c>
      <c r="G1" s="1638" t="s">
        <v>3124</v>
      </c>
      <c r="H1" s="1638" t="s">
        <v>3125</v>
      </c>
      <c r="I1" s="1638" t="s">
        <v>3126</v>
      </c>
      <c r="J1" s="1638" t="s">
        <v>3127</v>
      </c>
      <c r="K1" s="1638" t="s">
        <v>3128</v>
      </c>
      <c r="L1" s="1638" t="s">
        <v>3129</v>
      </c>
      <c r="M1" s="1638" t="s">
        <v>3130</v>
      </c>
    </row>
    <row r="2" spans="1:13">
      <c r="A2" s="1638" t="s">
        <v>3131</v>
      </c>
      <c r="B2" s="1638" t="s">
        <v>3041</v>
      </c>
      <c r="C2" s="1638" t="s">
        <v>3073</v>
      </c>
      <c r="D2" s="1638">
        <v>23044.5</v>
      </c>
      <c r="E2" s="1638">
        <v>46089</v>
      </c>
      <c r="F2" s="1638">
        <v>2</v>
      </c>
      <c r="G2" s="1638" t="s">
        <v>3132</v>
      </c>
      <c r="H2" s="1638" t="s">
        <v>3133</v>
      </c>
      <c r="I2" s="1638">
        <v>4977.6000000000004</v>
      </c>
      <c r="J2" s="1638">
        <v>4977.6000000000004</v>
      </c>
      <c r="K2" s="1638">
        <v>1080</v>
      </c>
      <c r="L2" s="1638">
        <v>0</v>
      </c>
      <c r="M2" s="1638" t="s">
        <v>3134</v>
      </c>
    </row>
    <row r="3" spans="1:13">
      <c r="A3" s="1638" t="s">
        <v>3135</v>
      </c>
      <c r="B3" s="1638" t="s">
        <v>3041</v>
      </c>
      <c r="C3" s="1638" t="s">
        <v>3073</v>
      </c>
      <c r="D3" s="1638">
        <v>4280.58</v>
      </c>
      <c r="E3" s="1638">
        <v>3424</v>
      </c>
      <c r="F3" s="1638">
        <v>0.8</v>
      </c>
      <c r="G3" s="1638" t="s">
        <v>3132</v>
      </c>
      <c r="H3" s="1638" t="s">
        <v>3136</v>
      </c>
      <c r="I3" s="1638">
        <v>642.09</v>
      </c>
      <c r="J3" s="1638">
        <v>642.09</v>
      </c>
      <c r="K3" s="1638">
        <v>1875.25</v>
      </c>
      <c r="L3" s="1638">
        <v>0</v>
      </c>
      <c r="M3" s="1638" t="s">
        <v>3137</v>
      </c>
    </row>
    <row r="4" spans="1:13">
      <c r="A4" s="1638" t="s">
        <v>3138</v>
      </c>
      <c r="B4" s="1638" t="s">
        <v>3041</v>
      </c>
      <c r="C4" s="1638" t="s">
        <v>3073</v>
      </c>
      <c r="D4" s="1638">
        <v>82687.360000000001</v>
      </c>
      <c r="E4" s="1638">
        <v>157106</v>
      </c>
      <c r="F4" s="1638">
        <v>1.9</v>
      </c>
      <c r="G4" s="1638" t="s">
        <v>3132</v>
      </c>
      <c r="H4" s="1638" t="s">
        <v>3139</v>
      </c>
      <c r="I4" s="1638">
        <v>14688.07</v>
      </c>
      <c r="J4" s="1638">
        <v>14688.07</v>
      </c>
      <c r="K4" s="1638">
        <v>934.91</v>
      </c>
      <c r="L4" s="1638">
        <v>0</v>
      </c>
      <c r="M4" s="1638" t="s">
        <v>3140</v>
      </c>
    </row>
    <row r="5" spans="1:13">
      <c r="A5" s="1638" t="s">
        <v>3141</v>
      </c>
      <c r="B5" s="1638" t="s">
        <v>3041</v>
      </c>
      <c r="C5" s="1638" t="s">
        <v>3073</v>
      </c>
      <c r="D5" s="1638">
        <v>791422.1</v>
      </c>
      <c r="E5" s="1638">
        <v>1187133</v>
      </c>
      <c r="F5" s="1638">
        <v>1.5</v>
      </c>
      <c r="G5" s="1638" t="s">
        <v>3132</v>
      </c>
      <c r="H5" s="1638" t="s">
        <v>3142</v>
      </c>
      <c r="I5" s="1638">
        <v>187820</v>
      </c>
      <c r="J5" s="1638">
        <v>187820</v>
      </c>
      <c r="K5" s="1638">
        <v>1582.13</v>
      </c>
      <c r="L5" s="1638">
        <v>0</v>
      </c>
      <c r="M5" s="1638" t="s">
        <v>3143</v>
      </c>
    </row>
    <row r="6" spans="1:13">
      <c r="A6" s="1638" t="s">
        <v>3144</v>
      </c>
      <c r="B6" s="1638" t="s">
        <v>3041</v>
      </c>
      <c r="C6" s="1638" t="s">
        <v>3073</v>
      </c>
      <c r="D6" s="1638">
        <v>23308.3</v>
      </c>
      <c r="E6" s="1638">
        <v>34962.449999999997</v>
      </c>
      <c r="F6" s="1638">
        <v>1.5</v>
      </c>
      <c r="G6" s="1638" t="s">
        <v>3132</v>
      </c>
      <c r="H6" s="1638" t="s">
        <v>3145</v>
      </c>
      <c r="I6" s="1638">
        <v>5244.36</v>
      </c>
      <c r="J6" s="1638">
        <v>5244.36</v>
      </c>
      <c r="K6" s="1638">
        <v>1500</v>
      </c>
      <c r="L6" s="1638">
        <v>0</v>
      </c>
      <c r="M6" s="1638" t="s">
        <v>3146</v>
      </c>
    </row>
    <row r="7" spans="1:13">
      <c r="A7" s="1638" t="s">
        <v>3147</v>
      </c>
      <c r="B7" s="1638" t="s">
        <v>3041</v>
      </c>
      <c r="C7" s="1638" t="s">
        <v>3073</v>
      </c>
      <c r="D7" s="1638">
        <v>19655.95</v>
      </c>
      <c r="E7" s="1638">
        <v>39312</v>
      </c>
      <c r="F7" s="1638">
        <v>8.3000000000000007</v>
      </c>
      <c r="G7" s="1638" t="s">
        <v>3132</v>
      </c>
      <c r="H7" s="1638" t="s">
        <v>3148</v>
      </c>
      <c r="I7" s="1638">
        <v>2634.78</v>
      </c>
      <c r="J7" s="1638">
        <v>2634.78</v>
      </c>
      <c r="K7" s="1638">
        <v>670.22</v>
      </c>
      <c r="L7" s="1638">
        <v>0</v>
      </c>
      <c r="M7" s="1638" t="s">
        <v>3149</v>
      </c>
    </row>
    <row r="8" spans="1:13">
      <c r="A8" s="1638" t="s">
        <v>3150</v>
      </c>
      <c r="B8" s="1638" t="s">
        <v>3041</v>
      </c>
      <c r="C8" s="1638" t="s">
        <v>3073</v>
      </c>
      <c r="D8" s="1638">
        <v>31386.9</v>
      </c>
      <c r="E8" s="1638">
        <v>25110</v>
      </c>
      <c r="F8" s="1638">
        <v>0.8</v>
      </c>
      <c r="G8" s="1638" t="s">
        <v>3132</v>
      </c>
      <c r="H8" s="1638" t="s">
        <v>3151</v>
      </c>
      <c r="I8" s="1638">
        <v>11547.52</v>
      </c>
      <c r="J8" s="1638">
        <v>11547.52</v>
      </c>
      <c r="K8" s="1638">
        <v>4598.7700000000004</v>
      </c>
      <c r="L8" s="1638">
        <v>0</v>
      </c>
      <c r="M8" s="1638" t="s">
        <v>3152</v>
      </c>
    </row>
    <row r="9" spans="1:13">
      <c r="A9" s="1638" t="s">
        <v>3153</v>
      </c>
      <c r="B9" s="1638" t="s">
        <v>3041</v>
      </c>
      <c r="C9" s="1638" t="s">
        <v>3073</v>
      </c>
      <c r="D9" s="1638">
        <v>45231.1</v>
      </c>
      <c r="E9" s="1638">
        <v>36185</v>
      </c>
      <c r="F9" s="1638">
        <v>0.8</v>
      </c>
      <c r="G9" s="1638" t="s">
        <v>3132</v>
      </c>
      <c r="H9" s="1638" t="s">
        <v>3154</v>
      </c>
      <c r="I9" s="1638">
        <v>13943.25</v>
      </c>
      <c r="J9" s="1638">
        <v>13943.25</v>
      </c>
      <c r="K9" s="1638">
        <v>3853.32</v>
      </c>
      <c r="L9" s="1638">
        <v>0</v>
      </c>
      <c r="M9" s="1638" t="s">
        <v>3155</v>
      </c>
    </row>
    <row r="10" spans="1:13">
      <c r="A10" s="1638" t="s">
        <v>3156</v>
      </c>
      <c r="B10" s="1638" t="s">
        <v>3041</v>
      </c>
      <c r="C10" s="1638" t="s">
        <v>3073</v>
      </c>
      <c r="D10" s="1638">
        <v>401615.3</v>
      </c>
      <c r="E10" s="1638">
        <v>401615</v>
      </c>
      <c r="F10" s="1638">
        <v>1</v>
      </c>
      <c r="G10" s="1638" t="s">
        <v>3132</v>
      </c>
      <c r="H10" s="1638" t="s">
        <v>3154</v>
      </c>
      <c r="I10" s="1638">
        <v>109378.8</v>
      </c>
      <c r="J10" s="1638">
        <v>109378.8</v>
      </c>
      <c r="K10" s="1638">
        <v>2723.46</v>
      </c>
      <c r="L10" s="1638">
        <v>0</v>
      </c>
      <c r="M10" s="1638" t="s">
        <v>3157</v>
      </c>
    </row>
    <row r="11" spans="1:13">
      <c r="A11" s="1638" t="s">
        <v>3158</v>
      </c>
      <c r="B11" s="1638" t="s">
        <v>3041</v>
      </c>
      <c r="C11" s="1638" t="s">
        <v>3073</v>
      </c>
      <c r="D11" s="1638">
        <v>72743.12</v>
      </c>
      <c r="E11" s="1638">
        <v>109114.7</v>
      </c>
      <c r="F11" s="1638" t="s">
        <v>3159</v>
      </c>
      <c r="G11" s="1638" t="s">
        <v>3132</v>
      </c>
      <c r="H11" s="1638" t="s">
        <v>3160</v>
      </c>
      <c r="I11" s="1638">
        <v>11784.38</v>
      </c>
      <c r="J11" s="1638">
        <v>11784.38</v>
      </c>
      <c r="K11" s="1638">
        <v>1080</v>
      </c>
      <c r="L11" s="1638">
        <v>0</v>
      </c>
      <c r="M11" s="1638" t="s">
        <v>3161</v>
      </c>
    </row>
    <row r="12" spans="1:13">
      <c r="A12" s="1638" t="s">
        <v>3162</v>
      </c>
      <c r="B12" s="1638" t="s">
        <v>3041</v>
      </c>
      <c r="C12" s="1638" t="s">
        <v>3073</v>
      </c>
      <c r="D12" s="1638">
        <v>55333.599999999999</v>
      </c>
      <c r="E12" s="1638">
        <v>66400</v>
      </c>
      <c r="F12" s="1638" t="s">
        <v>3163</v>
      </c>
      <c r="G12" s="1638" t="s">
        <v>3132</v>
      </c>
      <c r="H12" s="1638" t="s">
        <v>3160</v>
      </c>
      <c r="I12" s="1638">
        <v>9634</v>
      </c>
      <c r="J12" s="1638">
        <v>9634</v>
      </c>
      <c r="K12" s="1638">
        <v>1450.9</v>
      </c>
      <c r="L12" s="1638">
        <v>0</v>
      </c>
      <c r="M12" s="1638" t="s">
        <v>3164</v>
      </c>
    </row>
    <row r="13" spans="1:13">
      <c r="A13" s="1638" t="s">
        <v>3165</v>
      </c>
      <c r="B13" s="1638" t="s">
        <v>3041</v>
      </c>
      <c r="C13" s="1638" t="s">
        <v>3073</v>
      </c>
      <c r="D13" s="1638">
        <v>20000.599999999999</v>
      </c>
      <c r="E13" s="1638">
        <v>30000.9</v>
      </c>
      <c r="F13" s="1638" t="s">
        <v>3166</v>
      </c>
      <c r="G13" s="1638" t="s">
        <v>3132</v>
      </c>
      <c r="H13" s="1638" t="s">
        <v>3160</v>
      </c>
      <c r="I13" s="1638">
        <v>3240.09</v>
      </c>
      <c r="J13" s="1638">
        <v>3240.09</v>
      </c>
      <c r="K13" s="1638">
        <v>1080</v>
      </c>
      <c r="L13" s="1638">
        <v>0</v>
      </c>
      <c r="M13" s="1638" t="s">
        <v>3167</v>
      </c>
    </row>
    <row r="14" spans="1:13">
      <c r="A14" s="1638" t="s">
        <v>3168</v>
      </c>
      <c r="B14" s="1638" t="s">
        <v>3041</v>
      </c>
      <c r="C14" s="1638" t="s">
        <v>3073</v>
      </c>
      <c r="D14" s="1638">
        <v>34726.1</v>
      </c>
      <c r="E14" s="1638">
        <v>52089.15</v>
      </c>
      <c r="F14" s="1638" t="s">
        <v>3159</v>
      </c>
      <c r="G14" s="1638" t="s">
        <v>3132</v>
      </c>
      <c r="H14" s="1638" t="s">
        <v>3169</v>
      </c>
      <c r="I14" s="1638">
        <v>5625.63</v>
      </c>
      <c r="J14" s="1638">
        <v>5625.63</v>
      </c>
      <c r="K14" s="1638">
        <v>1080</v>
      </c>
      <c r="L14" s="1638">
        <v>0</v>
      </c>
      <c r="M14" s="1638" t="s">
        <v>3170</v>
      </c>
    </row>
    <row r="15" spans="1:13">
      <c r="A15" s="1638" t="s">
        <v>3171</v>
      </c>
      <c r="B15" s="1638" t="s">
        <v>3041</v>
      </c>
      <c r="C15" s="1638" t="s">
        <v>3073</v>
      </c>
      <c r="D15" s="1638">
        <v>57769</v>
      </c>
      <c r="E15" s="1638">
        <v>57769</v>
      </c>
      <c r="F15" s="1638" t="s">
        <v>3172</v>
      </c>
      <c r="G15" s="1638" t="s">
        <v>3132</v>
      </c>
      <c r="H15" s="1638" t="s">
        <v>3173</v>
      </c>
      <c r="I15" s="1638">
        <v>7505</v>
      </c>
      <c r="J15" s="1638">
        <v>7505</v>
      </c>
      <c r="K15" s="1638">
        <v>1299.1400000000001</v>
      </c>
      <c r="L15" s="1638">
        <v>0</v>
      </c>
      <c r="M15" s="1638" t="s">
        <v>3174</v>
      </c>
    </row>
    <row r="16" spans="1:13">
      <c r="A16" s="1638" t="s">
        <v>3175</v>
      </c>
      <c r="B16" s="1638" t="s">
        <v>3041</v>
      </c>
      <c r="C16" s="1638" t="s">
        <v>3073</v>
      </c>
      <c r="D16" s="1638">
        <v>32779.72</v>
      </c>
      <c r="E16" s="1638">
        <v>39335.660000000003</v>
      </c>
      <c r="F16" s="1638" t="s">
        <v>3163</v>
      </c>
      <c r="G16" s="1638" t="s">
        <v>3132</v>
      </c>
      <c r="H16" s="1638" t="s">
        <v>3173</v>
      </c>
      <c r="I16" s="1638">
        <v>4456</v>
      </c>
      <c r="J16" s="1638">
        <v>4456</v>
      </c>
      <c r="K16" s="1638">
        <v>1132.8</v>
      </c>
      <c r="L16" s="1638">
        <v>0</v>
      </c>
      <c r="M16" s="1638" t="s">
        <v>3176</v>
      </c>
    </row>
    <row r="17" spans="1:13">
      <c r="A17" s="1638" t="s">
        <v>3177</v>
      </c>
      <c r="B17" s="1638" t="s">
        <v>3041</v>
      </c>
      <c r="C17" s="1638" t="s">
        <v>3073</v>
      </c>
      <c r="D17" s="1638">
        <v>11912.8</v>
      </c>
      <c r="E17" s="1638">
        <v>9530</v>
      </c>
      <c r="F17" s="1638">
        <v>0.8</v>
      </c>
      <c r="G17" s="1638" t="s">
        <v>3132</v>
      </c>
      <c r="H17" s="1638" t="s">
        <v>3178</v>
      </c>
      <c r="I17" s="1638">
        <v>1798</v>
      </c>
      <c r="J17" s="1638">
        <v>1798</v>
      </c>
      <c r="K17" s="1638">
        <v>1886.67</v>
      </c>
      <c r="L17" s="1638">
        <v>0</v>
      </c>
      <c r="M17" s="1638" t="s">
        <v>3179</v>
      </c>
    </row>
    <row r="18" spans="1:13">
      <c r="A18" s="1638" t="s">
        <v>3180</v>
      </c>
      <c r="B18" s="1638" t="s">
        <v>3041</v>
      </c>
      <c r="C18" s="1638" t="s">
        <v>3073</v>
      </c>
      <c r="D18" s="1638">
        <v>103751.8</v>
      </c>
      <c r="E18" s="1638">
        <v>155627.70000000001</v>
      </c>
      <c r="F18" s="1638" t="s">
        <v>3159</v>
      </c>
      <c r="G18" s="1638" t="s">
        <v>3132</v>
      </c>
      <c r="H18" s="1638" t="s">
        <v>3181</v>
      </c>
      <c r="I18" s="1638">
        <v>16807.79</v>
      </c>
      <c r="J18" s="1638">
        <v>16807.79</v>
      </c>
      <c r="K18" s="1638">
        <v>1080</v>
      </c>
      <c r="L18" s="1638">
        <v>0</v>
      </c>
      <c r="M18" s="1638" t="s">
        <v>3182</v>
      </c>
    </row>
    <row r="19" spans="1:13">
      <c r="A19" s="1638" t="s">
        <v>3183</v>
      </c>
      <c r="B19" s="1638" t="s">
        <v>3041</v>
      </c>
      <c r="C19" s="1638" t="s">
        <v>3073</v>
      </c>
      <c r="D19" s="1638">
        <v>61106.9</v>
      </c>
      <c r="E19" s="1638">
        <v>122213.8</v>
      </c>
      <c r="F19" s="1638" t="s">
        <v>3184</v>
      </c>
      <c r="G19" s="1638" t="s">
        <v>3132</v>
      </c>
      <c r="H19" s="1638" t="s">
        <v>3185</v>
      </c>
      <c r="I19" s="1638">
        <v>13199.09</v>
      </c>
      <c r="J19" s="1638">
        <v>13199.09</v>
      </c>
      <c r="K19" s="1638">
        <v>1080</v>
      </c>
      <c r="L19" s="1638">
        <v>0</v>
      </c>
      <c r="M19" s="1638" t="s">
        <v>3186</v>
      </c>
    </row>
    <row r="20" spans="1:13">
      <c r="A20" s="1638" t="s">
        <v>3187</v>
      </c>
      <c r="B20" s="1638" t="s">
        <v>3041</v>
      </c>
      <c r="C20" s="1638" t="s">
        <v>3073</v>
      </c>
      <c r="D20" s="1638">
        <v>2718.4</v>
      </c>
      <c r="E20" s="1638">
        <v>4077.6</v>
      </c>
      <c r="F20" s="1638" t="s">
        <v>3166</v>
      </c>
      <c r="G20" s="1638" t="s">
        <v>3132</v>
      </c>
      <c r="H20" s="1638" t="s">
        <v>3188</v>
      </c>
      <c r="I20" s="1638">
        <v>611.63</v>
      </c>
      <c r="J20" s="1638">
        <v>611.63</v>
      </c>
      <c r="K20" s="1638">
        <v>1500</v>
      </c>
      <c r="L20" s="1638">
        <v>0</v>
      </c>
      <c r="M20" s="1638" t="s">
        <v>3189</v>
      </c>
    </row>
    <row r="21" spans="1:13">
      <c r="A21" s="1638" t="s">
        <v>3190</v>
      </c>
      <c r="B21" s="1638" t="s">
        <v>3041</v>
      </c>
      <c r="C21" s="1638" t="s">
        <v>3073</v>
      </c>
      <c r="D21" s="1638">
        <v>11807.8</v>
      </c>
      <c r="E21" s="1638">
        <v>17711.7</v>
      </c>
      <c r="F21" s="1638" t="s">
        <v>3159</v>
      </c>
      <c r="G21" s="1638" t="s">
        <v>3132</v>
      </c>
      <c r="H21" s="1638" t="s">
        <v>3191</v>
      </c>
      <c r="I21" s="1638">
        <v>2656.76</v>
      </c>
      <c r="J21" s="1638">
        <v>2656.76</v>
      </c>
      <c r="K21" s="1638">
        <v>1500</v>
      </c>
      <c r="L21" s="1638">
        <v>0</v>
      </c>
      <c r="M21" s="1638" t="s">
        <v>3192</v>
      </c>
    </row>
    <row r="22" spans="1:13">
      <c r="A22" s="1638" t="s">
        <v>3193</v>
      </c>
      <c r="B22" s="1638" t="s">
        <v>3041</v>
      </c>
      <c r="C22" s="1638" t="s">
        <v>3073</v>
      </c>
      <c r="D22" s="1638">
        <v>40514.6</v>
      </c>
      <c r="E22" s="1638">
        <v>81029.2</v>
      </c>
      <c r="F22" s="1638" t="s">
        <v>3184</v>
      </c>
      <c r="G22" s="1638" t="s">
        <v>3132</v>
      </c>
      <c r="H22" s="1638" t="s">
        <v>3191</v>
      </c>
      <c r="I22" s="1638">
        <v>7049.53</v>
      </c>
      <c r="J22" s="1638">
        <v>7049.53</v>
      </c>
      <c r="K22" s="1638">
        <v>870</v>
      </c>
      <c r="L22" s="1638">
        <v>0</v>
      </c>
      <c r="M22" s="1638" t="s">
        <v>3194</v>
      </c>
    </row>
    <row r="23" spans="1:13">
      <c r="A23" s="1638" t="s">
        <v>3195</v>
      </c>
      <c r="B23" s="1638" t="s">
        <v>3041</v>
      </c>
      <c r="C23" s="1638" t="s">
        <v>3073</v>
      </c>
      <c r="D23" s="1638">
        <v>125884.4</v>
      </c>
      <c r="E23" s="1638">
        <v>125884</v>
      </c>
      <c r="F23" s="1638">
        <v>1</v>
      </c>
      <c r="G23" s="1638" t="s">
        <v>3132</v>
      </c>
      <c r="H23" s="1638" t="s">
        <v>3191</v>
      </c>
      <c r="I23" s="1638">
        <v>9927.85</v>
      </c>
      <c r="J23" s="1638">
        <v>9927.85</v>
      </c>
      <c r="K23" s="1638">
        <v>788.64</v>
      </c>
      <c r="L23" s="1638">
        <v>0</v>
      </c>
      <c r="M23" s="1638" t="s">
        <v>3196</v>
      </c>
    </row>
    <row r="24" spans="1:13">
      <c r="A24" s="1638" t="s">
        <v>3197</v>
      </c>
      <c r="B24" s="1638" t="s">
        <v>3041</v>
      </c>
      <c r="C24" s="1638" t="s">
        <v>3073</v>
      </c>
      <c r="D24" s="1638">
        <v>31860</v>
      </c>
      <c r="E24" s="1638">
        <v>63720</v>
      </c>
      <c r="F24" s="1638" t="s">
        <v>3184</v>
      </c>
      <c r="G24" s="1638" t="s">
        <v>3132</v>
      </c>
      <c r="H24" s="1638" t="s">
        <v>3198</v>
      </c>
      <c r="I24" s="1638">
        <v>5543.64</v>
      </c>
      <c r="J24" s="1638">
        <v>5543.64</v>
      </c>
      <c r="K24" s="1638">
        <v>870</v>
      </c>
      <c r="L24" s="1638">
        <v>0</v>
      </c>
      <c r="M24" s="1638" t="s">
        <v>3199</v>
      </c>
    </row>
    <row r="25" spans="1:13">
      <c r="A25" s="1638" t="s">
        <v>3200</v>
      </c>
      <c r="B25" s="1638" t="s">
        <v>3041</v>
      </c>
      <c r="C25" s="1638" t="s">
        <v>3073</v>
      </c>
      <c r="D25" s="1638">
        <v>32326.54</v>
      </c>
      <c r="E25" s="1638">
        <v>38791.85</v>
      </c>
      <c r="F25" s="1638" t="s">
        <v>3163</v>
      </c>
      <c r="G25" s="1638" t="s">
        <v>3132</v>
      </c>
      <c r="H25" s="1638" t="s">
        <v>3201</v>
      </c>
      <c r="I25" s="1638">
        <v>4194</v>
      </c>
      <c r="J25" s="1638">
        <v>4194</v>
      </c>
      <c r="K25" s="1638">
        <v>1081.1500000000001</v>
      </c>
      <c r="L25" s="1638">
        <v>0</v>
      </c>
      <c r="M25" s="1638" t="s">
        <v>3202</v>
      </c>
    </row>
    <row r="26" spans="1:13">
      <c r="A26" s="1638" t="s">
        <v>3203</v>
      </c>
      <c r="B26" s="1638" t="s">
        <v>3041</v>
      </c>
      <c r="C26" s="1638" t="s">
        <v>3073</v>
      </c>
      <c r="D26" s="1638">
        <v>31995.71</v>
      </c>
      <c r="E26" s="1638">
        <v>38394.85</v>
      </c>
      <c r="F26" s="1638" t="s">
        <v>3163</v>
      </c>
      <c r="G26" s="1638" t="s">
        <v>3132</v>
      </c>
      <c r="H26" s="1638" t="s">
        <v>3204</v>
      </c>
      <c r="I26" s="1638">
        <v>4151</v>
      </c>
      <c r="J26" s="1638">
        <v>4151</v>
      </c>
      <c r="K26" s="1638">
        <v>1081.1300000000001</v>
      </c>
      <c r="L26" s="1638">
        <v>0</v>
      </c>
      <c r="M26" s="1638" t="s">
        <v>3205</v>
      </c>
    </row>
    <row r="27" spans="1:13">
      <c r="A27" s="1638" t="s">
        <v>3206</v>
      </c>
      <c r="B27" s="1638" t="s">
        <v>3041</v>
      </c>
      <c r="C27" s="1638" t="s">
        <v>3073</v>
      </c>
      <c r="D27" s="1638">
        <v>49749.07</v>
      </c>
      <c r="E27" s="1638">
        <v>49749.07</v>
      </c>
      <c r="F27" s="1638" t="s">
        <v>3172</v>
      </c>
      <c r="G27" s="1638" t="s">
        <v>3132</v>
      </c>
      <c r="H27" s="1638" t="s">
        <v>3207</v>
      </c>
      <c r="I27" s="1638">
        <v>6156</v>
      </c>
      <c r="J27" s="1638">
        <v>6156</v>
      </c>
      <c r="K27" s="1638">
        <v>1237.4100000000001</v>
      </c>
      <c r="L27" s="1638">
        <v>0</v>
      </c>
      <c r="M27" s="1638" t="s">
        <v>3208</v>
      </c>
    </row>
    <row r="28" spans="1:13">
      <c r="A28" s="1638" t="s">
        <v>3209</v>
      </c>
      <c r="B28" s="1638" t="s">
        <v>3041</v>
      </c>
      <c r="C28" s="1638" t="s">
        <v>3073</v>
      </c>
      <c r="D28" s="1638">
        <v>10121</v>
      </c>
      <c r="E28" s="1638">
        <v>10121</v>
      </c>
      <c r="F28" s="1638">
        <v>1</v>
      </c>
      <c r="G28" s="1638" t="s">
        <v>3132</v>
      </c>
      <c r="H28" s="1638" t="s">
        <v>3210</v>
      </c>
      <c r="I28" s="1638">
        <v>926</v>
      </c>
      <c r="J28" s="1638">
        <v>926</v>
      </c>
      <c r="K28" s="1638">
        <v>914.92</v>
      </c>
      <c r="L28" s="1638">
        <v>0</v>
      </c>
      <c r="M28" s="1638" t="s">
        <v>3211</v>
      </c>
    </row>
    <row r="29" spans="1:13">
      <c r="A29" s="1638" t="s">
        <v>3212</v>
      </c>
      <c r="B29" s="1638" t="s">
        <v>3041</v>
      </c>
      <c r="C29" s="1638" t="s">
        <v>3073</v>
      </c>
      <c r="D29" s="1638">
        <v>233050</v>
      </c>
      <c r="E29" s="1638">
        <v>279660</v>
      </c>
      <c r="F29" s="1638" t="s">
        <v>3163</v>
      </c>
      <c r="G29" s="1638" t="s">
        <v>3132</v>
      </c>
      <c r="H29" s="1638" t="s">
        <v>3210</v>
      </c>
      <c r="I29" s="1638">
        <v>21533.81</v>
      </c>
      <c r="J29" s="1638">
        <v>21533.81</v>
      </c>
      <c r="K29" s="1638">
        <v>770</v>
      </c>
      <c r="L29" s="1638">
        <v>0</v>
      </c>
      <c r="M29" s="1638" t="s">
        <v>3143</v>
      </c>
    </row>
    <row r="30" spans="1:13">
      <c r="A30" s="1638" t="s">
        <v>3213</v>
      </c>
      <c r="B30" s="1638" t="s">
        <v>3041</v>
      </c>
      <c r="C30" s="1638" t="s">
        <v>3073</v>
      </c>
      <c r="D30" s="1638">
        <v>126492.9</v>
      </c>
      <c r="E30" s="1638">
        <v>189739</v>
      </c>
      <c r="F30" s="1638">
        <v>1.5</v>
      </c>
      <c r="G30" s="1638" t="s">
        <v>3132</v>
      </c>
      <c r="H30" s="1638" t="s">
        <v>3214</v>
      </c>
      <c r="I30" s="1638">
        <v>20017.490000000002</v>
      </c>
      <c r="J30" s="1638">
        <v>20017.490000000002</v>
      </c>
      <c r="K30" s="1638">
        <v>1055</v>
      </c>
      <c r="L30" s="1638">
        <v>0</v>
      </c>
      <c r="M30" s="1638" t="s">
        <v>3215</v>
      </c>
    </row>
    <row r="31" spans="1:13">
      <c r="A31" s="1638" t="s">
        <v>3216</v>
      </c>
      <c r="B31" s="1638" t="s">
        <v>3041</v>
      </c>
      <c r="C31" s="1638" t="s">
        <v>3073</v>
      </c>
      <c r="D31" s="1638">
        <v>107244</v>
      </c>
      <c r="E31" s="1638">
        <v>160866</v>
      </c>
      <c r="F31" s="1638">
        <v>1.5</v>
      </c>
      <c r="G31" s="1638" t="s">
        <v>3132</v>
      </c>
      <c r="H31" s="1638" t="s">
        <v>3214</v>
      </c>
      <c r="I31" s="1638">
        <v>16971.36</v>
      </c>
      <c r="J31" s="1638">
        <v>16971.36</v>
      </c>
      <c r="K31" s="1638">
        <v>1055</v>
      </c>
      <c r="L31" s="1638">
        <v>0</v>
      </c>
      <c r="M31" s="1638" t="s">
        <v>3215</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15" sqref="E15"/>
    </sheetView>
  </sheetViews>
  <sheetFormatPr defaultRowHeight="13.5"/>
  <cols>
    <col min="1" max="1" width="54.75" style="1638" customWidth="1"/>
    <col min="2" max="2" width="6.25" style="1638" customWidth="1"/>
    <col min="3" max="3" width="7.875" style="1638" customWidth="1"/>
    <col min="4" max="5" width="13.875" style="1638" customWidth="1"/>
    <col min="6" max="6" width="6.25" style="1638" customWidth="1"/>
    <col min="7" max="7" width="7.875" style="1638" customWidth="1"/>
    <col min="8" max="8" width="9.875" style="1638" customWidth="1"/>
    <col min="9" max="10" width="10.625" style="1638" customWidth="1"/>
    <col min="11" max="11" width="14.375" style="1638" customWidth="1"/>
    <col min="12" max="12" width="6.25" style="1638" customWidth="1"/>
    <col min="13" max="13" width="33.625" style="1638" customWidth="1"/>
    <col min="14" max="256" width="9" style="1638"/>
    <col min="257" max="257" width="54.75" style="1638" customWidth="1"/>
    <col min="258" max="258" width="6.25" style="1638" customWidth="1"/>
    <col min="259" max="259" width="7.875" style="1638" customWidth="1"/>
    <col min="260" max="261" width="13.875" style="1638" customWidth="1"/>
    <col min="262" max="262" width="6.25" style="1638" customWidth="1"/>
    <col min="263" max="263" width="7.875" style="1638" customWidth="1"/>
    <col min="264" max="264" width="9" style="1638" customWidth="1"/>
    <col min="265" max="266" width="10.625" style="1638" customWidth="1"/>
    <col min="267" max="267" width="14.375" style="1638" customWidth="1"/>
    <col min="268" max="268" width="6.25" style="1638" customWidth="1"/>
    <col min="269" max="269" width="33.625" style="1638" customWidth="1"/>
    <col min="270" max="512" width="9" style="1638"/>
    <col min="513" max="513" width="54.75" style="1638" customWidth="1"/>
    <col min="514" max="514" width="6.25" style="1638" customWidth="1"/>
    <col min="515" max="515" width="7.875" style="1638" customWidth="1"/>
    <col min="516" max="517" width="13.875" style="1638" customWidth="1"/>
    <col min="518" max="518" width="6.25" style="1638" customWidth="1"/>
    <col min="519" max="519" width="7.875" style="1638" customWidth="1"/>
    <col min="520" max="520" width="9" style="1638" customWidth="1"/>
    <col min="521" max="522" width="10.625" style="1638" customWidth="1"/>
    <col min="523" max="523" width="14.375" style="1638" customWidth="1"/>
    <col min="524" max="524" width="6.25" style="1638" customWidth="1"/>
    <col min="525" max="525" width="33.625" style="1638" customWidth="1"/>
    <col min="526" max="768" width="9" style="1638"/>
    <col min="769" max="769" width="54.75" style="1638" customWidth="1"/>
    <col min="770" max="770" width="6.25" style="1638" customWidth="1"/>
    <col min="771" max="771" width="7.875" style="1638" customWidth="1"/>
    <col min="772" max="773" width="13.875" style="1638" customWidth="1"/>
    <col min="774" max="774" width="6.25" style="1638" customWidth="1"/>
    <col min="775" max="775" width="7.875" style="1638" customWidth="1"/>
    <col min="776" max="776" width="9" style="1638" customWidth="1"/>
    <col min="777" max="778" width="10.625" style="1638" customWidth="1"/>
    <col min="779" max="779" width="14.375" style="1638" customWidth="1"/>
    <col min="780" max="780" width="6.25" style="1638" customWidth="1"/>
    <col min="781" max="781" width="33.625" style="1638" customWidth="1"/>
    <col min="782" max="1024" width="9" style="1638"/>
    <col min="1025" max="1025" width="54.75" style="1638" customWidth="1"/>
    <col min="1026" max="1026" width="6.25" style="1638" customWidth="1"/>
    <col min="1027" max="1027" width="7.875" style="1638" customWidth="1"/>
    <col min="1028" max="1029" width="13.875" style="1638" customWidth="1"/>
    <col min="1030" max="1030" width="6.25" style="1638" customWidth="1"/>
    <col min="1031" max="1031" width="7.875" style="1638" customWidth="1"/>
    <col min="1032" max="1032" width="9" style="1638" customWidth="1"/>
    <col min="1033" max="1034" width="10.625" style="1638" customWidth="1"/>
    <col min="1035" max="1035" width="14.375" style="1638" customWidth="1"/>
    <col min="1036" max="1036" width="6.25" style="1638" customWidth="1"/>
    <col min="1037" max="1037" width="33.625" style="1638" customWidth="1"/>
    <col min="1038" max="1280" width="9" style="1638"/>
    <col min="1281" max="1281" width="54.75" style="1638" customWidth="1"/>
    <col min="1282" max="1282" width="6.25" style="1638" customWidth="1"/>
    <col min="1283" max="1283" width="7.875" style="1638" customWidth="1"/>
    <col min="1284" max="1285" width="13.875" style="1638" customWidth="1"/>
    <col min="1286" max="1286" width="6.25" style="1638" customWidth="1"/>
    <col min="1287" max="1287" width="7.875" style="1638" customWidth="1"/>
    <col min="1288" max="1288" width="9" style="1638" customWidth="1"/>
    <col min="1289" max="1290" width="10.625" style="1638" customWidth="1"/>
    <col min="1291" max="1291" width="14.375" style="1638" customWidth="1"/>
    <col min="1292" max="1292" width="6.25" style="1638" customWidth="1"/>
    <col min="1293" max="1293" width="33.625" style="1638" customWidth="1"/>
    <col min="1294" max="1536" width="9" style="1638"/>
    <col min="1537" max="1537" width="54.75" style="1638" customWidth="1"/>
    <col min="1538" max="1538" width="6.25" style="1638" customWidth="1"/>
    <col min="1539" max="1539" width="7.875" style="1638" customWidth="1"/>
    <col min="1540" max="1541" width="13.875" style="1638" customWidth="1"/>
    <col min="1542" max="1542" width="6.25" style="1638" customWidth="1"/>
    <col min="1543" max="1543" width="7.875" style="1638" customWidth="1"/>
    <col min="1544" max="1544" width="9" style="1638" customWidth="1"/>
    <col min="1545" max="1546" width="10.625" style="1638" customWidth="1"/>
    <col min="1547" max="1547" width="14.375" style="1638" customWidth="1"/>
    <col min="1548" max="1548" width="6.25" style="1638" customWidth="1"/>
    <col min="1549" max="1549" width="33.625" style="1638" customWidth="1"/>
    <col min="1550" max="1792" width="9" style="1638"/>
    <col min="1793" max="1793" width="54.75" style="1638" customWidth="1"/>
    <col min="1794" max="1794" width="6.25" style="1638" customWidth="1"/>
    <col min="1795" max="1795" width="7.875" style="1638" customWidth="1"/>
    <col min="1796" max="1797" width="13.875" style="1638" customWidth="1"/>
    <col min="1798" max="1798" width="6.25" style="1638" customWidth="1"/>
    <col min="1799" max="1799" width="7.875" style="1638" customWidth="1"/>
    <col min="1800" max="1800" width="9" style="1638" customWidth="1"/>
    <col min="1801" max="1802" width="10.625" style="1638" customWidth="1"/>
    <col min="1803" max="1803" width="14.375" style="1638" customWidth="1"/>
    <col min="1804" max="1804" width="6.25" style="1638" customWidth="1"/>
    <col min="1805" max="1805" width="33.625" style="1638" customWidth="1"/>
    <col min="1806" max="2048" width="9" style="1638"/>
    <col min="2049" max="2049" width="54.75" style="1638" customWidth="1"/>
    <col min="2050" max="2050" width="6.25" style="1638" customWidth="1"/>
    <col min="2051" max="2051" width="7.875" style="1638" customWidth="1"/>
    <col min="2052" max="2053" width="13.875" style="1638" customWidth="1"/>
    <col min="2054" max="2054" width="6.25" style="1638" customWidth="1"/>
    <col min="2055" max="2055" width="7.875" style="1638" customWidth="1"/>
    <col min="2056" max="2056" width="9" style="1638" customWidth="1"/>
    <col min="2057" max="2058" width="10.625" style="1638" customWidth="1"/>
    <col min="2059" max="2059" width="14.375" style="1638" customWidth="1"/>
    <col min="2060" max="2060" width="6.25" style="1638" customWidth="1"/>
    <col min="2061" max="2061" width="33.625" style="1638" customWidth="1"/>
    <col min="2062" max="2304" width="9" style="1638"/>
    <col min="2305" max="2305" width="54.75" style="1638" customWidth="1"/>
    <col min="2306" max="2306" width="6.25" style="1638" customWidth="1"/>
    <col min="2307" max="2307" width="7.875" style="1638" customWidth="1"/>
    <col min="2308" max="2309" width="13.875" style="1638" customWidth="1"/>
    <col min="2310" max="2310" width="6.25" style="1638" customWidth="1"/>
    <col min="2311" max="2311" width="7.875" style="1638" customWidth="1"/>
    <col min="2312" max="2312" width="9" style="1638" customWidth="1"/>
    <col min="2313" max="2314" width="10.625" style="1638" customWidth="1"/>
    <col min="2315" max="2315" width="14.375" style="1638" customWidth="1"/>
    <col min="2316" max="2316" width="6.25" style="1638" customWidth="1"/>
    <col min="2317" max="2317" width="33.625" style="1638" customWidth="1"/>
    <col min="2318" max="2560" width="9" style="1638"/>
    <col min="2561" max="2561" width="54.75" style="1638" customWidth="1"/>
    <col min="2562" max="2562" width="6.25" style="1638" customWidth="1"/>
    <col min="2563" max="2563" width="7.875" style="1638" customWidth="1"/>
    <col min="2564" max="2565" width="13.875" style="1638" customWidth="1"/>
    <col min="2566" max="2566" width="6.25" style="1638" customWidth="1"/>
    <col min="2567" max="2567" width="7.875" style="1638" customWidth="1"/>
    <col min="2568" max="2568" width="9" style="1638" customWidth="1"/>
    <col min="2569" max="2570" width="10.625" style="1638" customWidth="1"/>
    <col min="2571" max="2571" width="14.375" style="1638" customWidth="1"/>
    <col min="2572" max="2572" width="6.25" style="1638" customWidth="1"/>
    <col min="2573" max="2573" width="33.625" style="1638" customWidth="1"/>
    <col min="2574" max="2816" width="9" style="1638"/>
    <col min="2817" max="2817" width="54.75" style="1638" customWidth="1"/>
    <col min="2818" max="2818" width="6.25" style="1638" customWidth="1"/>
    <col min="2819" max="2819" width="7.875" style="1638" customWidth="1"/>
    <col min="2820" max="2821" width="13.875" style="1638" customWidth="1"/>
    <col min="2822" max="2822" width="6.25" style="1638" customWidth="1"/>
    <col min="2823" max="2823" width="7.875" style="1638" customWidth="1"/>
    <col min="2824" max="2824" width="9" style="1638" customWidth="1"/>
    <col min="2825" max="2826" width="10.625" style="1638" customWidth="1"/>
    <col min="2827" max="2827" width="14.375" style="1638" customWidth="1"/>
    <col min="2828" max="2828" width="6.25" style="1638" customWidth="1"/>
    <col min="2829" max="2829" width="33.625" style="1638" customWidth="1"/>
    <col min="2830" max="3072" width="9" style="1638"/>
    <col min="3073" max="3073" width="54.75" style="1638" customWidth="1"/>
    <col min="3074" max="3074" width="6.25" style="1638" customWidth="1"/>
    <col min="3075" max="3075" width="7.875" style="1638" customWidth="1"/>
    <col min="3076" max="3077" width="13.875" style="1638" customWidth="1"/>
    <col min="3078" max="3078" width="6.25" style="1638" customWidth="1"/>
    <col min="3079" max="3079" width="7.875" style="1638" customWidth="1"/>
    <col min="3080" max="3080" width="9" style="1638" customWidth="1"/>
    <col min="3081" max="3082" width="10.625" style="1638" customWidth="1"/>
    <col min="3083" max="3083" width="14.375" style="1638" customWidth="1"/>
    <col min="3084" max="3084" width="6.25" style="1638" customWidth="1"/>
    <col min="3085" max="3085" width="33.625" style="1638" customWidth="1"/>
    <col min="3086" max="3328" width="9" style="1638"/>
    <col min="3329" max="3329" width="54.75" style="1638" customWidth="1"/>
    <col min="3330" max="3330" width="6.25" style="1638" customWidth="1"/>
    <col min="3331" max="3331" width="7.875" style="1638" customWidth="1"/>
    <col min="3332" max="3333" width="13.875" style="1638" customWidth="1"/>
    <col min="3334" max="3334" width="6.25" style="1638" customWidth="1"/>
    <col min="3335" max="3335" width="7.875" style="1638" customWidth="1"/>
    <col min="3336" max="3336" width="9" style="1638" customWidth="1"/>
    <col min="3337" max="3338" width="10.625" style="1638" customWidth="1"/>
    <col min="3339" max="3339" width="14.375" style="1638" customWidth="1"/>
    <col min="3340" max="3340" width="6.25" style="1638" customWidth="1"/>
    <col min="3341" max="3341" width="33.625" style="1638" customWidth="1"/>
    <col min="3342" max="3584" width="9" style="1638"/>
    <col min="3585" max="3585" width="54.75" style="1638" customWidth="1"/>
    <col min="3586" max="3586" width="6.25" style="1638" customWidth="1"/>
    <col min="3587" max="3587" width="7.875" style="1638" customWidth="1"/>
    <col min="3588" max="3589" width="13.875" style="1638" customWidth="1"/>
    <col min="3590" max="3590" width="6.25" style="1638" customWidth="1"/>
    <col min="3591" max="3591" width="7.875" style="1638" customWidth="1"/>
    <col min="3592" max="3592" width="9" style="1638" customWidth="1"/>
    <col min="3593" max="3594" width="10.625" style="1638" customWidth="1"/>
    <col min="3595" max="3595" width="14.375" style="1638" customWidth="1"/>
    <col min="3596" max="3596" width="6.25" style="1638" customWidth="1"/>
    <col min="3597" max="3597" width="33.625" style="1638" customWidth="1"/>
    <col min="3598" max="3840" width="9" style="1638"/>
    <col min="3841" max="3841" width="54.75" style="1638" customWidth="1"/>
    <col min="3842" max="3842" width="6.25" style="1638" customWidth="1"/>
    <col min="3843" max="3843" width="7.875" style="1638" customWidth="1"/>
    <col min="3844" max="3845" width="13.875" style="1638" customWidth="1"/>
    <col min="3846" max="3846" width="6.25" style="1638" customWidth="1"/>
    <col min="3847" max="3847" width="7.875" style="1638" customWidth="1"/>
    <col min="3848" max="3848" width="9" style="1638" customWidth="1"/>
    <col min="3849" max="3850" width="10.625" style="1638" customWidth="1"/>
    <col min="3851" max="3851" width="14.375" style="1638" customWidth="1"/>
    <col min="3852" max="3852" width="6.25" style="1638" customWidth="1"/>
    <col min="3853" max="3853" width="33.625" style="1638" customWidth="1"/>
    <col min="3854" max="4096" width="9" style="1638"/>
    <col min="4097" max="4097" width="54.75" style="1638" customWidth="1"/>
    <col min="4098" max="4098" width="6.25" style="1638" customWidth="1"/>
    <col min="4099" max="4099" width="7.875" style="1638" customWidth="1"/>
    <col min="4100" max="4101" width="13.875" style="1638" customWidth="1"/>
    <col min="4102" max="4102" width="6.25" style="1638" customWidth="1"/>
    <col min="4103" max="4103" width="7.875" style="1638" customWidth="1"/>
    <col min="4104" max="4104" width="9" style="1638" customWidth="1"/>
    <col min="4105" max="4106" width="10.625" style="1638" customWidth="1"/>
    <col min="4107" max="4107" width="14.375" style="1638" customWidth="1"/>
    <col min="4108" max="4108" width="6.25" style="1638" customWidth="1"/>
    <col min="4109" max="4109" width="33.625" style="1638" customWidth="1"/>
    <col min="4110" max="4352" width="9" style="1638"/>
    <col min="4353" max="4353" width="54.75" style="1638" customWidth="1"/>
    <col min="4354" max="4354" width="6.25" style="1638" customWidth="1"/>
    <col min="4355" max="4355" width="7.875" style="1638" customWidth="1"/>
    <col min="4356" max="4357" width="13.875" style="1638" customWidth="1"/>
    <col min="4358" max="4358" width="6.25" style="1638" customWidth="1"/>
    <col min="4359" max="4359" width="7.875" style="1638" customWidth="1"/>
    <col min="4360" max="4360" width="9" style="1638" customWidth="1"/>
    <col min="4361" max="4362" width="10.625" style="1638" customWidth="1"/>
    <col min="4363" max="4363" width="14.375" style="1638" customWidth="1"/>
    <col min="4364" max="4364" width="6.25" style="1638" customWidth="1"/>
    <col min="4365" max="4365" width="33.625" style="1638" customWidth="1"/>
    <col min="4366" max="4608" width="9" style="1638"/>
    <col min="4609" max="4609" width="54.75" style="1638" customWidth="1"/>
    <col min="4610" max="4610" width="6.25" style="1638" customWidth="1"/>
    <col min="4611" max="4611" width="7.875" style="1638" customWidth="1"/>
    <col min="4612" max="4613" width="13.875" style="1638" customWidth="1"/>
    <col min="4614" max="4614" width="6.25" style="1638" customWidth="1"/>
    <col min="4615" max="4615" width="7.875" style="1638" customWidth="1"/>
    <col min="4616" max="4616" width="9" style="1638" customWidth="1"/>
    <col min="4617" max="4618" width="10.625" style="1638" customWidth="1"/>
    <col min="4619" max="4619" width="14.375" style="1638" customWidth="1"/>
    <col min="4620" max="4620" width="6.25" style="1638" customWidth="1"/>
    <col min="4621" max="4621" width="33.625" style="1638" customWidth="1"/>
    <col min="4622" max="4864" width="9" style="1638"/>
    <col min="4865" max="4865" width="54.75" style="1638" customWidth="1"/>
    <col min="4866" max="4866" width="6.25" style="1638" customWidth="1"/>
    <col min="4867" max="4867" width="7.875" style="1638" customWidth="1"/>
    <col min="4868" max="4869" width="13.875" style="1638" customWidth="1"/>
    <col min="4870" max="4870" width="6.25" style="1638" customWidth="1"/>
    <col min="4871" max="4871" width="7.875" style="1638" customWidth="1"/>
    <col min="4872" max="4872" width="9" style="1638" customWidth="1"/>
    <col min="4873" max="4874" width="10.625" style="1638" customWidth="1"/>
    <col min="4875" max="4875" width="14.375" style="1638" customWidth="1"/>
    <col min="4876" max="4876" width="6.25" style="1638" customWidth="1"/>
    <col min="4877" max="4877" width="33.625" style="1638" customWidth="1"/>
    <col min="4878" max="5120" width="9" style="1638"/>
    <col min="5121" max="5121" width="54.75" style="1638" customWidth="1"/>
    <col min="5122" max="5122" width="6.25" style="1638" customWidth="1"/>
    <col min="5123" max="5123" width="7.875" style="1638" customWidth="1"/>
    <col min="5124" max="5125" width="13.875" style="1638" customWidth="1"/>
    <col min="5126" max="5126" width="6.25" style="1638" customWidth="1"/>
    <col min="5127" max="5127" width="7.875" style="1638" customWidth="1"/>
    <col min="5128" max="5128" width="9" style="1638" customWidth="1"/>
    <col min="5129" max="5130" width="10.625" style="1638" customWidth="1"/>
    <col min="5131" max="5131" width="14.375" style="1638" customWidth="1"/>
    <col min="5132" max="5132" width="6.25" style="1638" customWidth="1"/>
    <col min="5133" max="5133" width="33.625" style="1638" customWidth="1"/>
    <col min="5134" max="5376" width="9" style="1638"/>
    <col min="5377" max="5377" width="54.75" style="1638" customWidth="1"/>
    <col min="5378" max="5378" width="6.25" style="1638" customWidth="1"/>
    <col min="5379" max="5379" width="7.875" style="1638" customWidth="1"/>
    <col min="5380" max="5381" width="13.875" style="1638" customWidth="1"/>
    <col min="5382" max="5382" width="6.25" style="1638" customWidth="1"/>
    <col min="5383" max="5383" width="7.875" style="1638" customWidth="1"/>
    <col min="5384" max="5384" width="9" style="1638" customWidth="1"/>
    <col min="5385" max="5386" width="10.625" style="1638" customWidth="1"/>
    <col min="5387" max="5387" width="14.375" style="1638" customWidth="1"/>
    <col min="5388" max="5388" width="6.25" style="1638" customWidth="1"/>
    <col min="5389" max="5389" width="33.625" style="1638" customWidth="1"/>
    <col min="5390" max="5632" width="9" style="1638"/>
    <col min="5633" max="5633" width="54.75" style="1638" customWidth="1"/>
    <col min="5634" max="5634" width="6.25" style="1638" customWidth="1"/>
    <col min="5635" max="5635" width="7.875" style="1638" customWidth="1"/>
    <col min="5636" max="5637" width="13.875" style="1638" customWidth="1"/>
    <col min="5638" max="5638" width="6.25" style="1638" customWidth="1"/>
    <col min="5639" max="5639" width="7.875" style="1638" customWidth="1"/>
    <col min="5640" max="5640" width="9" style="1638" customWidth="1"/>
    <col min="5641" max="5642" width="10.625" style="1638" customWidth="1"/>
    <col min="5643" max="5643" width="14.375" style="1638" customWidth="1"/>
    <col min="5644" max="5644" width="6.25" style="1638" customWidth="1"/>
    <col min="5645" max="5645" width="33.625" style="1638" customWidth="1"/>
    <col min="5646" max="5888" width="9" style="1638"/>
    <col min="5889" max="5889" width="54.75" style="1638" customWidth="1"/>
    <col min="5890" max="5890" width="6.25" style="1638" customWidth="1"/>
    <col min="5891" max="5891" width="7.875" style="1638" customWidth="1"/>
    <col min="5892" max="5893" width="13.875" style="1638" customWidth="1"/>
    <col min="5894" max="5894" width="6.25" style="1638" customWidth="1"/>
    <col min="5895" max="5895" width="7.875" style="1638" customWidth="1"/>
    <col min="5896" max="5896" width="9" style="1638" customWidth="1"/>
    <col min="5897" max="5898" width="10.625" style="1638" customWidth="1"/>
    <col min="5899" max="5899" width="14.375" style="1638" customWidth="1"/>
    <col min="5900" max="5900" width="6.25" style="1638" customWidth="1"/>
    <col min="5901" max="5901" width="33.625" style="1638" customWidth="1"/>
    <col min="5902" max="6144" width="9" style="1638"/>
    <col min="6145" max="6145" width="54.75" style="1638" customWidth="1"/>
    <col min="6146" max="6146" width="6.25" style="1638" customWidth="1"/>
    <col min="6147" max="6147" width="7.875" style="1638" customWidth="1"/>
    <col min="6148" max="6149" width="13.875" style="1638" customWidth="1"/>
    <col min="6150" max="6150" width="6.25" style="1638" customWidth="1"/>
    <col min="6151" max="6151" width="7.875" style="1638" customWidth="1"/>
    <col min="6152" max="6152" width="9" style="1638" customWidth="1"/>
    <col min="6153" max="6154" width="10.625" style="1638" customWidth="1"/>
    <col min="6155" max="6155" width="14.375" style="1638" customWidth="1"/>
    <col min="6156" max="6156" width="6.25" style="1638" customWidth="1"/>
    <col min="6157" max="6157" width="33.625" style="1638" customWidth="1"/>
    <col min="6158" max="6400" width="9" style="1638"/>
    <col min="6401" max="6401" width="54.75" style="1638" customWidth="1"/>
    <col min="6402" max="6402" width="6.25" style="1638" customWidth="1"/>
    <col min="6403" max="6403" width="7.875" style="1638" customWidth="1"/>
    <col min="6404" max="6405" width="13.875" style="1638" customWidth="1"/>
    <col min="6406" max="6406" width="6.25" style="1638" customWidth="1"/>
    <col min="6407" max="6407" width="7.875" style="1638" customWidth="1"/>
    <col min="6408" max="6408" width="9" style="1638" customWidth="1"/>
    <col min="6409" max="6410" width="10.625" style="1638" customWidth="1"/>
    <col min="6411" max="6411" width="14.375" style="1638" customWidth="1"/>
    <col min="6412" max="6412" width="6.25" style="1638" customWidth="1"/>
    <col min="6413" max="6413" width="33.625" style="1638" customWidth="1"/>
    <col min="6414" max="6656" width="9" style="1638"/>
    <col min="6657" max="6657" width="54.75" style="1638" customWidth="1"/>
    <col min="6658" max="6658" width="6.25" style="1638" customWidth="1"/>
    <col min="6659" max="6659" width="7.875" style="1638" customWidth="1"/>
    <col min="6660" max="6661" width="13.875" style="1638" customWidth="1"/>
    <col min="6662" max="6662" width="6.25" style="1638" customWidth="1"/>
    <col min="6663" max="6663" width="7.875" style="1638" customWidth="1"/>
    <col min="6664" max="6664" width="9" style="1638" customWidth="1"/>
    <col min="6665" max="6666" width="10.625" style="1638" customWidth="1"/>
    <col min="6667" max="6667" width="14.375" style="1638" customWidth="1"/>
    <col min="6668" max="6668" width="6.25" style="1638" customWidth="1"/>
    <col min="6669" max="6669" width="33.625" style="1638" customWidth="1"/>
    <col min="6670" max="6912" width="9" style="1638"/>
    <col min="6913" max="6913" width="54.75" style="1638" customWidth="1"/>
    <col min="6914" max="6914" width="6.25" style="1638" customWidth="1"/>
    <col min="6915" max="6915" width="7.875" style="1638" customWidth="1"/>
    <col min="6916" max="6917" width="13.875" style="1638" customWidth="1"/>
    <col min="6918" max="6918" width="6.25" style="1638" customWidth="1"/>
    <col min="6919" max="6919" width="7.875" style="1638" customWidth="1"/>
    <col min="6920" max="6920" width="9" style="1638" customWidth="1"/>
    <col min="6921" max="6922" width="10.625" style="1638" customWidth="1"/>
    <col min="6923" max="6923" width="14.375" style="1638" customWidth="1"/>
    <col min="6924" max="6924" width="6.25" style="1638" customWidth="1"/>
    <col min="6925" max="6925" width="33.625" style="1638" customWidth="1"/>
    <col min="6926" max="7168" width="9" style="1638"/>
    <col min="7169" max="7169" width="54.75" style="1638" customWidth="1"/>
    <col min="7170" max="7170" width="6.25" style="1638" customWidth="1"/>
    <col min="7171" max="7171" width="7.875" style="1638" customWidth="1"/>
    <col min="7172" max="7173" width="13.875" style="1638" customWidth="1"/>
    <col min="7174" max="7174" width="6.25" style="1638" customWidth="1"/>
    <col min="7175" max="7175" width="7.875" style="1638" customWidth="1"/>
    <col min="7176" max="7176" width="9" style="1638" customWidth="1"/>
    <col min="7177" max="7178" width="10.625" style="1638" customWidth="1"/>
    <col min="7179" max="7179" width="14.375" style="1638" customWidth="1"/>
    <col min="7180" max="7180" width="6.25" style="1638" customWidth="1"/>
    <col min="7181" max="7181" width="33.625" style="1638" customWidth="1"/>
    <col min="7182" max="7424" width="9" style="1638"/>
    <col min="7425" max="7425" width="54.75" style="1638" customWidth="1"/>
    <col min="7426" max="7426" width="6.25" style="1638" customWidth="1"/>
    <col min="7427" max="7427" width="7.875" style="1638" customWidth="1"/>
    <col min="7428" max="7429" width="13.875" style="1638" customWidth="1"/>
    <col min="7430" max="7430" width="6.25" style="1638" customWidth="1"/>
    <col min="7431" max="7431" width="7.875" style="1638" customWidth="1"/>
    <col min="7432" max="7432" width="9" style="1638" customWidth="1"/>
    <col min="7433" max="7434" width="10.625" style="1638" customWidth="1"/>
    <col min="7435" max="7435" width="14.375" style="1638" customWidth="1"/>
    <col min="7436" max="7436" width="6.25" style="1638" customWidth="1"/>
    <col min="7437" max="7437" width="33.625" style="1638" customWidth="1"/>
    <col min="7438" max="7680" width="9" style="1638"/>
    <col min="7681" max="7681" width="54.75" style="1638" customWidth="1"/>
    <col min="7682" max="7682" width="6.25" style="1638" customWidth="1"/>
    <col min="7683" max="7683" width="7.875" style="1638" customWidth="1"/>
    <col min="7684" max="7685" width="13.875" style="1638" customWidth="1"/>
    <col min="7686" max="7686" width="6.25" style="1638" customWidth="1"/>
    <col min="7687" max="7687" width="7.875" style="1638" customWidth="1"/>
    <col min="7688" max="7688" width="9" style="1638" customWidth="1"/>
    <col min="7689" max="7690" width="10.625" style="1638" customWidth="1"/>
    <col min="7691" max="7691" width="14.375" style="1638" customWidth="1"/>
    <col min="7692" max="7692" width="6.25" style="1638" customWidth="1"/>
    <col min="7693" max="7693" width="33.625" style="1638" customWidth="1"/>
    <col min="7694" max="7936" width="9" style="1638"/>
    <col min="7937" max="7937" width="54.75" style="1638" customWidth="1"/>
    <col min="7938" max="7938" width="6.25" style="1638" customWidth="1"/>
    <col min="7939" max="7939" width="7.875" style="1638" customWidth="1"/>
    <col min="7940" max="7941" width="13.875" style="1638" customWidth="1"/>
    <col min="7942" max="7942" width="6.25" style="1638" customWidth="1"/>
    <col min="7943" max="7943" width="7.875" style="1638" customWidth="1"/>
    <col min="7944" max="7944" width="9" style="1638" customWidth="1"/>
    <col min="7945" max="7946" width="10.625" style="1638" customWidth="1"/>
    <col min="7947" max="7947" width="14.375" style="1638" customWidth="1"/>
    <col min="7948" max="7948" width="6.25" style="1638" customWidth="1"/>
    <col min="7949" max="7949" width="33.625" style="1638" customWidth="1"/>
    <col min="7950" max="8192" width="9" style="1638"/>
    <col min="8193" max="8193" width="54.75" style="1638" customWidth="1"/>
    <col min="8194" max="8194" width="6.25" style="1638" customWidth="1"/>
    <col min="8195" max="8195" width="7.875" style="1638" customWidth="1"/>
    <col min="8196" max="8197" width="13.875" style="1638" customWidth="1"/>
    <col min="8198" max="8198" width="6.25" style="1638" customWidth="1"/>
    <col min="8199" max="8199" width="7.875" style="1638" customWidth="1"/>
    <col min="8200" max="8200" width="9" style="1638" customWidth="1"/>
    <col min="8201" max="8202" width="10.625" style="1638" customWidth="1"/>
    <col min="8203" max="8203" width="14.375" style="1638" customWidth="1"/>
    <col min="8204" max="8204" width="6.25" style="1638" customWidth="1"/>
    <col min="8205" max="8205" width="33.625" style="1638" customWidth="1"/>
    <col min="8206" max="8448" width="9" style="1638"/>
    <col min="8449" max="8449" width="54.75" style="1638" customWidth="1"/>
    <col min="8450" max="8450" width="6.25" style="1638" customWidth="1"/>
    <col min="8451" max="8451" width="7.875" style="1638" customWidth="1"/>
    <col min="8452" max="8453" width="13.875" style="1638" customWidth="1"/>
    <col min="8454" max="8454" width="6.25" style="1638" customWidth="1"/>
    <col min="8455" max="8455" width="7.875" style="1638" customWidth="1"/>
    <col min="8456" max="8456" width="9" style="1638" customWidth="1"/>
    <col min="8457" max="8458" width="10.625" style="1638" customWidth="1"/>
    <col min="8459" max="8459" width="14.375" style="1638" customWidth="1"/>
    <col min="8460" max="8460" width="6.25" style="1638" customWidth="1"/>
    <col min="8461" max="8461" width="33.625" style="1638" customWidth="1"/>
    <col min="8462" max="8704" width="9" style="1638"/>
    <col min="8705" max="8705" width="54.75" style="1638" customWidth="1"/>
    <col min="8706" max="8706" width="6.25" style="1638" customWidth="1"/>
    <col min="8707" max="8707" width="7.875" style="1638" customWidth="1"/>
    <col min="8708" max="8709" width="13.875" style="1638" customWidth="1"/>
    <col min="8710" max="8710" width="6.25" style="1638" customWidth="1"/>
    <col min="8711" max="8711" width="7.875" style="1638" customWidth="1"/>
    <col min="8712" max="8712" width="9" style="1638" customWidth="1"/>
    <col min="8713" max="8714" width="10.625" style="1638" customWidth="1"/>
    <col min="8715" max="8715" width="14.375" style="1638" customWidth="1"/>
    <col min="8716" max="8716" width="6.25" style="1638" customWidth="1"/>
    <col min="8717" max="8717" width="33.625" style="1638" customWidth="1"/>
    <col min="8718" max="8960" width="9" style="1638"/>
    <col min="8961" max="8961" width="54.75" style="1638" customWidth="1"/>
    <col min="8962" max="8962" width="6.25" style="1638" customWidth="1"/>
    <col min="8963" max="8963" width="7.875" style="1638" customWidth="1"/>
    <col min="8964" max="8965" width="13.875" style="1638" customWidth="1"/>
    <col min="8966" max="8966" width="6.25" style="1638" customWidth="1"/>
    <col min="8967" max="8967" width="7.875" style="1638" customWidth="1"/>
    <col min="8968" max="8968" width="9" style="1638" customWidth="1"/>
    <col min="8969" max="8970" width="10.625" style="1638" customWidth="1"/>
    <col min="8971" max="8971" width="14.375" style="1638" customWidth="1"/>
    <col min="8972" max="8972" width="6.25" style="1638" customWidth="1"/>
    <col min="8973" max="8973" width="33.625" style="1638" customWidth="1"/>
    <col min="8974" max="9216" width="9" style="1638"/>
    <col min="9217" max="9217" width="54.75" style="1638" customWidth="1"/>
    <col min="9218" max="9218" width="6.25" style="1638" customWidth="1"/>
    <col min="9219" max="9219" width="7.875" style="1638" customWidth="1"/>
    <col min="9220" max="9221" width="13.875" style="1638" customWidth="1"/>
    <col min="9222" max="9222" width="6.25" style="1638" customWidth="1"/>
    <col min="9223" max="9223" width="7.875" style="1638" customWidth="1"/>
    <col min="9224" max="9224" width="9" style="1638" customWidth="1"/>
    <col min="9225" max="9226" width="10.625" style="1638" customWidth="1"/>
    <col min="9227" max="9227" width="14.375" style="1638" customWidth="1"/>
    <col min="9228" max="9228" width="6.25" style="1638" customWidth="1"/>
    <col min="9229" max="9229" width="33.625" style="1638" customWidth="1"/>
    <col min="9230" max="9472" width="9" style="1638"/>
    <col min="9473" max="9473" width="54.75" style="1638" customWidth="1"/>
    <col min="9474" max="9474" width="6.25" style="1638" customWidth="1"/>
    <col min="9475" max="9475" width="7.875" style="1638" customWidth="1"/>
    <col min="9476" max="9477" width="13.875" style="1638" customWidth="1"/>
    <col min="9478" max="9478" width="6.25" style="1638" customWidth="1"/>
    <col min="9479" max="9479" width="7.875" style="1638" customWidth="1"/>
    <col min="9480" max="9480" width="9" style="1638" customWidth="1"/>
    <col min="9481" max="9482" width="10.625" style="1638" customWidth="1"/>
    <col min="9483" max="9483" width="14.375" style="1638" customWidth="1"/>
    <col min="9484" max="9484" width="6.25" style="1638" customWidth="1"/>
    <col min="9485" max="9485" width="33.625" style="1638" customWidth="1"/>
    <col min="9486" max="9728" width="9" style="1638"/>
    <col min="9729" max="9729" width="54.75" style="1638" customWidth="1"/>
    <col min="9730" max="9730" width="6.25" style="1638" customWidth="1"/>
    <col min="9731" max="9731" width="7.875" style="1638" customWidth="1"/>
    <col min="9732" max="9733" width="13.875" style="1638" customWidth="1"/>
    <col min="9734" max="9734" width="6.25" style="1638" customWidth="1"/>
    <col min="9735" max="9735" width="7.875" style="1638" customWidth="1"/>
    <col min="9736" max="9736" width="9" style="1638" customWidth="1"/>
    <col min="9737" max="9738" width="10.625" style="1638" customWidth="1"/>
    <col min="9739" max="9739" width="14.375" style="1638" customWidth="1"/>
    <col min="9740" max="9740" width="6.25" style="1638" customWidth="1"/>
    <col min="9741" max="9741" width="33.625" style="1638" customWidth="1"/>
    <col min="9742" max="9984" width="9" style="1638"/>
    <col min="9985" max="9985" width="54.75" style="1638" customWidth="1"/>
    <col min="9986" max="9986" width="6.25" style="1638" customWidth="1"/>
    <col min="9987" max="9987" width="7.875" style="1638" customWidth="1"/>
    <col min="9988" max="9989" width="13.875" style="1638" customWidth="1"/>
    <col min="9990" max="9990" width="6.25" style="1638" customWidth="1"/>
    <col min="9991" max="9991" width="7.875" style="1638" customWidth="1"/>
    <col min="9992" max="9992" width="9" style="1638" customWidth="1"/>
    <col min="9993" max="9994" width="10.625" style="1638" customWidth="1"/>
    <col min="9995" max="9995" width="14.375" style="1638" customWidth="1"/>
    <col min="9996" max="9996" width="6.25" style="1638" customWidth="1"/>
    <col min="9997" max="9997" width="33.625" style="1638" customWidth="1"/>
    <col min="9998" max="10240" width="9" style="1638"/>
    <col min="10241" max="10241" width="54.75" style="1638" customWidth="1"/>
    <col min="10242" max="10242" width="6.25" style="1638" customWidth="1"/>
    <col min="10243" max="10243" width="7.875" style="1638" customWidth="1"/>
    <col min="10244" max="10245" width="13.875" style="1638" customWidth="1"/>
    <col min="10246" max="10246" width="6.25" style="1638" customWidth="1"/>
    <col min="10247" max="10247" width="7.875" style="1638" customWidth="1"/>
    <col min="10248" max="10248" width="9" style="1638" customWidth="1"/>
    <col min="10249" max="10250" width="10.625" style="1638" customWidth="1"/>
    <col min="10251" max="10251" width="14.375" style="1638" customWidth="1"/>
    <col min="10252" max="10252" width="6.25" style="1638" customWidth="1"/>
    <col min="10253" max="10253" width="33.625" style="1638" customWidth="1"/>
    <col min="10254" max="10496" width="9" style="1638"/>
    <col min="10497" max="10497" width="54.75" style="1638" customWidth="1"/>
    <col min="10498" max="10498" width="6.25" style="1638" customWidth="1"/>
    <col min="10499" max="10499" width="7.875" style="1638" customWidth="1"/>
    <col min="10500" max="10501" width="13.875" style="1638" customWidth="1"/>
    <col min="10502" max="10502" width="6.25" style="1638" customWidth="1"/>
    <col min="10503" max="10503" width="7.875" style="1638" customWidth="1"/>
    <col min="10504" max="10504" width="9" style="1638" customWidth="1"/>
    <col min="10505" max="10506" width="10.625" style="1638" customWidth="1"/>
    <col min="10507" max="10507" width="14.375" style="1638" customWidth="1"/>
    <col min="10508" max="10508" width="6.25" style="1638" customWidth="1"/>
    <col min="10509" max="10509" width="33.625" style="1638" customWidth="1"/>
    <col min="10510" max="10752" width="9" style="1638"/>
    <col min="10753" max="10753" width="54.75" style="1638" customWidth="1"/>
    <col min="10754" max="10754" width="6.25" style="1638" customWidth="1"/>
    <col min="10755" max="10755" width="7.875" style="1638" customWidth="1"/>
    <col min="10756" max="10757" width="13.875" style="1638" customWidth="1"/>
    <col min="10758" max="10758" width="6.25" style="1638" customWidth="1"/>
    <col min="10759" max="10759" width="7.875" style="1638" customWidth="1"/>
    <col min="10760" max="10760" width="9" style="1638" customWidth="1"/>
    <col min="10761" max="10762" width="10.625" style="1638" customWidth="1"/>
    <col min="10763" max="10763" width="14.375" style="1638" customWidth="1"/>
    <col min="10764" max="10764" width="6.25" style="1638" customWidth="1"/>
    <col min="10765" max="10765" width="33.625" style="1638" customWidth="1"/>
    <col min="10766" max="11008" width="9" style="1638"/>
    <col min="11009" max="11009" width="54.75" style="1638" customWidth="1"/>
    <col min="11010" max="11010" width="6.25" style="1638" customWidth="1"/>
    <col min="11011" max="11011" width="7.875" style="1638" customWidth="1"/>
    <col min="11012" max="11013" width="13.875" style="1638" customWidth="1"/>
    <col min="11014" max="11014" width="6.25" style="1638" customWidth="1"/>
    <col min="11015" max="11015" width="7.875" style="1638" customWidth="1"/>
    <col min="11016" max="11016" width="9" style="1638" customWidth="1"/>
    <col min="11017" max="11018" width="10.625" style="1638" customWidth="1"/>
    <col min="11019" max="11019" width="14.375" style="1638" customWidth="1"/>
    <col min="11020" max="11020" width="6.25" style="1638" customWidth="1"/>
    <col min="11021" max="11021" width="33.625" style="1638" customWidth="1"/>
    <col min="11022" max="11264" width="9" style="1638"/>
    <col min="11265" max="11265" width="54.75" style="1638" customWidth="1"/>
    <col min="11266" max="11266" width="6.25" style="1638" customWidth="1"/>
    <col min="11267" max="11267" width="7.875" style="1638" customWidth="1"/>
    <col min="11268" max="11269" width="13.875" style="1638" customWidth="1"/>
    <col min="11270" max="11270" width="6.25" style="1638" customWidth="1"/>
    <col min="11271" max="11271" width="7.875" style="1638" customWidth="1"/>
    <col min="11272" max="11272" width="9" style="1638" customWidth="1"/>
    <col min="11273" max="11274" width="10.625" style="1638" customWidth="1"/>
    <col min="11275" max="11275" width="14.375" style="1638" customWidth="1"/>
    <col min="11276" max="11276" width="6.25" style="1638" customWidth="1"/>
    <col min="11277" max="11277" width="33.625" style="1638" customWidth="1"/>
    <col min="11278" max="11520" width="9" style="1638"/>
    <col min="11521" max="11521" width="54.75" style="1638" customWidth="1"/>
    <col min="11522" max="11522" width="6.25" style="1638" customWidth="1"/>
    <col min="11523" max="11523" width="7.875" style="1638" customWidth="1"/>
    <col min="11524" max="11525" width="13.875" style="1638" customWidth="1"/>
    <col min="11526" max="11526" width="6.25" style="1638" customWidth="1"/>
    <col min="11527" max="11527" width="7.875" style="1638" customWidth="1"/>
    <col min="11528" max="11528" width="9" style="1638" customWidth="1"/>
    <col min="11529" max="11530" width="10.625" style="1638" customWidth="1"/>
    <col min="11531" max="11531" width="14.375" style="1638" customWidth="1"/>
    <col min="11532" max="11532" width="6.25" style="1638" customWidth="1"/>
    <col min="11533" max="11533" width="33.625" style="1638" customWidth="1"/>
    <col min="11534" max="11776" width="9" style="1638"/>
    <col min="11777" max="11777" width="54.75" style="1638" customWidth="1"/>
    <col min="11778" max="11778" width="6.25" style="1638" customWidth="1"/>
    <col min="11779" max="11779" width="7.875" style="1638" customWidth="1"/>
    <col min="11780" max="11781" width="13.875" style="1638" customWidth="1"/>
    <col min="11782" max="11782" width="6.25" style="1638" customWidth="1"/>
    <col min="11783" max="11783" width="7.875" style="1638" customWidth="1"/>
    <col min="11784" max="11784" width="9" style="1638" customWidth="1"/>
    <col min="11785" max="11786" width="10.625" style="1638" customWidth="1"/>
    <col min="11787" max="11787" width="14.375" style="1638" customWidth="1"/>
    <col min="11788" max="11788" width="6.25" style="1638" customWidth="1"/>
    <col min="11789" max="11789" width="33.625" style="1638" customWidth="1"/>
    <col min="11790" max="12032" width="9" style="1638"/>
    <col min="12033" max="12033" width="54.75" style="1638" customWidth="1"/>
    <col min="12034" max="12034" width="6.25" style="1638" customWidth="1"/>
    <col min="12035" max="12035" width="7.875" style="1638" customWidth="1"/>
    <col min="12036" max="12037" width="13.875" style="1638" customWidth="1"/>
    <col min="12038" max="12038" width="6.25" style="1638" customWidth="1"/>
    <col min="12039" max="12039" width="7.875" style="1638" customWidth="1"/>
    <col min="12040" max="12040" width="9" style="1638" customWidth="1"/>
    <col min="12041" max="12042" width="10.625" style="1638" customWidth="1"/>
    <col min="12043" max="12043" width="14.375" style="1638" customWidth="1"/>
    <col min="12044" max="12044" width="6.25" style="1638" customWidth="1"/>
    <col min="12045" max="12045" width="33.625" style="1638" customWidth="1"/>
    <col min="12046" max="12288" width="9" style="1638"/>
    <col min="12289" max="12289" width="54.75" style="1638" customWidth="1"/>
    <col min="12290" max="12290" width="6.25" style="1638" customWidth="1"/>
    <col min="12291" max="12291" width="7.875" style="1638" customWidth="1"/>
    <col min="12292" max="12293" width="13.875" style="1638" customWidth="1"/>
    <col min="12294" max="12294" width="6.25" style="1638" customWidth="1"/>
    <col min="12295" max="12295" width="7.875" style="1638" customWidth="1"/>
    <col min="12296" max="12296" width="9" style="1638" customWidth="1"/>
    <col min="12297" max="12298" width="10.625" style="1638" customWidth="1"/>
    <col min="12299" max="12299" width="14.375" style="1638" customWidth="1"/>
    <col min="12300" max="12300" width="6.25" style="1638" customWidth="1"/>
    <col min="12301" max="12301" width="33.625" style="1638" customWidth="1"/>
    <col min="12302" max="12544" width="9" style="1638"/>
    <col min="12545" max="12545" width="54.75" style="1638" customWidth="1"/>
    <col min="12546" max="12546" width="6.25" style="1638" customWidth="1"/>
    <col min="12547" max="12547" width="7.875" style="1638" customWidth="1"/>
    <col min="12548" max="12549" width="13.875" style="1638" customWidth="1"/>
    <col min="12550" max="12550" width="6.25" style="1638" customWidth="1"/>
    <col min="12551" max="12551" width="7.875" style="1638" customWidth="1"/>
    <col min="12552" max="12552" width="9" style="1638" customWidth="1"/>
    <col min="12553" max="12554" width="10.625" style="1638" customWidth="1"/>
    <col min="12555" max="12555" width="14.375" style="1638" customWidth="1"/>
    <col min="12556" max="12556" width="6.25" style="1638" customWidth="1"/>
    <col min="12557" max="12557" width="33.625" style="1638" customWidth="1"/>
    <col min="12558" max="12800" width="9" style="1638"/>
    <col min="12801" max="12801" width="54.75" style="1638" customWidth="1"/>
    <col min="12802" max="12802" width="6.25" style="1638" customWidth="1"/>
    <col min="12803" max="12803" width="7.875" style="1638" customWidth="1"/>
    <col min="12804" max="12805" width="13.875" style="1638" customWidth="1"/>
    <col min="12806" max="12806" width="6.25" style="1638" customWidth="1"/>
    <col min="12807" max="12807" width="7.875" style="1638" customWidth="1"/>
    <col min="12808" max="12808" width="9" style="1638" customWidth="1"/>
    <col min="12809" max="12810" width="10.625" style="1638" customWidth="1"/>
    <col min="12811" max="12811" width="14.375" style="1638" customWidth="1"/>
    <col min="12812" max="12812" width="6.25" style="1638" customWidth="1"/>
    <col min="12813" max="12813" width="33.625" style="1638" customWidth="1"/>
    <col min="12814" max="13056" width="9" style="1638"/>
    <col min="13057" max="13057" width="54.75" style="1638" customWidth="1"/>
    <col min="13058" max="13058" width="6.25" style="1638" customWidth="1"/>
    <col min="13059" max="13059" width="7.875" style="1638" customWidth="1"/>
    <col min="13060" max="13061" width="13.875" style="1638" customWidth="1"/>
    <col min="13062" max="13062" width="6.25" style="1638" customWidth="1"/>
    <col min="13063" max="13063" width="7.875" style="1638" customWidth="1"/>
    <col min="13064" max="13064" width="9" style="1638" customWidth="1"/>
    <col min="13065" max="13066" width="10.625" style="1638" customWidth="1"/>
    <col min="13067" max="13067" width="14.375" style="1638" customWidth="1"/>
    <col min="13068" max="13068" width="6.25" style="1638" customWidth="1"/>
    <col min="13069" max="13069" width="33.625" style="1638" customWidth="1"/>
    <col min="13070" max="13312" width="9" style="1638"/>
    <col min="13313" max="13313" width="54.75" style="1638" customWidth="1"/>
    <col min="13314" max="13314" width="6.25" style="1638" customWidth="1"/>
    <col min="13315" max="13315" width="7.875" style="1638" customWidth="1"/>
    <col min="13316" max="13317" width="13.875" style="1638" customWidth="1"/>
    <col min="13318" max="13318" width="6.25" style="1638" customWidth="1"/>
    <col min="13319" max="13319" width="7.875" style="1638" customWidth="1"/>
    <col min="13320" max="13320" width="9" style="1638" customWidth="1"/>
    <col min="13321" max="13322" width="10.625" style="1638" customWidth="1"/>
    <col min="13323" max="13323" width="14.375" style="1638" customWidth="1"/>
    <col min="13324" max="13324" width="6.25" style="1638" customWidth="1"/>
    <col min="13325" max="13325" width="33.625" style="1638" customWidth="1"/>
    <col min="13326" max="13568" width="9" style="1638"/>
    <col min="13569" max="13569" width="54.75" style="1638" customWidth="1"/>
    <col min="13570" max="13570" width="6.25" style="1638" customWidth="1"/>
    <col min="13571" max="13571" width="7.875" style="1638" customWidth="1"/>
    <col min="13572" max="13573" width="13.875" style="1638" customWidth="1"/>
    <col min="13574" max="13574" width="6.25" style="1638" customWidth="1"/>
    <col min="13575" max="13575" width="7.875" style="1638" customWidth="1"/>
    <col min="13576" max="13576" width="9" style="1638" customWidth="1"/>
    <col min="13577" max="13578" width="10.625" style="1638" customWidth="1"/>
    <col min="13579" max="13579" width="14.375" style="1638" customWidth="1"/>
    <col min="13580" max="13580" width="6.25" style="1638" customWidth="1"/>
    <col min="13581" max="13581" width="33.625" style="1638" customWidth="1"/>
    <col min="13582" max="13824" width="9" style="1638"/>
    <col min="13825" max="13825" width="54.75" style="1638" customWidth="1"/>
    <col min="13826" max="13826" width="6.25" style="1638" customWidth="1"/>
    <col min="13827" max="13827" width="7.875" style="1638" customWidth="1"/>
    <col min="13828" max="13829" width="13.875" style="1638" customWidth="1"/>
    <col min="13830" max="13830" width="6.25" style="1638" customWidth="1"/>
    <col min="13831" max="13831" width="7.875" style="1638" customWidth="1"/>
    <col min="13832" max="13832" width="9" style="1638" customWidth="1"/>
    <col min="13833" max="13834" width="10.625" style="1638" customWidth="1"/>
    <col min="13835" max="13835" width="14.375" style="1638" customWidth="1"/>
    <col min="13836" max="13836" width="6.25" style="1638" customWidth="1"/>
    <col min="13837" max="13837" width="33.625" style="1638" customWidth="1"/>
    <col min="13838" max="14080" width="9" style="1638"/>
    <col min="14081" max="14081" width="54.75" style="1638" customWidth="1"/>
    <col min="14082" max="14082" width="6.25" style="1638" customWidth="1"/>
    <col min="14083" max="14083" width="7.875" style="1638" customWidth="1"/>
    <col min="14084" max="14085" width="13.875" style="1638" customWidth="1"/>
    <col min="14086" max="14086" width="6.25" style="1638" customWidth="1"/>
    <col min="14087" max="14087" width="7.875" style="1638" customWidth="1"/>
    <col min="14088" max="14088" width="9" style="1638" customWidth="1"/>
    <col min="14089" max="14090" width="10.625" style="1638" customWidth="1"/>
    <col min="14091" max="14091" width="14.375" style="1638" customWidth="1"/>
    <col min="14092" max="14092" width="6.25" style="1638" customWidth="1"/>
    <col min="14093" max="14093" width="33.625" style="1638" customWidth="1"/>
    <col min="14094" max="14336" width="9" style="1638"/>
    <col min="14337" max="14337" width="54.75" style="1638" customWidth="1"/>
    <col min="14338" max="14338" width="6.25" style="1638" customWidth="1"/>
    <col min="14339" max="14339" width="7.875" style="1638" customWidth="1"/>
    <col min="14340" max="14341" width="13.875" style="1638" customWidth="1"/>
    <col min="14342" max="14342" width="6.25" style="1638" customWidth="1"/>
    <col min="14343" max="14343" width="7.875" style="1638" customWidth="1"/>
    <col min="14344" max="14344" width="9" style="1638" customWidth="1"/>
    <col min="14345" max="14346" width="10.625" style="1638" customWidth="1"/>
    <col min="14347" max="14347" width="14.375" style="1638" customWidth="1"/>
    <col min="14348" max="14348" width="6.25" style="1638" customWidth="1"/>
    <col min="14349" max="14349" width="33.625" style="1638" customWidth="1"/>
    <col min="14350" max="14592" width="9" style="1638"/>
    <col min="14593" max="14593" width="54.75" style="1638" customWidth="1"/>
    <col min="14594" max="14594" width="6.25" style="1638" customWidth="1"/>
    <col min="14595" max="14595" width="7.875" style="1638" customWidth="1"/>
    <col min="14596" max="14597" width="13.875" style="1638" customWidth="1"/>
    <col min="14598" max="14598" width="6.25" style="1638" customWidth="1"/>
    <col min="14599" max="14599" width="7.875" style="1638" customWidth="1"/>
    <col min="14600" max="14600" width="9" style="1638" customWidth="1"/>
    <col min="14601" max="14602" width="10.625" style="1638" customWidth="1"/>
    <col min="14603" max="14603" width="14.375" style="1638" customWidth="1"/>
    <col min="14604" max="14604" width="6.25" style="1638" customWidth="1"/>
    <col min="14605" max="14605" width="33.625" style="1638" customWidth="1"/>
    <col min="14606" max="14848" width="9" style="1638"/>
    <col min="14849" max="14849" width="54.75" style="1638" customWidth="1"/>
    <col min="14850" max="14850" width="6.25" style="1638" customWidth="1"/>
    <col min="14851" max="14851" width="7.875" style="1638" customWidth="1"/>
    <col min="14852" max="14853" width="13.875" style="1638" customWidth="1"/>
    <col min="14854" max="14854" width="6.25" style="1638" customWidth="1"/>
    <col min="14855" max="14855" width="7.875" style="1638" customWidth="1"/>
    <col min="14856" max="14856" width="9" style="1638" customWidth="1"/>
    <col min="14857" max="14858" width="10.625" style="1638" customWidth="1"/>
    <col min="14859" max="14859" width="14.375" style="1638" customWidth="1"/>
    <col min="14860" max="14860" width="6.25" style="1638" customWidth="1"/>
    <col min="14861" max="14861" width="33.625" style="1638" customWidth="1"/>
    <col min="14862" max="15104" width="9" style="1638"/>
    <col min="15105" max="15105" width="54.75" style="1638" customWidth="1"/>
    <col min="15106" max="15106" width="6.25" style="1638" customWidth="1"/>
    <col min="15107" max="15107" width="7.875" style="1638" customWidth="1"/>
    <col min="15108" max="15109" width="13.875" style="1638" customWidth="1"/>
    <col min="15110" max="15110" width="6.25" style="1638" customWidth="1"/>
    <col min="15111" max="15111" width="7.875" style="1638" customWidth="1"/>
    <col min="15112" max="15112" width="9" style="1638" customWidth="1"/>
    <col min="15113" max="15114" width="10.625" style="1638" customWidth="1"/>
    <col min="15115" max="15115" width="14.375" style="1638" customWidth="1"/>
    <col min="15116" max="15116" width="6.25" style="1638" customWidth="1"/>
    <col min="15117" max="15117" width="33.625" style="1638" customWidth="1"/>
    <col min="15118" max="15360" width="9" style="1638"/>
    <col min="15361" max="15361" width="54.75" style="1638" customWidth="1"/>
    <col min="15362" max="15362" width="6.25" style="1638" customWidth="1"/>
    <col min="15363" max="15363" width="7.875" style="1638" customWidth="1"/>
    <col min="15364" max="15365" width="13.875" style="1638" customWidth="1"/>
    <col min="15366" max="15366" width="6.25" style="1638" customWidth="1"/>
    <col min="15367" max="15367" width="7.875" style="1638" customWidth="1"/>
    <col min="15368" max="15368" width="9" style="1638" customWidth="1"/>
    <col min="15369" max="15370" width="10.625" style="1638" customWidth="1"/>
    <col min="15371" max="15371" width="14.375" style="1638" customWidth="1"/>
    <col min="15372" max="15372" width="6.25" style="1638" customWidth="1"/>
    <col min="15373" max="15373" width="33.625" style="1638" customWidth="1"/>
    <col min="15374" max="15616" width="9" style="1638"/>
    <col min="15617" max="15617" width="54.75" style="1638" customWidth="1"/>
    <col min="15618" max="15618" width="6.25" style="1638" customWidth="1"/>
    <col min="15619" max="15619" width="7.875" style="1638" customWidth="1"/>
    <col min="15620" max="15621" width="13.875" style="1638" customWidth="1"/>
    <col min="15622" max="15622" width="6.25" style="1638" customWidth="1"/>
    <col min="15623" max="15623" width="7.875" style="1638" customWidth="1"/>
    <col min="15624" max="15624" width="9" style="1638" customWidth="1"/>
    <col min="15625" max="15626" width="10.625" style="1638" customWidth="1"/>
    <col min="15627" max="15627" width="14.375" style="1638" customWidth="1"/>
    <col min="15628" max="15628" width="6.25" style="1638" customWidth="1"/>
    <col min="15629" max="15629" width="33.625" style="1638" customWidth="1"/>
    <col min="15630" max="15872" width="9" style="1638"/>
    <col min="15873" max="15873" width="54.75" style="1638" customWidth="1"/>
    <col min="15874" max="15874" width="6.25" style="1638" customWidth="1"/>
    <col min="15875" max="15875" width="7.875" style="1638" customWidth="1"/>
    <col min="15876" max="15877" width="13.875" style="1638" customWidth="1"/>
    <col min="15878" max="15878" width="6.25" style="1638" customWidth="1"/>
    <col min="15879" max="15879" width="7.875" style="1638" customWidth="1"/>
    <col min="15880" max="15880" width="9" style="1638" customWidth="1"/>
    <col min="15881" max="15882" width="10.625" style="1638" customWidth="1"/>
    <col min="15883" max="15883" width="14.375" style="1638" customWidth="1"/>
    <col min="15884" max="15884" width="6.25" style="1638" customWidth="1"/>
    <col min="15885" max="15885" width="33.625" style="1638" customWidth="1"/>
    <col min="15886" max="16128" width="9" style="1638"/>
    <col min="16129" max="16129" width="54.75" style="1638" customWidth="1"/>
    <col min="16130" max="16130" width="6.25" style="1638" customWidth="1"/>
    <col min="16131" max="16131" width="7.875" style="1638" customWidth="1"/>
    <col min="16132" max="16133" width="13.875" style="1638" customWidth="1"/>
    <col min="16134" max="16134" width="6.25" style="1638" customWidth="1"/>
    <col min="16135" max="16135" width="7.875" style="1638" customWidth="1"/>
    <col min="16136" max="16136" width="9" style="1638" customWidth="1"/>
    <col min="16137" max="16138" width="10.625" style="1638" customWidth="1"/>
    <col min="16139" max="16139" width="14.375" style="1638" customWidth="1"/>
    <col min="16140" max="16140" width="6.25" style="1638" customWidth="1"/>
    <col min="16141" max="16141" width="33.625" style="1638" customWidth="1"/>
    <col min="16142" max="16384" width="9" style="1638"/>
  </cols>
  <sheetData>
    <row r="1" spans="1:13">
      <c r="A1" s="1638" t="s">
        <v>3118</v>
      </c>
      <c r="B1" s="1638" t="s">
        <v>3119</v>
      </c>
      <c r="C1" s="1638" t="s">
        <v>3120</v>
      </c>
      <c r="D1" s="1638" t="s">
        <v>3121</v>
      </c>
      <c r="E1" s="1638" t="s">
        <v>3122</v>
      </c>
      <c r="F1" s="1638" t="s">
        <v>3123</v>
      </c>
      <c r="G1" s="1638" t="s">
        <v>3124</v>
      </c>
      <c r="H1" s="1638" t="s">
        <v>3125</v>
      </c>
      <c r="I1" s="1638" t="s">
        <v>3126</v>
      </c>
      <c r="J1" s="1638" t="s">
        <v>3127</v>
      </c>
      <c r="K1" s="1638" t="s">
        <v>3128</v>
      </c>
      <c r="L1" s="1638" t="s">
        <v>3129</v>
      </c>
      <c r="M1" s="1638" t="s">
        <v>3130</v>
      </c>
    </row>
    <row r="2" spans="1:13">
      <c r="A2" s="1638" t="s">
        <v>3217</v>
      </c>
      <c r="B2" s="1638" t="s">
        <v>3041</v>
      </c>
      <c r="C2" s="1638" t="s">
        <v>3073</v>
      </c>
      <c r="D2" s="1638">
        <v>180385.7</v>
      </c>
      <c r="E2" s="1638">
        <v>270579</v>
      </c>
      <c r="F2" s="1638">
        <v>1.5</v>
      </c>
      <c r="G2" s="1638" t="s">
        <v>3132</v>
      </c>
      <c r="H2" s="1638" t="s">
        <v>3218</v>
      </c>
      <c r="I2" s="1638">
        <v>26982.400000000001</v>
      </c>
      <c r="J2" s="1638">
        <v>26982.400000000001</v>
      </c>
      <c r="K2" s="1638">
        <v>997.21</v>
      </c>
      <c r="L2" s="1638">
        <v>0</v>
      </c>
      <c r="M2" s="1638" t="s">
        <v>3219</v>
      </c>
    </row>
    <row r="3" spans="1:13">
      <c r="A3" s="1638" t="s">
        <v>3220</v>
      </c>
      <c r="B3" s="1638" t="s">
        <v>3041</v>
      </c>
      <c r="C3" s="1638" t="s">
        <v>3073</v>
      </c>
      <c r="D3" s="1638">
        <v>91192.09</v>
      </c>
      <c r="E3" s="1638">
        <v>91192</v>
      </c>
      <c r="F3" s="1638">
        <v>1</v>
      </c>
      <c r="G3" s="1638" t="s">
        <v>3132</v>
      </c>
      <c r="H3" s="1638" t="s">
        <v>3221</v>
      </c>
      <c r="I3" s="1638">
        <v>13038.96</v>
      </c>
      <c r="J3" s="1638">
        <v>13038.96</v>
      </c>
      <c r="K3" s="1638">
        <v>1429.83</v>
      </c>
      <c r="L3" s="1638">
        <v>0</v>
      </c>
      <c r="M3" s="1638" t="s">
        <v>3222</v>
      </c>
    </row>
    <row r="4" spans="1:13">
      <c r="A4" s="1638" t="s">
        <v>3223</v>
      </c>
      <c r="B4" s="1638" t="s">
        <v>3041</v>
      </c>
      <c r="C4" s="1638" t="s">
        <v>3073</v>
      </c>
      <c r="D4" s="1638">
        <v>13300.75</v>
      </c>
      <c r="E4" s="1638">
        <v>13301</v>
      </c>
      <c r="F4" s="1638">
        <v>1</v>
      </c>
      <c r="G4" s="1638" t="s">
        <v>3132</v>
      </c>
      <c r="H4" s="1638" t="s">
        <v>3221</v>
      </c>
      <c r="I4" s="1638">
        <v>1081.83</v>
      </c>
      <c r="J4" s="1638">
        <v>3800</v>
      </c>
      <c r="K4" s="1638">
        <v>2856.92</v>
      </c>
      <c r="L4" s="1638">
        <v>251.25</v>
      </c>
      <c r="M4" s="1638" t="s">
        <v>3224</v>
      </c>
    </row>
    <row r="5" spans="1:13">
      <c r="A5" s="1638" t="s">
        <v>3225</v>
      </c>
      <c r="B5" s="1638" t="s">
        <v>3041</v>
      </c>
      <c r="C5" s="1638" t="s">
        <v>3073</v>
      </c>
      <c r="D5" s="1638">
        <v>114477.5</v>
      </c>
      <c r="E5" s="1638">
        <v>114478</v>
      </c>
      <c r="F5" s="1638">
        <v>1</v>
      </c>
      <c r="G5" s="1638" t="s">
        <v>3132</v>
      </c>
      <c r="H5" s="1638" t="s">
        <v>3226</v>
      </c>
      <c r="I5" s="1638">
        <v>36465.440000000002</v>
      </c>
      <c r="J5" s="1638">
        <v>36465.440000000002</v>
      </c>
      <c r="K5" s="1638">
        <v>3185.36</v>
      </c>
      <c r="L5" s="1638">
        <v>0</v>
      </c>
      <c r="M5" s="1638" t="s">
        <v>3227</v>
      </c>
    </row>
    <row r="6" spans="1:13">
      <c r="A6" s="1638" t="s">
        <v>3228</v>
      </c>
      <c r="B6" s="1638" t="s">
        <v>3041</v>
      </c>
      <c r="C6" s="1638" t="s">
        <v>3073</v>
      </c>
      <c r="D6" s="1638">
        <v>19547.61</v>
      </c>
      <c r="E6" s="1638">
        <v>29321</v>
      </c>
      <c r="F6" s="1638" t="s">
        <v>1331</v>
      </c>
      <c r="G6" s="1638" t="s">
        <v>3132</v>
      </c>
      <c r="H6" s="1638" t="s">
        <v>3229</v>
      </c>
      <c r="I6" s="1638">
        <v>1227.43</v>
      </c>
      <c r="J6" s="1638">
        <v>1227.43</v>
      </c>
      <c r="K6" s="1638">
        <v>418.62</v>
      </c>
      <c r="L6" s="1638">
        <v>0</v>
      </c>
      <c r="M6" s="1638" t="s">
        <v>3230</v>
      </c>
    </row>
    <row r="7" spans="1:13">
      <c r="A7" s="1638" t="s">
        <v>3231</v>
      </c>
      <c r="B7" s="1638" t="s">
        <v>3041</v>
      </c>
      <c r="C7" s="1638" t="s">
        <v>3073</v>
      </c>
      <c r="D7" s="1638">
        <v>13230</v>
      </c>
      <c r="E7" s="1638">
        <v>19845</v>
      </c>
      <c r="F7" s="1638" t="s">
        <v>1331</v>
      </c>
      <c r="G7" s="1638" t="s">
        <v>3132</v>
      </c>
      <c r="H7" s="1638" t="s">
        <v>3232</v>
      </c>
      <c r="I7" s="1638">
        <v>1966.95</v>
      </c>
      <c r="J7" s="1638">
        <v>2420</v>
      </c>
      <c r="K7" s="1638">
        <v>1219.45</v>
      </c>
      <c r="L7" s="1638">
        <v>23.03</v>
      </c>
      <c r="M7" s="1638" t="s">
        <v>3233</v>
      </c>
    </row>
    <row r="8" spans="1:13">
      <c r="A8" s="1638" t="s">
        <v>3234</v>
      </c>
      <c r="B8" s="1638" t="s">
        <v>3041</v>
      </c>
      <c r="C8" s="1638" t="s">
        <v>3073</v>
      </c>
      <c r="D8" s="1638">
        <v>133596</v>
      </c>
      <c r="E8" s="1638">
        <v>106877</v>
      </c>
      <c r="F8" s="1638" t="s">
        <v>1331</v>
      </c>
      <c r="G8" s="1638" t="s">
        <v>3132</v>
      </c>
      <c r="H8" s="1638" t="s">
        <v>3235</v>
      </c>
      <c r="I8" s="1638">
        <v>18313.84</v>
      </c>
      <c r="J8" s="1638">
        <v>18313.84</v>
      </c>
      <c r="K8" s="1638">
        <v>1713.53</v>
      </c>
      <c r="L8" s="1638">
        <v>0</v>
      </c>
      <c r="M8" s="1638" t="s">
        <v>3236</v>
      </c>
    </row>
    <row r="9" spans="1:13">
      <c r="A9" s="1638" t="s">
        <v>3237</v>
      </c>
      <c r="B9" s="1638" t="s">
        <v>3041</v>
      </c>
      <c r="C9" s="1638" t="s">
        <v>3073</v>
      </c>
      <c r="D9" s="1638">
        <v>18648.400000000001</v>
      </c>
      <c r="E9" s="1638">
        <v>27973</v>
      </c>
      <c r="F9" s="1638" t="s">
        <v>1331</v>
      </c>
      <c r="G9" s="1638" t="s">
        <v>3132</v>
      </c>
      <c r="H9" s="1638" t="s">
        <v>3238</v>
      </c>
      <c r="I9" s="1638">
        <v>2772.57</v>
      </c>
      <c r="J9" s="1638">
        <v>2990</v>
      </c>
      <c r="K9" s="1638">
        <v>1068.8900000000001</v>
      </c>
      <c r="L9" s="1638">
        <v>7.84</v>
      </c>
      <c r="M9" s="1638" t="s">
        <v>3239</v>
      </c>
    </row>
    <row r="10" spans="1:13">
      <c r="A10" s="1638" t="s">
        <v>3240</v>
      </c>
      <c r="B10" s="1638" t="s">
        <v>3041</v>
      </c>
      <c r="C10" s="1638" t="s">
        <v>3073</v>
      </c>
      <c r="D10" s="1638">
        <v>427650</v>
      </c>
      <c r="E10" s="1638">
        <v>622215</v>
      </c>
      <c r="F10" s="1638">
        <v>1.45</v>
      </c>
      <c r="G10" s="1638" t="s">
        <v>3132</v>
      </c>
      <c r="H10" s="1638" t="s">
        <v>3241</v>
      </c>
      <c r="I10" s="1638">
        <v>48410.48</v>
      </c>
      <c r="J10" s="1638">
        <v>48410.48</v>
      </c>
      <c r="K10" s="1638">
        <v>778.02</v>
      </c>
      <c r="L10" s="1638">
        <v>0</v>
      </c>
      <c r="M10" s="1638" t="s">
        <v>3242</v>
      </c>
    </row>
    <row r="11" spans="1:13">
      <c r="A11" s="1638" t="s">
        <v>3243</v>
      </c>
      <c r="B11" s="1638" t="s">
        <v>3041</v>
      </c>
      <c r="C11" s="1638" t="s">
        <v>3073</v>
      </c>
      <c r="D11" s="1638">
        <v>25856.880000000001</v>
      </c>
      <c r="E11" s="1638">
        <v>38785</v>
      </c>
      <c r="F11" s="1638">
        <v>1.5</v>
      </c>
      <c r="G11" s="1638" t="s">
        <v>3132</v>
      </c>
      <c r="H11" s="1638" t="s">
        <v>3244</v>
      </c>
      <c r="I11" s="1638">
        <v>3844.21</v>
      </c>
      <c r="J11" s="1638">
        <v>3844.21</v>
      </c>
      <c r="K11" s="1638">
        <v>991.15</v>
      </c>
      <c r="L11" s="1638">
        <v>0</v>
      </c>
      <c r="M11" s="1638" t="s">
        <v>3245</v>
      </c>
    </row>
    <row r="12" spans="1:13">
      <c r="A12" s="1638" t="s">
        <v>3246</v>
      </c>
      <c r="B12" s="1638" t="s">
        <v>3041</v>
      </c>
      <c r="C12" s="1638" t="s">
        <v>3073</v>
      </c>
      <c r="D12" s="1638">
        <v>18222.63</v>
      </c>
      <c r="E12" s="1638">
        <v>27333.94</v>
      </c>
      <c r="F12" s="1638">
        <v>1.5</v>
      </c>
      <c r="G12" s="1638" t="s">
        <v>3132</v>
      </c>
      <c r="H12" s="1638" t="s">
        <v>3244</v>
      </c>
      <c r="I12" s="1638">
        <v>1145.5899999999999</v>
      </c>
      <c r="J12" s="1638">
        <v>4510</v>
      </c>
      <c r="K12" s="1638">
        <v>1649.96</v>
      </c>
      <c r="L12" s="1638">
        <v>293.68</v>
      </c>
      <c r="M12" s="1638" t="s">
        <v>3247</v>
      </c>
    </row>
    <row r="13" spans="1:13">
      <c r="A13" s="1638" t="s">
        <v>3248</v>
      </c>
      <c r="B13" s="1638" t="s">
        <v>3041</v>
      </c>
      <c r="C13" s="1638" t="s">
        <v>3073</v>
      </c>
      <c r="D13" s="1638">
        <v>23280</v>
      </c>
      <c r="E13" s="1638">
        <v>34920</v>
      </c>
      <c r="F13" s="1638">
        <v>1.5</v>
      </c>
      <c r="G13" s="1638" t="s">
        <v>3132</v>
      </c>
      <c r="H13" s="1638" t="s">
        <v>3244</v>
      </c>
      <c r="I13" s="1638">
        <v>3461.11</v>
      </c>
      <c r="J13" s="1638">
        <v>3461.11</v>
      </c>
      <c r="K13" s="1638">
        <v>991.15</v>
      </c>
      <c r="L13" s="1638">
        <v>0</v>
      </c>
      <c r="M13" s="1638" t="s">
        <v>3249</v>
      </c>
    </row>
    <row r="14" spans="1:13">
      <c r="A14" s="1638" t="s">
        <v>3250</v>
      </c>
      <c r="B14" s="1638" t="s">
        <v>3041</v>
      </c>
      <c r="C14" s="1638" t="s">
        <v>3073</v>
      </c>
      <c r="D14" s="1638">
        <v>182888.5</v>
      </c>
      <c r="E14" s="1638">
        <v>274332.79999999999</v>
      </c>
      <c r="F14" s="1638">
        <v>1.5</v>
      </c>
      <c r="G14" s="1638" t="s">
        <v>3132</v>
      </c>
      <c r="H14" s="1638" t="s">
        <v>3251</v>
      </c>
      <c r="I14" s="1638">
        <v>27190.7</v>
      </c>
      <c r="J14" s="1638">
        <v>27190.7</v>
      </c>
      <c r="K14" s="1638">
        <v>991.15</v>
      </c>
      <c r="L14" s="1638">
        <v>0</v>
      </c>
      <c r="M14" s="1638" t="s">
        <v>3252</v>
      </c>
    </row>
    <row r="15" spans="1:13">
      <c r="A15" s="1638" t="s">
        <v>3253</v>
      </c>
      <c r="B15" s="1638" t="s">
        <v>3041</v>
      </c>
      <c r="C15" s="1638" t="s">
        <v>3073</v>
      </c>
      <c r="D15" s="1638">
        <v>15967</v>
      </c>
      <c r="E15" s="1638">
        <v>19160</v>
      </c>
      <c r="F15" s="1638">
        <v>1.2</v>
      </c>
      <c r="G15" s="1638" t="s">
        <v>3132</v>
      </c>
      <c r="H15" s="1638" t="s">
        <v>3251</v>
      </c>
      <c r="I15" s="1638">
        <v>1491.15</v>
      </c>
      <c r="J15" s="1638">
        <v>1920</v>
      </c>
      <c r="K15" s="1638">
        <v>1002.09</v>
      </c>
      <c r="L15" s="1638">
        <v>28.76</v>
      </c>
      <c r="M15" s="1638" t="s">
        <v>3254</v>
      </c>
    </row>
    <row r="16" spans="1:13">
      <c r="A16" s="1638" t="s">
        <v>3255</v>
      </c>
      <c r="B16" s="1638" t="s">
        <v>3041</v>
      </c>
      <c r="C16" s="1638" t="s">
        <v>3073</v>
      </c>
      <c r="D16" s="1638">
        <v>10000</v>
      </c>
      <c r="E16" s="1638">
        <v>15000</v>
      </c>
      <c r="F16" s="1638">
        <v>1.5</v>
      </c>
      <c r="G16" s="1638" t="s">
        <v>3132</v>
      </c>
      <c r="H16" s="1638" t="s">
        <v>3256</v>
      </c>
      <c r="I16" s="1638">
        <v>643</v>
      </c>
      <c r="J16" s="1638">
        <v>643</v>
      </c>
      <c r="K16" s="1638">
        <v>428.67</v>
      </c>
      <c r="L16" s="1638">
        <v>0</v>
      </c>
      <c r="M16" s="1638" t="s">
        <v>3257</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election activeCell="E18" sqref="E18"/>
    </sheetView>
  </sheetViews>
  <sheetFormatPr defaultRowHeight="13.5"/>
  <cols>
    <col min="1" max="1" width="9" style="3013"/>
    <col min="4" max="4" width="12.375" customWidth="1"/>
    <col min="5" max="5" width="17.5" customWidth="1"/>
  </cols>
  <sheetData>
    <row r="1" spans="1:8">
      <c r="A1" s="3015" t="s">
        <v>3320</v>
      </c>
      <c r="B1" s="3015" t="s">
        <v>3321</v>
      </c>
      <c r="C1" s="3015" t="s">
        <v>3317</v>
      </c>
      <c r="D1" s="3015" t="s">
        <v>3318</v>
      </c>
      <c r="E1" s="3015" t="s">
        <v>3319</v>
      </c>
    </row>
    <row r="2" spans="1:8">
      <c r="A2" s="3014">
        <v>1</v>
      </c>
      <c r="B2" s="3015" t="s">
        <v>3313</v>
      </c>
      <c r="C2" s="3015">
        <f>[2]典型户型修正办公!$B$22</f>
        <v>8177.909999999998</v>
      </c>
      <c r="D2" s="3014">
        <f>[2]典型户型修正办公!$B$20</f>
        <v>24558</v>
      </c>
      <c r="E2" s="3014">
        <f>[2]典型户型修正办公!$B$21</f>
        <v>30030</v>
      </c>
    </row>
    <row r="3" spans="1:8">
      <c r="A3" s="3014">
        <v>2</v>
      </c>
      <c r="B3" s="3015" t="s">
        <v>3314</v>
      </c>
      <c r="C3" s="3015">
        <f>[2]典型户型修正!$B$22</f>
        <v>1121.6300000000001</v>
      </c>
      <c r="D3" s="3014">
        <f>[2]典型户型修正!$B$20</f>
        <v>3624</v>
      </c>
      <c r="E3" s="3014">
        <f>[2]典型户型修正!$B$21</f>
        <v>32310</v>
      </c>
    </row>
    <row r="4" spans="1:8">
      <c r="A4" s="3014">
        <v>3</v>
      </c>
      <c r="B4" s="3015" t="s">
        <v>3315</v>
      </c>
      <c r="C4" s="3015">
        <f>'数据-基础表'!B3</f>
        <v>21214.79</v>
      </c>
      <c r="D4" s="3014">
        <f ca="1">结果表!G19</f>
        <v>47967</v>
      </c>
      <c r="E4" s="3014">
        <f ca="1">结果表!G20</f>
        <v>22610</v>
      </c>
    </row>
    <row r="5" spans="1:8">
      <c r="A5" s="3014">
        <v>4</v>
      </c>
      <c r="B5" s="3015" t="s">
        <v>3316</v>
      </c>
      <c r="C5" s="3015">
        <f>'[3]数据-基础表'!$B$3</f>
        <v>1996.98</v>
      </c>
      <c r="D5" s="3014">
        <f>[3]结果表!$G$19</f>
        <v>4142</v>
      </c>
      <c r="E5" s="3014">
        <f>[3]结果表!$G$20</f>
        <v>20743</v>
      </c>
    </row>
    <row r="6" spans="1:8">
      <c r="A6" s="3348" t="s">
        <v>3322</v>
      </c>
      <c r="B6" s="3349"/>
      <c r="C6" s="3350"/>
      <c r="D6" s="3014">
        <f ca="1">SUM(D2:D5)</f>
        <v>80291</v>
      </c>
      <c r="E6" s="3015" t="s">
        <v>3323</v>
      </c>
    </row>
    <row r="9" spans="1:8">
      <c r="A9" s="3016" t="s">
        <v>3258</v>
      </c>
      <c r="B9" s="3016" t="s">
        <v>1369</v>
      </c>
      <c r="C9" s="3016" t="s">
        <v>3093</v>
      </c>
      <c r="D9" s="3016" t="s">
        <v>3318</v>
      </c>
      <c r="E9" s="3016" t="s">
        <v>3319</v>
      </c>
    </row>
    <row r="10" spans="1:8">
      <c r="A10" s="3017">
        <v>1</v>
      </c>
      <c r="B10" s="3016" t="s">
        <v>3313</v>
      </c>
      <c r="C10" s="3016">
        <f>[2]典型户型修正办公!$B$22</f>
        <v>8177.909999999998</v>
      </c>
      <c r="D10" s="3017">
        <f>[2]典型户型修正办公!$B$20</f>
        <v>25395</v>
      </c>
      <c r="E10" s="3017">
        <f>[2]典型户型修正办公!$B$21</f>
        <v>31053</v>
      </c>
    </row>
    <row r="11" spans="1:8">
      <c r="A11" s="3017">
        <v>2</v>
      </c>
      <c r="B11" s="3016" t="s">
        <v>3314</v>
      </c>
      <c r="C11" s="3016">
        <f>[2]典型户型修正!$B$22</f>
        <v>1121.6300000000001</v>
      </c>
      <c r="D11" s="3017">
        <f>[2]典型户型修正!$B$20</f>
        <v>3624</v>
      </c>
      <c r="E11" s="3017">
        <f>[2]典型户型修正!$B$21</f>
        <v>32310</v>
      </c>
    </row>
    <row r="12" spans="1:8">
      <c r="A12" s="3017">
        <v>3</v>
      </c>
      <c r="B12" s="3016" t="s">
        <v>3114</v>
      </c>
      <c r="C12" s="3016">
        <f>'数据-基础表'!B3</f>
        <v>21214.79</v>
      </c>
      <c r="D12" s="3017">
        <f ca="1">结果表!G19</f>
        <v>47967</v>
      </c>
      <c r="E12" s="3017">
        <f ca="1">结果表!G20</f>
        <v>22610</v>
      </c>
    </row>
    <row r="13" spans="1:8">
      <c r="A13" s="3017">
        <v>4</v>
      </c>
      <c r="B13" s="3016" t="s">
        <v>3316</v>
      </c>
      <c r="C13" s="3016">
        <f>'[3]数据-基础表'!$B$3</f>
        <v>1996.98</v>
      </c>
      <c r="D13" s="3017">
        <f>[3]结果表!$G$19</f>
        <v>4142</v>
      </c>
      <c r="E13" s="3017">
        <f>[3]结果表!$G$20</f>
        <v>20743</v>
      </c>
    </row>
    <row r="14" spans="1:8">
      <c r="A14" s="3348" t="s">
        <v>3322</v>
      </c>
      <c r="B14" s="3349"/>
      <c r="C14" s="3350"/>
      <c r="D14" s="3017">
        <f ca="1">SUM(D10:D13)</f>
        <v>81128</v>
      </c>
      <c r="E14" s="3016" t="s">
        <v>3323</v>
      </c>
    </row>
    <row r="15" spans="1:8">
      <c r="H15">
        <f ca="1">D14-D6</f>
        <v>837</v>
      </c>
    </row>
  </sheetData>
  <mergeCells count="2">
    <mergeCell ref="A6:C6"/>
    <mergeCell ref="A14:C14"/>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40" t="s">
        <v>1663</v>
      </c>
      <c r="B1" s="3040"/>
      <c r="C1" s="3040"/>
      <c r="D1" s="3040"/>
    </row>
    <row r="2" spans="1:4" ht="18">
      <c r="A2" s="3041" t="s">
        <v>1647</v>
      </c>
      <c r="B2" s="3041"/>
      <c r="C2" s="3041"/>
      <c r="D2" s="3041"/>
    </row>
    <row r="3" spans="1:4" ht="18.75">
      <c r="A3" s="1980" t="s">
        <v>1648</v>
      </c>
      <c r="B3" s="1980" t="s">
        <v>1649</v>
      </c>
      <c r="C3" s="1980" t="s">
        <v>1650</v>
      </c>
      <c r="D3" s="1980" t="s">
        <v>1651</v>
      </c>
    </row>
    <row r="4" spans="1:4" ht="56.25" customHeight="1">
      <c r="A4" s="1981">
        <f>项目基本情况!B4</f>
        <v>0</v>
      </c>
      <c r="B4" s="1982">
        <f>项目基本情况!C4</f>
        <v>0</v>
      </c>
      <c r="C4" s="1983"/>
      <c r="D4" s="1984" t="s">
        <v>1652</v>
      </c>
    </row>
    <row r="5" spans="1:4" ht="56.25" customHeight="1">
      <c r="A5" s="1981">
        <f>项目基本情况!D4</f>
        <v>0</v>
      </c>
      <c r="B5" s="1982">
        <f>项目基本情况!E4</f>
        <v>0</v>
      </c>
      <c r="C5" s="1985"/>
      <c r="D5" s="1984" t="s">
        <v>1652</v>
      </c>
    </row>
    <row r="6" spans="1:4" ht="18">
      <c r="A6" s="3041" t="s">
        <v>1653</v>
      </c>
      <c r="B6" s="3041"/>
      <c r="C6" s="3041"/>
      <c r="D6" s="3041"/>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3042" t="s">
        <v>1656</v>
      </c>
      <c r="B11" s="3043"/>
      <c r="C11" s="3043"/>
      <c r="D11" s="3043"/>
    </row>
    <row r="12" spans="1:4" ht="15.75">
      <c r="A12" s="30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4"/>
      <c r="C12" s="3044"/>
      <c r="D12" s="3044"/>
    </row>
    <row r="13" spans="1:4" ht="30" customHeight="1">
      <c r="A13" s="3043" t="str">
        <f>IF(项目基本情况!B8="抵押","3.抵押双方在办理抵押登记手续时，应使用本公司出具的正式《房地产评估报告》，特提醒报告使用者注意。","——")</f>
        <v>——</v>
      </c>
      <c r="B13" s="3044"/>
      <c r="C13" s="3044"/>
      <c r="D13" s="3044"/>
    </row>
    <row r="14" spans="1:4" ht="15.75" customHeight="1">
      <c r="A14" s="3043" t="str">
        <f>IF(项目基本情况!B8="抵押","4.本次评估估价师所知悉的法定优先受偿款情况说明如下：","——")</f>
        <v>——</v>
      </c>
      <c r="B14" s="3044"/>
      <c r="C14" s="3044"/>
      <c r="D14" s="3044"/>
    </row>
    <row r="15" spans="1:4" ht="42" customHeight="1">
      <c r="A15" s="3043" t="str">
        <f>IF(项目基本情况!B8="抵押","（1）"&amp;CONCATENATE(项目基本情况!L20,项目基本情况!L21,项目基本情况!L22),"——")</f>
        <v>——</v>
      </c>
      <c r="B15" s="3043"/>
      <c r="C15" s="3043"/>
      <c r="D15" s="3043"/>
    </row>
    <row r="16" spans="1:4" ht="30" customHeight="1">
      <c r="A16" s="3046" t="s">
        <v>1657</v>
      </c>
      <c r="B16" s="3046"/>
      <c r="C16" s="3046"/>
      <c r="D16" s="3046"/>
    </row>
    <row r="17" spans="1:4" ht="144" customHeight="1">
      <c r="A17" s="3046" t="s">
        <v>1658</v>
      </c>
      <c r="B17" s="3046"/>
      <c r="C17" s="3046"/>
      <c r="D17" s="3046"/>
    </row>
    <row r="18" spans="1:4" ht="15.75" customHeight="1">
      <c r="A18" s="3043" t="str">
        <f>IF(项目基本情况!B8="抵押",结果表!K120,"——")</f>
        <v>——</v>
      </c>
      <c r="B18" s="3043"/>
      <c r="C18" s="3043"/>
      <c r="D18" s="3043"/>
    </row>
    <row r="19" spans="1:4" ht="46.5" customHeight="1">
      <c r="A19" s="30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3"/>
      <c r="C19" s="3043"/>
      <c r="D19" s="3043"/>
    </row>
    <row r="20" spans="1:4" ht="57.75" customHeight="1">
      <c r="A20" s="30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3"/>
      <c r="C20" s="3043"/>
      <c r="D20" s="3043"/>
    </row>
    <row r="21" spans="1:4" ht="57.75" customHeight="1">
      <c r="A21" s="30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7"/>
      <c r="C21" s="3047"/>
      <c r="D21" s="3047"/>
    </row>
    <row r="22" spans="1:4" ht="18.75" customHeight="1">
      <c r="A22" s="3048" t="s">
        <v>1659</v>
      </c>
      <c r="B22" s="3048"/>
      <c r="C22" s="3048"/>
      <c r="D22" s="3048"/>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3045">
        <v>42551</v>
      </c>
      <c r="D31" s="30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3054" t="s">
        <v>1670</v>
      </c>
      <c r="B15" s="3049" t="s">
        <v>136</v>
      </c>
      <c r="C15" s="3050"/>
    </row>
    <row r="16" spans="1:7" ht="13.5">
      <c r="A16" s="3055"/>
      <c r="B16" s="3049" t="s">
        <v>69</v>
      </c>
      <c r="C16" s="3050"/>
    </row>
    <row r="17" spans="1:3" ht="13.5">
      <c r="A17" s="3055"/>
      <c r="B17" s="3052" t="s">
        <v>1671</v>
      </c>
      <c r="C17" s="2003" t="s">
        <v>1670</v>
      </c>
    </row>
    <row r="18" spans="1:3" ht="13.5">
      <c r="A18" s="3055"/>
      <c r="B18" s="3052"/>
      <c r="C18" s="2003" t="s">
        <v>1672</v>
      </c>
    </row>
    <row r="19" spans="1:3" ht="13.5">
      <c r="A19" s="3055"/>
      <c r="B19" s="3052"/>
      <c r="C19" s="2003" t="s">
        <v>1673</v>
      </c>
    </row>
    <row r="20" spans="1:3" ht="13.5">
      <c r="A20" s="3056"/>
      <c r="B20" s="3051" t="s">
        <v>1674</v>
      </c>
      <c r="C20" s="3050"/>
    </row>
    <row r="21" spans="1:3" ht="13.5">
      <c r="A21" s="2004" t="s">
        <v>1675</v>
      </c>
      <c r="B21" s="2005"/>
      <c r="C21" s="2006"/>
    </row>
    <row r="22" spans="1:3" ht="13.5">
      <c r="A22" s="3053" t="s">
        <v>1676</v>
      </c>
      <c r="B22" s="3051" t="s">
        <v>1677</v>
      </c>
      <c r="C22" s="3050"/>
    </row>
    <row r="23" spans="1:3" ht="13.5">
      <c r="A23" s="3053"/>
      <c r="B23" s="3051" t="s">
        <v>1678</v>
      </c>
      <c r="C23" s="3050"/>
    </row>
    <row r="24" spans="1:3" ht="13.5">
      <c r="A24" s="3053"/>
      <c r="B24" s="3051" t="s">
        <v>1679</v>
      </c>
      <c r="C24" s="3050"/>
    </row>
    <row r="25" spans="1:3" ht="13.5">
      <c r="A25" s="3053"/>
      <c r="B25" s="3052" t="s">
        <v>1680</v>
      </c>
      <c r="C25" s="2003" t="s">
        <v>1681</v>
      </c>
    </row>
    <row r="26" spans="1:3" ht="13.5">
      <c r="A26" s="3053"/>
      <c r="B26" s="3052"/>
      <c r="C26" s="2003" t="s">
        <v>1682</v>
      </c>
    </row>
    <row r="27" spans="1:3" ht="13.5">
      <c r="A27" s="3053"/>
      <c r="B27" s="3052"/>
      <c r="C27" s="2003" t="s">
        <v>1683</v>
      </c>
    </row>
    <row r="28" spans="1:3" ht="13.5">
      <c r="A28" s="3053"/>
      <c r="B28" s="3052"/>
      <c r="C28" s="2003" t="s">
        <v>1684</v>
      </c>
    </row>
    <row r="29" spans="1:3" ht="13.5">
      <c r="A29" s="3053"/>
      <c r="B29" s="3052"/>
      <c r="C29" s="2003" t="s">
        <v>1685</v>
      </c>
    </row>
    <row r="30" spans="1:3" ht="13.5">
      <c r="A30" s="3053"/>
      <c r="B30" s="3052"/>
      <c r="C30" s="2003" t="s">
        <v>1686</v>
      </c>
    </row>
    <row r="31" spans="1:3" ht="13.5">
      <c r="A31" s="3053"/>
      <c r="B31" s="3052"/>
      <c r="C31" s="2003" t="s">
        <v>1687</v>
      </c>
    </row>
    <row r="32" spans="1:3" ht="13.5">
      <c r="A32" s="3053"/>
      <c r="B32" s="3052"/>
      <c r="C32" s="2003" t="s">
        <v>1688</v>
      </c>
    </row>
    <row r="33" spans="1:3" ht="13.5">
      <c r="A33" s="3053"/>
      <c r="B33" s="3052"/>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43178</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57" t="s">
        <v>846</v>
      </c>
      <c r="B25" s="3057"/>
      <c r="C25" s="3057"/>
      <c r="D25" s="3057"/>
      <c r="E25" s="3057"/>
      <c r="F25" s="3057"/>
      <c r="G25" s="3057"/>
    </row>
    <row r="26" spans="1:7" s="1028" customFormat="1" ht="24" customHeight="1">
      <c r="A26" s="3058" t="s">
        <v>847</v>
      </c>
      <c r="B26" s="3058"/>
      <c r="C26" s="3059"/>
      <c r="D26" s="3060" t="s">
        <v>848</v>
      </c>
      <c r="E26" s="3058"/>
      <c r="F26" s="3058"/>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135</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酒店收入计算</vt:lpstr>
      <vt:lpstr>比较法-住宅</vt:lpstr>
      <vt:lpstr>比较法-商业</vt:lpstr>
      <vt:lpstr>比较法-办公</vt:lpstr>
      <vt:lpstr>收益法 (地下)</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租金情况</vt:lpstr>
      <vt:lpstr>租约整理</vt:lpstr>
      <vt:lpstr>年期修正系数</vt:lpstr>
      <vt:lpstr>土地检索（全北京市）</vt:lpstr>
      <vt:lpstr>土地检索（昌平区）</vt:lpstr>
      <vt:lpstr>三个项目汇总</vt:lpstr>
      <vt:lpstr>估价师及机构信息!Print_Area</vt:lpstr>
      <vt:lpstr>收益法!Print_Area</vt:lpstr>
      <vt:lpstr>'收益法 (地下)'!Print_Area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2018-03-19T12:16:36Z</dcterms:modified>
</cp:coreProperties>
</file>