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按楼清单" sheetId="94" r:id="rId10"/>
    <sheet name="抵押清单" sheetId="89" r:id="rId11"/>
    <sheet name="项目基本情况" sheetId="4" r:id="rId12"/>
    <sheet name="定义" sheetId="10" r:id="rId13"/>
    <sheet name="数据-基础表" sheetId="3" r:id="rId14"/>
    <sheet name="抵押物清单（分楼）" sheetId="42" state="hidden" r:id="rId15"/>
    <sheet name="数据-汇总表" sheetId="6" r:id="rId16"/>
    <sheet name="面积表" sheetId="83" r:id="rId17"/>
    <sheet name="数据-取费表" sheetId="1" r:id="rId18"/>
    <sheet name="估价对象房地状况" sheetId="20" r:id="rId19"/>
    <sheet name="系统读取表" sheetId="74" r:id="rId20"/>
    <sheet name="结果一览表" sheetId="84" state="hidden" r:id="rId21"/>
    <sheet name="结果表商" sheetId="9" state="hidden" r:id="rId22"/>
    <sheet name="土地案例" sheetId="81" state="hidden" r:id="rId23"/>
    <sheet name="成本法商租" sheetId="68" state="hidden" r:id="rId24"/>
    <sheet name="比较法-商业" sheetId="33" state="hidden" r:id="rId25"/>
    <sheet name="典型户型修正" sheetId="31" state="hidden" r:id="rId26"/>
    <sheet name="成本法商自" sheetId="93" state="hidden" r:id="rId27"/>
    <sheet name="收益法商租" sheetId="77" state="hidden" r:id="rId28"/>
    <sheet name="收益法商自" sheetId="90" state="hidden" r:id="rId29"/>
    <sheet name="收益法商（汇总）" sheetId="70" state="hidden" r:id="rId30"/>
    <sheet name="结果表办" sheetId="78" r:id="rId31"/>
    <sheet name="比较法-办公" sheetId="34" r:id="rId32"/>
    <sheet name="成本法 (元)" sheetId="69" state="hidden" r:id="rId33"/>
    <sheet name="假设开发法" sheetId="12" state="hidden" r:id="rId34"/>
    <sheet name="收益法 (元)" sheetId="67" state="hidden" r:id="rId35"/>
    <sheet name="典型户型修正办" sheetId="82" r:id="rId36"/>
    <sheet name="收益法办租" sheetId="91" r:id="rId37"/>
    <sheet name="收益法办自" sheetId="15" r:id="rId38"/>
    <sheet name="比较法-住宅" sheetId="21" state="hidden" r:id="rId39"/>
    <sheet name="比较法-工业" sheetId="37" state="hidden" r:id="rId40"/>
    <sheet name="收益法办（汇总）" sheetId="92" r:id="rId41"/>
    <sheet name="结果表车" sheetId="88" r:id="rId42"/>
    <sheet name="比较法-车位" sheetId="35" r:id="rId43"/>
    <sheet name="比较法-仓储" sheetId="36" state="hidden" r:id="rId44"/>
    <sheet name="土地比较法-工业" sheetId="40" state="hidden" r:id="rId45"/>
    <sheet name="收益法车库" sheetId="87" r:id="rId46"/>
    <sheet name="结果表酒店" sheetId="80" r:id="rId47"/>
    <sheet name="土地比较法-住宅、综合" sheetId="85" r:id="rId48"/>
    <sheet name="成本法酒店" sheetId="86" r:id="rId49"/>
    <sheet name="基准地价修正" sheetId="43" state="hidden" r:id="rId50"/>
    <sheet name="修正" sheetId="45" state="hidden" r:id="rId51"/>
    <sheet name="容积率修正" sheetId="46" state="hidden" r:id="rId52"/>
    <sheet name="基准地价（汇总）" sheetId="76" state="hidden" r:id="rId53"/>
    <sheet name="收益法酒店" sheetId="79" r:id="rId54"/>
    <sheet name="酒店收入计算" sheetId="66" r:id="rId55"/>
    <sheet name="地价" sheetId="71"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externalReferences>
    <externalReference r:id="rId62"/>
    <externalReference r:id="rId63"/>
    <externalReference r:id="rId64"/>
    <externalReference r:id="rId65"/>
    <externalReference r:id="rId66"/>
  </externalReferences>
  <definedNames>
    <definedName name="_xlnm._FilterDatabase" localSheetId="9" hidden="1">按楼清单!$A$1:$S$1</definedName>
    <definedName name="_xlnm._FilterDatabase" localSheetId="31" hidden="1">'比较法-办公'!$A$1:$L$50</definedName>
    <definedName name="_xlnm._FilterDatabase" localSheetId="43" hidden="1">'比较法-仓储'!$A$1:$L$37</definedName>
    <definedName name="_xlnm._FilterDatabase" localSheetId="42" hidden="1">'比较法-车位'!$A$1:$L$39</definedName>
    <definedName name="_xlnm._FilterDatabase" localSheetId="39" hidden="1">'比较法-工业'!$A$1:$L$43</definedName>
    <definedName name="_xlnm._FilterDatabase" localSheetId="24" hidden="1">'比较法-商业'!$A$1:$L$49</definedName>
    <definedName name="_xlnm._FilterDatabase" localSheetId="38" hidden="1">'比较法-住宅'!$A$1:$L$49</definedName>
    <definedName name="_xlnm._FilterDatabase" localSheetId="10" hidden="1">抵押清单!$A$1:$S$1</definedName>
    <definedName name="_xlnm._FilterDatabase" localSheetId="16" hidden="1">面积表!$A$1:$T$1</definedName>
    <definedName name="_xlnm._FilterDatabase" localSheetId="13" hidden="1">'数据-基础表'!$A$12:$AT$587</definedName>
    <definedName name="_xlnm._FilterDatabase" localSheetId="44"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8">估价师及机构信息!$A$1:$F$29</definedName>
    <definedName name="_xlnm.Print_Area" localSheetId="34">'收益法 (元)'!$A$1:$AK$69</definedName>
    <definedName name="_xlnm.Print_Area" localSheetId="37">收益法办自!$A$1:$AK$69</definedName>
    <definedName name="_xlnm.Print_Area" localSheetId="36">收益法办租!$A$1:$AK$69</definedName>
    <definedName name="_xlnm.Print_Area" localSheetId="45">收益法车库!$A$1:$AK$69</definedName>
    <definedName name="_xlnm.Print_Area" localSheetId="53">收益法酒店!$A$1:$AK$69</definedName>
    <definedName name="_xlnm.Print_Area" localSheetId="28">收益法商自!$A$1:$AK$69</definedName>
    <definedName name="_xlnm.Print_Area" localSheetId="27">收益法商租!$A$1:$AK$69</definedName>
    <definedName name="_xlnm.Print_Area" localSheetId="15">'数据-汇总表'!$A$1:$P$32</definedName>
    <definedName name="八级">区片价!$O$1:$O$40</definedName>
    <definedName name="办公层高" localSheetId="9">'[1]比较法-办公'!$B$119:$M$119</definedName>
    <definedName name="办公层高" localSheetId="47">'[2]比较法-办公'!$B$119:$M$119</definedName>
    <definedName name="办公层高">'比较法-办公'!$B$119:$M$119</definedName>
    <definedName name="办公朝向" localSheetId="9">'[1]比较法-办公'!$B$91:$M$91</definedName>
    <definedName name="办公朝向" localSheetId="47">'[2]比较法-办公'!$B$91:$M$91</definedName>
    <definedName name="办公朝向">'比较法-办公'!$B$91:$M$91</definedName>
    <definedName name="办公道路级别" localSheetId="9">'[1]比较法-办公'!$B$87:$M$87</definedName>
    <definedName name="办公道路级别" localSheetId="47">'[2]比较法-办公'!$B$87:$M$87</definedName>
    <definedName name="办公道路级别">'比较法-办公'!$B$87:$M$87</definedName>
    <definedName name="办公公共部分装修" localSheetId="9">'[1]比较法-办公'!$B$108:$M$108</definedName>
    <definedName name="办公公共部分装修" localSheetId="47">'[2]比较法-办公'!$B$108:$M$108</definedName>
    <definedName name="办公公共部分装修">'比较法-办公'!$B$108:$M$108</definedName>
    <definedName name="办公基础设施水平" localSheetId="9">'[1]比较法-办公'!$B$117:$M$117</definedName>
    <definedName name="办公基础设施水平" localSheetId="47">'[2]比较法-办公'!$B$117:$M$117</definedName>
    <definedName name="办公基础设施水平">'比较法-办公'!$B$117:$M$117</definedName>
    <definedName name="办公集聚程度" localSheetId="9">[1]定义!$M$1:$M$6</definedName>
    <definedName name="办公集聚程度" localSheetId="47">[2]定义!$M$1:$M$6</definedName>
    <definedName name="办公集聚程度">定义!$M$1:$M$6</definedName>
    <definedName name="办公建筑结构" localSheetId="9">'[1]比较法-办公'!$B$106:$M$106</definedName>
    <definedName name="办公建筑结构" localSheetId="47">'[2]比较法-办公'!$B$106:$M$106</definedName>
    <definedName name="办公建筑结构">'比较法-办公'!$B$106:$M$106</definedName>
    <definedName name="办公建筑类型" localSheetId="9">'[1]比较法-办公'!$B$101:$M$101</definedName>
    <definedName name="办公建筑类型" localSheetId="47">'[2]比较法-办公'!$B$101:$M$101</definedName>
    <definedName name="办公建筑类型">'比较法-办公'!$B$101:$M$101</definedName>
    <definedName name="办公交易情况" localSheetId="9">'[1]比较法-办公'!$A$62:$M$62</definedName>
    <definedName name="办公交易情况" localSheetId="47">'[2]比较法-办公'!$A$62:$M$62</definedName>
    <definedName name="办公交易情况">'比较法-办公'!$A$62:$M$62</definedName>
    <definedName name="办公楼层" localSheetId="9">'[1]比较法-办公'!$B$89:$M$89</definedName>
    <definedName name="办公楼层" localSheetId="47">'[2]比较法-办公'!$B$89:$M$89</definedName>
    <definedName name="办公楼层">'比较法-办公'!$B$89:$M$89</definedName>
    <definedName name="办公内部装修" localSheetId="9">'[1]比较法-办公'!$B$123:$M$123</definedName>
    <definedName name="办公内部装修" localSheetId="47">'[2]比较法-办公'!$B$123:$M$123</definedName>
    <definedName name="办公内部装修">'比较法-办公'!$B$123:$M$123</definedName>
    <definedName name="办公物业管理" localSheetId="9">'[1]比较法-办公'!$B$115:$M$115</definedName>
    <definedName name="办公物业管理" localSheetId="47">'[2]比较法-办公'!$B$115:$M$115</definedName>
    <definedName name="办公物业管理">'比较法-办公'!$B$115:$M$115</definedName>
    <definedName name="办公用途" localSheetId="9">'[1]比较法-办公'!$B$64:$M$64</definedName>
    <definedName name="办公用途" localSheetId="47">'[2]比较法-办公'!$B$64:$M$64</definedName>
    <definedName name="办公用途">'比较法-办公'!$B$64:$M$64</definedName>
    <definedName name="仓储公共部分装修" localSheetId="9">'[1]比较法-仓储'!$B$77:$M$77</definedName>
    <definedName name="仓储公共部分装修" localSheetId="47">'[2]比较法-仓储'!$B$77:$M$77</definedName>
    <definedName name="仓储公共部分装修">'比较法-仓储'!$B$77:$M$77</definedName>
    <definedName name="仓储交易情况" localSheetId="9">'[1]比较法-仓储'!$A$49:$M$49</definedName>
    <definedName name="仓储交易情况" localSheetId="47">'[2]比较法-仓储'!$A$49:$M$49</definedName>
    <definedName name="仓储交易情况">'比较法-仓储'!$A$49:$M$49</definedName>
    <definedName name="仓储楼层" localSheetId="9">'[1]比较法-仓储'!$B$69:$M$69</definedName>
    <definedName name="仓储楼层" localSheetId="47">'[2]比较法-仓储'!$B$69:$M$69</definedName>
    <definedName name="仓储楼层">'比较法-仓储'!$B$69:$M$69</definedName>
    <definedName name="仓储物业等级" localSheetId="9">'[1]比较法-仓储'!$B$82:$M$82</definedName>
    <definedName name="仓储物业等级" localSheetId="47">'[2]比较法-仓储'!$B$82:$M$82</definedName>
    <definedName name="仓储物业等级">'比较法-仓储'!$B$82:$M$82</definedName>
    <definedName name="仓储用途" localSheetId="9">'[1]比较法-仓储'!$B$51:$M$51</definedName>
    <definedName name="仓储用途" localSheetId="47">'[2]比较法-仓储'!$B$51:$M$51</definedName>
    <definedName name="仓储用途">'比较法-仓储'!$B$51:$M$51</definedName>
    <definedName name="产业集聚程度" localSheetId="9">[1]定义!$N$1:$N$6</definedName>
    <definedName name="产业集聚程度" localSheetId="47">[2]定义!$N$1:$N$6</definedName>
    <definedName name="产业集聚程度">定义!$N$1:$N$6</definedName>
    <definedName name="车位公共部分装修" localSheetId="9">'[1]比较法-车位'!$B$83:$M$83</definedName>
    <definedName name="车位公共部分装修" localSheetId="47">'[2]比较法-车位'!$B$83:$M$83</definedName>
    <definedName name="车位公共部分装修">'比较法-车位'!$B$83:$M$83</definedName>
    <definedName name="车位交易情况" localSheetId="9">'[1]比较法-车位'!$A$51:$M$51</definedName>
    <definedName name="车位交易情况" localSheetId="47">'[2]比较法-车位'!$A$51:$M$51</definedName>
    <definedName name="车位交易情况">'比较法-车位'!$A$51:$M$51</definedName>
    <definedName name="车位类型" localSheetId="9">'[1]比较法-车位'!$B$93:$M$93</definedName>
    <definedName name="车位类型" localSheetId="47">'[2]比较法-车位'!$B$93:$M$93</definedName>
    <definedName name="车位类型">'比较法-车位'!$B$93:$M$93</definedName>
    <definedName name="车位楼层" localSheetId="9">'[1]比较法-车位'!$B$71:$M$71</definedName>
    <definedName name="车位楼层" localSheetId="47">'[2]比较法-车位'!$B$71:$M$71</definedName>
    <definedName name="车位楼层">'比较法-车位'!$B$71:$M$71</definedName>
    <definedName name="车位配套类型" localSheetId="9">'[1]比较法-车位'!$B$79:$M$79</definedName>
    <definedName name="车位配套类型" localSheetId="47">'[2]比较法-车位'!$B$79:$M$79</definedName>
    <definedName name="车位配套类型">'比较法-车位'!$B$79:$M$79</definedName>
    <definedName name="车位物业等级" localSheetId="9">'[1]比较法-车位'!$B$88:$M$88</definedName>
    <definedName name="车位物业等级" localSheetId="47">'[2]比较法-车位'!$B$88:$M$88</definedName>
    <definedName name="车位物业等级">'比较法-车位'!$B$88:$M$88</definedName>
    <definedName name="车位用途" localSheetId="9">'[1]比较法-车位'!$B$53:$M$53</definedName>
    <definedName name="车位用途" localSheetId="47">'[2]比较法-车位'!$B$53:$M$53</definedName>
    <definedName name="车位用途">'比较法-车位'!$B$53:$M$53</definedName>
    <definedName name="城镇土地纳税等级分级范围" localSheetId="9">'[1]数据-取费表'!$A$53:$A$63</definedName>
    <definedName name="城镇土地纳税等级分级范围" localSheetId="47">'[2]数据-取费表'!$A$53:$A$63</definedName>
    <definedName name="城镇土地纳税等级分级范围">'数据-取费表'!$A$53:$A$63</definedName>
    <definedName name="单价内涵" localSheetId="9">[1]定义!$V$1:$V$3</definedName>
    <definedName name="单价内涵" localSheetId="47">[2]定义!$V$1:$V$3</definedName>
    <definedName name="单价内涵">定义!$V$1:$V$3</definedName>
    <definedName name="地类判定" localSheetId="9">[1]定义!$H$1:$H$9</definedName>
    <definedName name="地类判定" localSheetId="47">[2]定义!$H$1:$H$9</definedName>
    <definedName name="地类判定">定义!$H$1:$H$9</definedName>
    <definedName name="二级">区片价!$I$1:$I$20</definedName>
    <definedName name="二级分类" localSheetId="9">[1]修正!$C$17:$C$39</definedName>
    <definedName name="二级分类" localSheetId="47">[2]修正!$C$17:$C$39</definedName>
    <definedName name="二级分类">修正!$C$17:$C$39</definedName>
    <definedName name="法定最高年限" localSheetId="9">[1]定义!$G$1:$G$4</definedName>
    <definedName name="法定最高年限" localSheetId="47">[2]定义!$G$1:$G$4</definedName>
    <definedName name="法定最高年限">定义!$G$1:$G$4</definedName>
    <definedName name="工业公共部分装修" localSheetId="9">'[1]比较法-工业'!$B$95:$M$95</definedName>
    <definedName name="工业公共部分装修" localSheetId="47">'[2]比较法-工业'!$B$95:$M$95</definedName>
    <definedName name="工业公共部分装修">'比较法-工业'!$B$95:$M$95</definedName>
    <definedName name="工业基础设施水平" localSheetId="9">'[1]比较法-工业'!$B$102:$M$102</definedName>
    <definedName name="工业基础设施水平" localSheetId="47">'[2]比较法-工业'!$B$102:$M$102</definedName>
    <definedName name="工业基础设施水平">'比较法-工业'!$B$102:$M$102</definedName>
    <definedName name="工业建筑结构" localSheetId="9">'[1]比较法-工业'!$B$93:$M$93</definedName>
    <definedName name="工业建筑结构" localSheetId="47">'[2]比较法-工业'!$B$93:$M$93</definedName>
    <definedName name="工业建筑结构">'比较法-工业'!$B$93:$M$93</definedName>
    <definedName name="工业建筑类型" localSheetId="9">'[1]比较法-工业'!$B$88:$M$88</definedName>
    <definedName name="工业建筑类型" localSheetId="47">'[2]比较法-工业'!$B$88:$M$88</definedName>
    <definedName name="工业建筑类型">'比较法-工业'!$B$88:$M$88</definedName>
    <definedName name="工业交易情况" localSheetId="9">'[1]比较法-工业'!$A$55:$M$55</definedName>
    <definedName name="工业交易情况" localSheetId="47">'[2]比较法-工业'!$A$55:$M$55</definedName>
    <definedName name="工业交易情况">'比较法-工业'!$A$55:$M$55</definedName>
    <definedName name="工业内部装修" localSheetId="9">'[1]比较法-工业'!$B$104:$M$104</definedName>
    <definedName name="工业内部装修" localSheetId="47">'[2]比较法-工业'!$B$104:$M$104</definedName>
    <definedName name="工业内部装修">'比较法-工业'!$B$104:$M$104</definedName>
    <definedName name="工业物业管理" localSheetId="9">'[1]比较法-工业'!$B$100:$M$100</definedName>
    <definedName name="工业物业管理" localSheetId="47">'[2]比较法-工业'!$B$100:$M$100</definedName>
    <definedName name="工业物业管理">'比较法-工业'!$B$100:$M$100</definedName>
    <definedName name="工业用途" localSheetId="9">'[1]比较法-工业'!$B$57:$M$57</definedName>
    <definedName name="工业用途" localSheetId="47">'[2]比较法-工业'!$B$57:$M$57</definedName>
    <definedName name="工业用途">'比较法-工业'!$B$57:$M$57</definedName>
    <definedName name="公共配套设施" localSheetId="9">[1]定义!$Q$1:$Q$6</definedName>
    <definedName name="公共配套设施" localSheetId="47">[2]定义!$Q$1:$Q$6</definedName>
    <definedName name="公共配套设施">定义!$Q$1:$Q$6</definedName>
    <definedName name="估价方法" localSheetId="9">[1]定义!$B$1:$B$50</definedName>
    <definedName name="估价方法" localSheetId="47">[2]定义!$B$1:$B$50</definedName>
    <definedName name="估价方法">定义!$B$1:$B$50</definedName>
    <definedName name="环境" localSheetId="9">[1]定义!$S$1:$S$6</definedName>
    <definedName name="环境" localSheetId="47">[2]定义!$S$1:$S$6</definedName>
    <definedName name="环境">定义!$S$1:$S$6</definedName>
    <definedName name="基础设施水平" localSheetId="9">[1]定义!$R$1:$R$6</definedName>
    <definedName name="基础设施水平" localSheetId="47">[2]定义!$R$1:$R$6</definedName>
    <definedName name="基础设施水平">定义!$R$1:$R$6</definedName>
    <definedName name="季度">基准地价修正!$Q$19:$AD$19</definedName>
    <definedName name="价值类型2" localSheetId="9">[1]定义!$B$54:$B$56</definedName>
    <definedName name="价值类型2" localSheetId="47">[2]定义!$B$54:$B$56</definedName>
    <definedName name="价值类型2">定义!$B$54:$B$56</definedName>
    <definedName name="交通便捷度" localSheetId="9">[1]定义!$O$1:$O$6</definedName>
    <definedName name="交通便捷度" localSheetId="47">[2]定义!$O$1:$O$6</definedName>
    <definedName name="交通便捷度">定义!$O$1:$O$6</definedName>
    <definedName name="九级">区片价!$P$1:$P$46</definedName>
    <definedName name="居住社区成熟度" localSheetId="9">[1]定义!$K$1:$K$6</definedName>
    <definedName name="居住社区成熟度" localSheetId="47">[2]定义!$K$1:$K$6</definedName>
    <definedName name="居住社区成熟度">定义!$K$1:$K$6</definedName>
    <definedName name="类别" localSheetId="9">[1]定义!$J$1:$J$3</definedName>
    <definedName name="类别" localSheetId="47">[2]定义!$J$1:$J$3</definedName>
    <definedName name="类别">定义!$J$1:$J$3</definedName>
    <definedName name="临街状况" localSheetId="9">[1]定义!$T$1:$T$5</definedName>
    <definedName name="临街状况" localSheetId="47">[2]定义!$T$1:$T$5</definedName>
    <definedName name="临街状况">定义!$T$1:$T$5</definedName>
    <definedName name="六级">区片价!$M$1:$M$49</definedName>
    <definedName name="内部装修维护情况" localSheetId="9">[1]定义!$U$1:$U$6</definedName>
    <definedName name="内部装修维护情况" localSheetId="47">[2]定义!$U$1:$U$6</definedName>
    <definedName name="内部装修维护情况">定义!$U$1:$U$6</definedName>
    <definedName name="判定" localSheetId="9">[1]定义!$D$1:$D$4</definedName>
    <definedName name="判定" localSheetId="47">[2]定义!$D$1:$D$4</definedName>
    <definedName name="判定">定义!$D$1:$D$4</definedName>
    <definedName name="七级">区片价!$N$1:$N$49</definedName>
    <definedName name="七通一平" localSheetId="9">[1]修正!$A$6:$A$14</definedName>
    <definedName name="七通一平" localSheetId="47">[2]修正!$A$6:$A$14</definedName>
    <definedName name="七通一平">修正!$A$6:$A$14</definedName>
    <definedName name="区域土地利用方向" localSheetId="9">[1]定义!$P$1:$P$6</definedName>
    <definedName name="区域土地利用方向" localSheetId="47">[2]定义!$P$1:$P$6</definedName>
    <definedName name="区域土地利用方向">定义!$P$1:$P$6</definedName>
    <definedName name="三级">区片价!$J$1:$J$21</definedName>
    <definedName name="商业层高" localSheetId="9">'[1]比较法-商业'!$B$116:$M$116</definedName>
    <definedName name="商业层高" localSheetId="47">'[2]比较法-商业'!$B$116:$M$116</definedName>
    <definedName name="商业层高">'比较法-商业'!$B$116:$M$116</definedName>
    <definedName name="商业成新度">'比较法-商业'!$B$109:$M$109</definedName>
    <definedName name="商业繁华度" localSheetId="9">[1]定义!$L$1:$L$6</definedName>
    <definedName name="商业繁华度" localSheetId="47">[2]定义!$L$1:$L$6</definedName>
    <definedName name="商业繁华度">定义!$L$1:$L$6</definedName>
    <definedName name="商业公共部分装修" localSheetId="9">'[1]比较法-商业'!$B$107:$M$107</definedName>
    <definedName name="商业公共部分装修" localSheetId="47">'[2]比较法-商业'!$B$107:$M$107</definedName>
    <definedName name="商业公共部分装修">'比较法-商业'!$B$107:$M$107</definedName>
    <definedName name="商业基础设施水平" localSheetId="9">'[1]比较法-商业'!$B$112:$M$112</definedName>
    <definedName name="商业基础设施水平" localSheetId="47">'[2]比较法-商业'!$B$112:$M$112</definedName>
    <definedName name="商业基础设施水平">'比较法-商业'!$B$112:$M$112</definedName>
    <definedName name="商业建筑结构" localSheetId="9">'[1]比较法-商业'!$B$105:$M$105</definedName>
    <definedName name="商业建筑结构" localSheetId="47">'[2]比较法-商业'!$B$105:$M$105</definedName>
    <definedName name="商业建筑结构">'比较法-商业'!$B$105:$M$105</definedName>
    <definedName name="商业交易情况" localSheetId="9">'[1]比较法-商业'!$A$61:$M$61</definedName>
    <definedName name="商业交易情况" localSheetId="47">'[2]比较法-商业'!$A$61:$M$61</definedName>
    <definedName name="商业交易情况">'比较法-商业'!$A$61:$M$61</definedName>
    <definedName name="商业街名称" localSheetId="9">[1]修正!$C$59:$C$119</definedName>
    <definedName name="商业街名称" localSheetId="47">[2]修正!$C$59:$C$119</definedName>
    <definedName name="商业街名称">修正!$C$59:$C$119</definedName>
    <definedName name="商业进深比" localSheetId="9">'[1]比较法-商业'!$B$120:$M$120</definedName>
    <definedName name="商业进深比" localSheetId="47">'[2]比较法-商业'!$B$120:$M$120</definedName>
    <definedName name="商业进深比">'比较法-商业'!$B$120:$M$120</definedName>
    <definedName name="商业类型" localSheetId="9">'[1]比较法-商业'!$B$100:$M$100</definedName>
    <definedName name="商业类型" localSheetId="47">'[2]比较法-商业'!$B$100:$M$100</definedName>
    <definedName name="商业类型">'比较法-商业'!$B$100:$M$100</definedName>
    <definedName name="商业临街状况" localSheetId="9">'[1]比较法-商业'!$B$86:$M$86</definedName>
    <definedName name="商业临街状况" localSheetId="47">'[2]比较法-商业'!$B$86:$M$86</definedName>
    <definedName name="商业临街状况">'比较法-商业'!$B$86:$M$86</definedName>
    <definedName name="商业楼层" localSheetId="9">'[1]比较法-商业'!$B$92:$M$92</definedName>
    <definedName name="商业楼层" localSheetId="47">'[2]比较法-商业'!$B$92:$M$92</definedName>
    <definedName name="商业楼层">'比较法-商业'!$B$92:$M$92</definedName>
    <definedName name="商业内部装修" localSheetId="9">'[1]比较法-商业'!$B$122:$M$122</definedName>
    <definedName name="商业内部装修" localSheetId="47">'[2]比较法-商业'!$B$122:$M$122</definedName>
    <definedName name="商业内部装修">'比较法-商业'!$B$122:$M$122</definedName>
    <definedName name="商业人流量" localSheetId="9">'[1]比较法-商业'!$B$90:$M$90</definedName>
    <definedName name="商业人流量" localSheetId="47">'[2]比较法-商业'!$B$90:$M$90</definedName>
    <definedName name="商业人流量">'比较法-商业'!$B$90:$M$90</definedName>
    <definedName name="商业业态" localSheetId="9">'[1]比较法-商业'!$B$114:$M$114</definedName>
    <definedName name="商业业态" localSheetId="47">'[2]比较法-商业'!$B$114:$M$114</definedName>
    <definedName name="商业业态">'比较法-商业'!$B$114:$M$114</definedName>
    <definedName name="商业用途" localSheetId="9">'[1]比较法-商业'!$B$63:$M$63</definedName>
    <definedName name="商业用途" localSheetId="47">'[2]比较法-商业'!$B$63:$M$63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'[1]比较法-仓储'!$B$89:$M$89</definedName>
    <definedName name="是否封闭" localSheetId="47">'[2]比较法-仓储'!$B$89:$M$89</definedName>
    <definedName name="是否封闭">'比较法-仓储'!$B$89:$M$89</definedName>
    <definedName name="是否直接入户" localSheetId="9">'[1]比较法-车位'!$B$95:$M$95</definedName>
    <definedName name="是否直接入户" localSheetId="47">'[2]比较法-车位'!$B$95:$M$95</definedName>
    <definedName name="是否直接入户">'比较法-车位'!$B$95:$M$95</definedName>
    <definedName name="四级">区片价!$K$1:$K$28</definedName>
    <definedName name="套工道路等级" localSheetId="9">'[1]土地比较法-工业'!$B$97:$M$97</definedName>
    <definedName name="套工道路等级" localSheetId="47">'[2]土地比较法-工业'!$B$97:$M$97</definedName>
    <definedName name="套工道路等级">'土地比较法-工业'!$B$97:$M$97</definedName>
    <definedName name="套工地质条件" localSheetId="9">'[1]土地比较法-工业'!$B$114:$M$114</definedName>
    <definedName name="套工地质条件" localSheetId="47">'[2]土地比较法-工业'!$B$114:$M$114</definedName>
    <definedName name="套工地质条件">'土地比较法-工业'!$B$114:$M$114</definedName>
    <definedName name="套工交易情况" localSheetId="9">#REF!</definedName>
    <definedName name="套工交易情况" localSheetId="26">#REF!</definedName>
    <definedName name="套工交易情况" localSheetId="10">#REF!</definedName>
    <definedName name="套工交易情况" localSheetId="40">#REF!</definedName>
    <definedName name="套工交易情况" localSheetId="36">#REF!</definedName>
    <definedName name="套工交易情况" localSheetId="28">#REF!</definedName>
    <definedName name="套工交易情况" localSheetId="47">'土地比较法-住宅、综合'!$A$73:$M$73</definedName>
    <definedName name="套工交易情况">#REF!</definedName>
    <definedName name="套工土地级别" localSheetId="9">'[1]土地比较法-工业'!$B$99:$M$99</definedName>
    <definedName name="套工土地级别" localSheetId="47">'[2]土地比较法-工业'!$B$99:$M$99</definedName>
    <definedName name="套工土地级别">'土地比较法-工业'!$B$99:$M$99</definedName>
    <definedName name="套工用途" localSheetId="9">'[1]土地比较法-工业'!$B$70:$M$70</definedName>
    <definedName name="套工用途" localSheetId="47">'[2]土地比较法-工业'!$B$70:$M$70</definedName>
    <definedName name="套工用途">'土地比较法-工业'!$B$70:$M$70</definedName>
    <definedName name="套工宗地开发程度" localSheetId="9">'[1]土地比较法-工业'!$B$112:$M$112</definedName>
    <definedName name="套工宗地开发程度" localSheetId="47">'[2]土地比较法-工业'!$B$112:$M$112</definedName>
    <definedName name="套工宗地开发程度">'土地比较法-工业'!$B$112:$M$112</definedName>
    <definedName name="套工宗地形状" localSheetId="9">'[1]土地比较法-工业'!$B$110:$M$110</definedName>
    <definedName name="套工宗地形状" localSheetId="47">'[2]土地比较法-工业'!$B$110:$M$110</definedName>
    <definedName name="套工宗地形状">'土地比较法-工业'!$B$110:$M$110</definedName>
    <definedName name="套综道路等级" localSheetId="9">#REF!</definedName>
    <definedName name="套综道路等级" localSheetId="26">#REF!</definedName>
    <definedName name="套综道路等级" localSheetId="10">#REF!</definedName>
    <definedName name="套综道路等级" localSheetId="40">#REF!</definedName>
    <definedName name="套综道路等级" localSheetId="36">#REF!</definedName>
    <definedName name="套综道路等级" localSheetId="28">#REF!</definedName>
    <definedName name="套综道路等级" localSheetId="47">'土地比较法-住宅、综合'!$B$106:$M$106</definedName>
    <definedName name="套综道路等级">#REF!</definedName>
    <definedName name="套综工程地质条件" localSheetId="9">#REF!</definedName>
    <definedName name="套综工程地质条件" localSheetId="26">#REF!</definedName>
    <definedName name="套综工程地质条件" localSheetId="10">#REF!</definedName>
    <definedName name="套综工程地质条件" localSheetId="40">#REF!</definedName>
    <definedName name="套综工程地质条件" localSheetId="36">#REF!</definedName>
    <definedName name="套综工程地质条件" localSheetId="28">#REF!</definedName>
    <definedName name="套综工程地质条件" localSheetId="47">'土地比较法-住宅、综合'!$B$125:$M$125</definedName>
    <definedName name="套综工程地质条件">#REF!</definedName>
    <definedName name="套综交易情况" localSheetId="9">#REF!</definedName>
    <definedName name="套综交易情况" localSheetId="26">#REF!</definedName>
    <definedName name="套综交易情况" localSheetId="10">#REF!</definedName>
    <definedName name="套综交易情况" localSheetId="40">#REF!</definedName>
    <definedName name="套综交易情况" localSheetId="36">#REF!</definedName>
    <definedName name="套综交易情况" localSheetId="28">#REF!</definedName>
    <definedName name="套综交易情况" localSheetId="47">'土地比较法-住宅、综合'!$A$73:$M$73</definedName>
    <definedName name="套综交易情况">#REF!</definedName>
    <definedName name="套综临街宽度及深度" localSheetId="9">#REF!</definedName>
    <definedName name="套综临街宽度及深度" localSheetId="26">#REF!</definedName>
    <definedName name="套综临街宽度及深度" localSheetId="10">#REF!</definedName>
    <definedName name="套综临街宽度及深度" localSheetId="40">#REF!</definedName>
    <definedName name="套综临街宽度及深度" localSheetId="36">#REF!</definedName>
    <definedName name="套综临街宽度及深度" localSheetId="28">#REF!</definedName>
    <definedName name="套综临街宽度及深度" localSheetId="47">'土地比较法-住宅、综合'!$B$121:$M$121</definedName>
    <definedName name="套综临街宽度及深度">#REF!</definedName>
    <definedName name="套综土地级别" localSheetId="9">#REF!</definedName>
    <definedName name="套综土地级别" localSheetId="26">#REF!</definedName>
    <definedName name="套综土地级别" localSheetId="10">#REF!</definedName>
    <definedName name="套综土地级别" localSheetId="40">#REF!</definedName>
    <definedName name="套综土地级别" localSheetId="36">#REF!</definedName>
    <definedName name="套综土地级别" localSheetId="28">#REF!</definedName>
    <definedName name="套综土地级别" localSheetId="47">'土地比较法-住宅、综合'!$B$108:$M$108</definedName>
    <definedName name="套综土地级别">#REF!</definedName>
    <definedName name="套综用途" localSheetId="9">#REF!</definedName>
    <definedName name="套综用途" localSheetId="26">#REF!</definedName>
    <definedName name="套综用途" localSheetId="10">#REF!</definedName>
    <definedName name="套综用途" localSheetId="40">#REF!</definedName>
    <definedName name="套综用途" localSheetId="36">#REF!</definedName>
    <definedName name="套综用途" localSheetId="28">#REF!</definedName>
    <definedName name="套综用途" localSheetId="47">'土地比较法-住宅、综合'!$B$75:$M$75</definedName>
    <definedName name="套综用途">#REF!</definedName>
    <definedName name="套综宗地内开发程度" localSheetId="9">#REF!</definedName>
    <definedName name="套综宗地内开发程度" localSheetId="26">#REF!</definedName>
    <definedName name="套综宗地内开发程度" localSheetId="10">#REF!</definedName>
    <definedName name="套综宗地内开发程度" localSheetId="40">#REF!</definedName>
    <definedName name="套综宗地内开发程度" localSheetId="36">#REF!</definedName>
    <definedName name="套综宗地内开发程度" localSheetId="28">#REF!</definedName>
    <definedName name="套综宗地内开发程度" localSheetId="47">'土地比较法-住宅、综合'!$B$123:$M$123</definedName>
    <definedName name="套综宗地内开发程度">#REF!</definedName>
    <definedName name="套综宗地形状" localSheetId="9">#REF!</definedName>
    <definedName name="套综宗地形状" localSheetId="26">#REF!</definedName>
    <definedName name="套综宗地形状" localSheetId="10">#REF!</definedName>
    <definedName name="套综宗地形状" localSheetId="40">#REF!</definedName>
    <definedName name="套综宗地形状" localSheetId="36">#REF!</definedName>
    <definedName name="套综宗地形状" localSheetId="28">#REF!</definedName>
    <definedName name="套综宗地形状" localSheetId="47">'土地比较法-住宅、综合'!$B$119:$M$119</definedName>
    <definedName name="套综宗地形状">#REF!</definedName>
    <definedName name="土地估价师">估价师及机构信息!$D$3:$D$24</definedName>
    <definedName name="土地级别" localSheetId="9">[1]定义!$C$1:$C$14</definedName>
    <definedName name="土地级别" localSheetId="47">[2]定义!$C$1:$C$14</definedName>
    <definedName name="土地级别">定义!$C$1:$C$14</definedName>
    <definedName name="土地利用方向">定义!$P$1:$P$6</definedName>
    <definedName name="土地年限区间" localSheetId="9">[1]定义!$I$1:$I$8</definedName>
    <definedName name="土地年限区间" localSheetId="47">[2]定义!$I$1:$I$8</definedName>
    <definedName name="土地年限区间">定义!$I$1:$I$8</definedName>
    <definedName name="位置" localSheetId="9">[1]定义!$E$2:$E$4</definedName>
    <definedName name="位置" localSheetId="47">[2]定义!$E$2:$E$4</definedName>
    <definedName name="位置">定义!$E$2:$E$4</definedName>
    <definedName name="五等判定" localSheetId="9">[1]定义!$W$1:$W$6</definedName>
    <definedName name="五等判定" localSheetId="47">[2]定义!$W$1:$W$6</definedName>
    <definedName name="五等判定">定义!$W$1:$W$6</definedName>
    <definedName name="五级">区片价!$L$1:$L$35</definedName>
    <definedName name="项目类型" localSheetId="9">'[1]数据-汇总表'!$C$17:$C$26</definedName>
    <definedName name="项目类型" localSheetId="47">'[2]数据-汇总表'!$C$17:$C$26</definedName>
    <definedName name="项目类型">'数据-汇总表'!$C$17:$C$26</definedName>
    <definedName name="写字楼等级" localSheetId="9">'[1]比较法-办公'!$B$113:$M$113</definedName>
    <definedName name="写字楼等级" localSheetId="47">'[2]比较法-办公'!$B$113:$M$113</definedName>
    <definedName name="写字楼等级">'比较法-办公'!$B$113:$M$113</definedName>
    <definedName name="一级">区片价!$H$1:$H$6</definedName>
    <definedName name="一修多修正项2" localSheetId="9">[1]典型户型修正!$5:$5</definedName>
    <definedName name="一修多修正项2" localSheetId="35">典型户型修正办!$5:$5</definedName>
    <definedName name="一修多修正项2" localSheetId="47">[2]典型户型修正!$5:$5</definedName>
    <definedName name="一修多修正项2">典型户型修正!$5:$5</definedName>
    <definedName name="一修多修正项3" localSheetId="9">[1]典型户型修正!$7:$7</definedName>
    <definedName name="一修多修正项3" localSheetId="35">典型户型修正办!$7:$7</definedName>
    <definedName name="一修多修正项3" localSheetId="47">[2]典型户型修正!$7:$7</definedName>
    <definedName name="一修多修正项3">典型户型修正!$7:$7</definedName>
    <definedName name="一修多修正项4" localSheetId="9">[1]典型户型修正!$9:$9</definedName>
    <definedName name="一修多修正项4" localSheetId="35">典型户型修正办!$9:$9</definedName>
    <definedName name="一修多修正项4" localSheetId="47">[2]典型户型修正!$9:$9</definedName>
    <definedName name="一修多修正项4">典型户型修正!$9:$9</definedName>
    <definedName name="一修多修正项5" localSheetId="9">[1]典型户型修正!$11:$11</definedName>
    <definedName name="一修多修正项5" localSheetId="35">典型户型修正办!$11:$11</definedName>
    <definedName name="一修多修正项5" localSheetId="47">[2]典型户型修正!$11:$11</definedName>
    <definedName name="一修多修正项5">典型户型修正!$11:$11</definedName>
    <definedName name="一修多修正项6" localSheetId="9">[1]典型户型修正!$13:$13</definedName>
    <definedName name="一修多修正项6" localSheetId="35">典型户型修正办!$13:$13</definedName>
    <definedName name="一修多修正项6" localSheetId="47">[2]典型户型修正!$13:$13</definedName>
    <definedName name="一修多修正项6">典型户型修正!$13:$13</definedName>
    <definedName name="一修多修正项7" localSheetId="9">[1]典型户型修正!$15:$15</definedName>
    <definedName name="一修多修正项7" localSheetId="35">典型户型修正办!$15:$15</definedName>
    <definedName name="一修多修正项7" localSheetId="47">[2]典型户型修正!$15:$15</definedName>
    <definedName name="一修多修正项7">典型户型修正!$15:$15</definedName>
    <definedName name="一修多修正项8" localSheetId="9">[1]典型户型修正!$17:$17</definedName>
    <definedName name="一修多修正项8" localSheetId="35">典型户型修正办!$17:$17</definedName>
    <definedName name="一修多修正项8" localSheetId="47">[2]典型户型修正!$17:$17</definedName>
    <definedName name="一修多修正项8">典型户型修正!$17:$17</definedName>
    <definedName name="用途明细" localSheetId="9">[1]定义!$A$1:$A$50</definedName>
    <definedName name="用途明细" localSheetId="47">[2]定义!$A$1:$A$50</definedName>
    <definedName name="用途明细">定义!$A$1:$A$50</definedName>
    <definedName name="有无电梯" localSheetId="9">'[1]比较法-仓储'!$B$84:$M$84</definedName>
    <definedName name="有无电梯" localSheetId="47">'[2]比较法-仓储'!$B$84:$M$84</definedName>
    <definedName name="有无电梯">'比较法-仓储'!$B$84:$M$84</definedName>
    <definedName name="主用途" localSheetId="9">[1]定义!$F$1:$F$10</definedName>
    <definedName name="主用途" localSheetId="47">[2]定义!$F$1:$F$10</definedName>
    <definedName name="主用途">定义!$F$1:$F$10</definedName>
    <definedName name="住宅朝向" localSheetId="9">'[1]比较法-住宅'!$B$88:$M$88</definedName>
    <definedName name="住宅朝向" localSheetId="47">'[2]比较法-住宅'!$B$88:$M$88</definedName>
    <definedName name="住宅朝向">'比较法-住宅'!$B$88:$M$88</definedName>
    <definedName name="住宅房型" localSheetId="9">'[1]比较法-住宅'!$B$118:$M$118</definedName>
    <definedName name="住宅房型" localSheetId="47">'[2]比较法-住宅'!$B$118:$M$118</definedName>
    <definedName name="住宅房型">'比较法-住宅'!$B$118:$M$118</definedName>
    <definedName name="住宅公共部分装修" localSheetId="9">'[1]比较法-住宅'!$B$109:$M$109</definedName>
    <definedName name="住宅公共部分装修" localSheetId="47">'[2]比较法-住宅'!$B$109:$M$109</definedName>
    <definedName name="住宅公共部分装修">'比较法-住宅'!$B$109:$M$109</definedName>
    <definedName name="住宅基础设施水平" localSheetId="9">'[1]比较法-住宅'!$B$116:$M$116</definedName>
    <definedName name="住宅基础设施水平" localSheetId="47">'[2]比较法-住宅'!$B$116:$M$116</definedName>
    <definedName name="住宅基础设施水平">'比较法-住宅'!$B$116:$M$116</definedName>
    <definedName name="住宅建筑结构" localSheetId="9">'[1]比较法-住宅'!$B$105:$M$105</definedName>
    <definedName name="住宅建筑结构" localSheetId="47">'[2]比较法-住宅'!$B$105:$M$105</definedName>
    <definedName name="住宅建筑结构">'比较法-住宅'!$B$105:$M$105</definedName>
    <definedName name="住宅建筑类型" localSheetId="9">'[1]比较法-住宅'!$B$100:$M$100</definedName>
    <definedName name="住宅建筑类型" localSheetId="47">'[2]比较法-住宅'!$B$100:$M$100</definedName>
    <definedName name="住宅建筑类型">'比较法-住宅'!$B$100:$M$100</definedName>
    <definedName name="住宅建筑品质" localSheetId="9">'[1]比较法-住宅'!$B$107:$M$107</definedName>
    <definedName name="住宅建筑品质" localSheetId="47">'[2]比较法-住宅'!$B$107:$M$107</definedName>
    <definedName name="住宅建筑品质">'比较法-住宅'!$B$107:$M$107</definedName>
    <definedName name="住宅交易情况" localSheetId="9">'[1]比较法-住宅'!$A$61:$M$61</definedName>
    <definedName name="住宅交易情况" localSheetId="47">'[2]比较法-住宅'!$A$61:$M$61</definedName>
    <definedName name="住宅交易情况">'比较法-住宅'!$A$61:$M$61</definedName>
    <definedName name="住宅楼层" localSheetId="9">'[1]比较法-住宅'!$B$86:$M$86</definedName>
    <definedName name="住宅楼层" localSheetId="47">'[2]比较法-住宅'!$B$86:$M$86</definedName>
    <definedName name="住宅楼层">'比较法-住宅'!$B$86:$M$86</definedName>
    <definedName name="住宅内部装修" localSheetId="9">'[1]比较法-住宅'!$B$122:$M$122</definedName>
    <definedName name="住宅内部装修" localSheetId="47">'[2]比较法-住宅'!$B$122:$M$122</definedName>
    <definedName name="住宅内部装修">'比较法-住宅'!$B$122:$M$122</definedName>
    <definedName name="住宅物业管理" localSheetId="9">'[1]比较法-住宅'!$B$114:$M$114</definedName>
    <definedName name="住宅物业管理" localSheetId="47">'[2]比较法-住宅'!$B$114:$M$114</definedName>
    <definedName name="住宅物业管理">'比较法-住宅'!$B$114:$M$114</definedName>
    <definedName name="住宅用途" localSheetId="9">'[1]比较法-住宅'!$B$63:$M$63</definedName>
    <definedName name="住宅用途" localSheetId="47">'[2]比较法-住宅'!$B$63:$M$63</definedName>
    <definedName name="住宅用途">'比较法-住宅'!$B$63:$M$63</definedName>
    <definedName name="住宅主力户型面积">'比较法-住宅'!$B$120:$M$120</definedName>
    <definedName name="注册房地产估价师" localSheetId="9">[1]估价师及机构信息!$A$3:$A$24</definedName>
    <definedName name="注册房地产估价师" localSheetId="47">[2]估价师及机构信息!$A$3:$A$24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 i="1" l="1"/>
  <c r="I3" i="66" l="1"/>
  <c r="I4" i="66"/>
  <c r="I5" i="66"/>
  <c r="I6" i="66"/>
  <c r="I7" i="66"/>
  <c r="I8" i="66"/>
  <c r="I9" i="66"/>
  <c r="I10" i="66"/>
  <c r="C28" i="66"/>
  <c r="D12" i="66"/>
  <c r="I12" i="66"/>
  <c r="I13" i="66"/>
  <c r="I14" i="66"/>
  <c r="I15" i="66"/>
  <c r="F17" i="66"/>
  <c r="I17" i="66"/>
  <c r="I18" i="66"/>
  <c r="I19" i="66"/>
  <c r="I20" i="66"/>
  <c r="C29" i="66"/>
  <c r="C27" i="66"/>
  <c r="C32" i="66"/>
  <c r="C31" i="66"/>
  <c r="C30" i="66"/>
  <c r="D64" i="35"/>
  <c r="E64" i="35"/>
  <c r="F14" i="35"/>
  <c r="AA14" i="35"/>
  <c r="D66" i="35"/>
  <c r="E66" i="35"/>
  <c r="F16" i="35"/>
  <c r="AA16" i="35"/>
  <c r="D70" i="35"/>
  <c r="E70" i="35"/>
  <c r="F20" i="35"/>
  <c r="AA20" i="35"/>
  <c r="D87" i="35"/>
  <c r="E87" i="35"/>
  <c r="F87" i="35"/>
  <c r="G87" i="35"/>
  <c r="N8" i="1"/>
  <c r="N9" i="1" s="1"/>
  <c r="N10" i="1" s="1"/>
  <c r="R37" i="35"/>
  <c r="D3" i="4"/>
  <c r="B2" i="1" s="1"/>
  <c r="D49" i="35"/>
  <c r="E49" i="35"/>
  <c r="F49" i="35"/>
  <c r="F8" i="35"/>
  <c r="AA8" i="35"/>
  <c r="C53" i="35"/>
  <c r="F9" i="35"/>
  <c r="AA9" i="35"/>
  <c r="F56" i="35"/>
  <c r="F10" i="35"/>
  <c r="AA10" i="35"/>
  <c r="B57" i="35"/>
  <c r="F11" i="35"/>
  <c r="AA11" i="35"/>
  <c r="B59" i="35"/>
  <c r="F12" i="35"/>
  <c r="AA12" i="35"/>
  <c r="B61" i="35"/>
  <c r="F13" i="35"/>
  <c r="AA13" i="35"/>
  <c r="F18" i="35"/>
  <c r="AA18" i="35"/>
  <c r="F22" i="35"/>
  <c r="AA22" i="35"/>
  <c r="B73" i="35"/>
  <c r="F23" i="35"/>
  <c r="AA23" i="35"/>
  <c r="B75" i="35"/>
  <c r="F24" i="35"/>
  <c r="AA24" i="35"/>
  <c r="B77" i="35"/>
  <c r="F25" i="35"/>
  <c r="AA25" i="35"/>
  <c r="C26" i="35"/>
  <c r="C79" i="35"/>
  <c r="F26" i="35"/>
  <c r="AA26" i="35"/>
  <c r="F27" i="35"/>
  <c r="AA27" i="35"/>
  <c r="F28" i="35"/>
  <c r="AA28" i="35"/>
  <c r="F30" i="35"/>
  <c r="AA30" i="35"/>
  <c r="F31" i="35"/>
  <c r="AA31" i="35"/>
  <c r="F32" i="35"/>
  <c r="AA32" i="35"/>
  <c r="F33" i="35"/>
  <c r="AA33" i="35"/>
  <c r="B97" i="35"/>
  <c r="F34" i="35"/>
  <c r="AA34" i="35"/>
  <c r="B99" i="35"/>
  <c r="F35" i="35"/>
  <c r="AA35" i="35"/>
  <c r="B101" i="35"/>
  <c r="F36" i="35"/>
  <c r="AA36" i="35"/>
  <c r="H14" i="35"/>
  <c r="AB14" i="35"/>
  <c r="H16" i="35"/>
  <c r="AB16" i="35"/>
  <c r="H20" i="35"/>
  <c r="AB20" i="35"/>
  <c r="T37" i="35"/>
  <c r="H8" i="35"/>
  <c r="AB8" i="35"/>
  <c r="H9" i="35"/>
  <c r="AB9" i="35"/>
  <c r="H10" i="35"/>
  <c r="AB10" i="35"/>
  <c r="H11" i="35"/>
  <c r="AB11" i="35"/>
  <c r="H12" i="35"/>
  <c r="AB12" i="35"/>
  <c r="H13" i="35"/>
  <c r="AB13" i="35"/>
  <c r="H18" i="35"/>
  <c r="AB18" i="35"/>
  <c r="H22" i="35"/>
  <c r="AB22" i="35"/>
  <c r="H23" i="35"/>
  <c r="AB23" i="35"/>
  <c r="H24" i="35"/>
  <c r="AB24" i="35"/>
  <c r="H25" i="35"/>
  <c r="AB25" i="35"/>
  <c r="H26" i="35"/>
  <c r="AB26" i="35"/>
  <c r="H27" i="35"/>
  <c r="AB27" i="35"/>
  <c r="H28" i="35"/>
  <c r="AB28" i="35"/>
  <c r="H30" i="35"/>
  <c r="AB30" i="35"/>
  <c r="H31" i="35"/>
  <c r="AB31" i="35"/>
  <c r="H32" i="35"/>
  <c r="AB32" i="35"/>
  <c r="H33" i="35"/>
  <c r="AB33" i="35"/>
  <c r="H34" i="35"/>
  <c r="AB34" i="35"/>
  <c r="H35" i="35"/>
  <c r="AB35" i="35"/>
  <c r="H36" i="35"/>
  <c r="AB36" i="35"/>
  <c r="J14" i="35"/>
  <c r="AC14" i="35"/>
  <c r="J16" i="35"/>
  <c r="AC16" i="35"/>
  <c r="J20" i="35"/>
  <c r="AC20" i="35"/>
  <c r="V37" i="35"/>
  <c r="J8" i="35"/>
  <c r="AC8" i="35"/>
  <c r="J9" i="35"/>
  <c r="AC9" i="35"/>
  <c r="J10" i="35"/>
  <c r="AC10" i="35"/>
  <c r="J11" i="35"/>
  <c r="AC11" i="35"/>
  <c r="J12" i="35"/>
  <c r="AC12" i="35"/>
  <c r="J13" i="35"/>
  <c r="AC13" i="35"/>
  <c r="J18" i="35"/>
  <c r="AC18"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B160" i="83"/>
  <c r="B159" i="83"/>
  <c r="M15" i="3"/>
  <c r="G23" i="6"/>
  <c r="E23" i="6"/>
  <c r="D3" i="35"/>
  <c r="A6" i="1"/>
  <c r="A7" i="1"/>
  <c r="A8" i="1"/>
  <c r="A9" i="1"/>
  <c r="A10" i="1"/>
  <c r="A11" i="1"/>
  <c r="A12" i="1"/>
  <c r="A13" i="1"/>
  <c r="G1" i="87"/>
  <c r="K10" i="1"/>
  <c r="C1" i="73"/>
  <c r="L1" i="73"/>
  <c r="B43" i="1"/>
  <c r="B41" i="1"/>
  <c r="F32" i="87"/>
  <c r="F33" i="87"/>
  <c r="BB13" i="3"/>
  <c r="BC13" i="3"/>
  <c r="BD13" i="3"/>
  <c r="BE13" i="3"/>
  <c r="BF13" i="3"/>
  <c r="BG13" i="3"/>
  <c r="BH13" i="3"/>
  <c r="BI13" i="3"/>
  <c r="BJ13" i="3"/>
  <c r="BK13" i="3"/>
  <c r="BA13" i="3"/>
  <c r="BM13" i="3"/>
  <c r="BN13" i="3"/>
  <c r="BO13" i="3"/>
  <c r="BP13" i="3"/>
  <c r="BQ13" i="3"/>
  <c r="BR13" i="3"/>
  <c r="BS13" i="3"/>
  <c r="BT13" i="3"/>
  <c r="BL13" i="3"/>
  <c r="AZ13" i="3"/>
  <c r="BB14" i="3"/>
  <c r="B157" i="8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S5" i="3" s="1"/>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56" i="94"/>
  <c r="D157" i="94"/>
  <c r="D158" i="94"/>
  <c r="I13" i="3"/>
  <c r="H13" i="3"/>
  <c r="AC13" i="3"/>
  <c r="G13" i="3"/>
  <c r="H14" i="3"/>
  <c r="AC14" i="3"/>
  <c r="G14" i="3"/>
  <c r="H15" i="3"/>
  <c r="AC15" i="3"/>
  <c r="G15" i="3"/>
  <c r="H16" i="3"/>
  <c r="AC16" i="3"/>
  <c r="G16" i="3"/>
  <c r="H17" i="3"/>
  <c r="AL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Q5" i="3"/>
  <c r="F28" i="6" s="1"/>
  <c r="BR5" i="3"/>
  <c r="BT5" i="3"/>
  <c r="G28" i="6" s="1"/>
  <c r="E28" i="6"/>
  <c r="E19" i="6"/>
  <c r="E20" i="6"/>
  <c r="E21" i="6"/>
  <c r="F22" i="6"/>
  <c r="E22" i="6"/>
  <c r="F24" i="6"/>
  <c r="E24" i="6"/>
  <c r="E25" i="6"/>
  <c r="E26" i="6"/>
  <c r="L23" i="6"/>
  <c r="B52" i="1"/>
  <c r="F34" i="87"/>
  <c r="L8" i="1"/>
  <c r="L10" i="1"/>
  <c r="F15" i="87"/>
  <c r="F17" i="87"/>
  <c r="F18" i="87"/>
  <c r="F20" i="87"/>
  <c r="J1" i="73"/>
  <c r="B22" i="1"/>
  <c r="E1" i="73"/>
  <c r="K1" i="73"/>
  <c r="F23" i="87"/>
  <c r="F21" i="87"/>
  <c r="F28" i="87"/>
  <c r="Y8" i="1"/>
  <c r="Y9" i="1" s="1"/>
  <c r="Y10" i="1" s="1"/>
  <c r="Y11" i="1" s="1"/>
  <c r="AL10" i="1"/>
  <c r="G15" i="4"/>
  <c r="F10" i="1"/>
  <c r="M47" i="87"/>
  <c r="J50" i="87"/>
  <c r="C17" i="88"/>
  <c r="D17" i="88"/>
  <c r="C18" i="88"/>
  <c r="D18" i="88"/>
  <c r="R48" i="34"/>
  <c r="F8" i="34"/>
  <c r="AA8" i="34"/>
  <c r="C64" i="34"/>
  <c r="F9" i="34"/>
  <c r="AA9" i="34"/>
  <c r="F67" i="34"/>
  <c r="G67" i="34"/>
  <c r="F10" i="34"/>
  <c r="AA10" i="34"/>
  <c r="F11" i="34"/>
  <c r="AA11" i="34"/>
  <c r="B71" i="34"/>
  <c r="F12" i="34"/>
  <c r="AA12" i="34"/>
  <c r="B73" i="34"/>
  <c r="F13" i="34"/>
  <c r="AA13" i="34"/>
  <c r="B75" i="34"/>
  <c r="F14" i="34"/>
  <c r="AA14" i="34"/>
  <c r="D78" i="34"/>
  <c r="F15" i="34"/>
  <c r="AA15" i="34"/>
  <c r="K17" i="34"/>
  <c r="D80" i="34"/>
  <c r="F17" i="34"/>
  <c r="AA17" i="34"/>
  <c r="D82" i="34"/>
  <c r="F19" i="34"/>
  <c r="AA19" i="34"/>
  <c r="F21" i="34"/>
  <c r="AA21" i="34"/>
  <c r="D86" i="34"/>
  <c r="F23" i="34"/>
  <c r="AA23" i="34"/>
  <c r="D88" i="34"/>
  <c r="E88" i="34"/>
  <c r="F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C34" i="34"/>
  <c r="F34" i="34"/>
  <c r="AA34" i="34"/>
  <c r="F35" i="34"/>
  <c r="AA35" i="34"/>
  <c r="F36" i="34"/>
  <c r="AA36" i="34"/>
  <c r="E37" i="34"/>
  <c r="D112" i="34"/>
  <c r="E112" i="34"/>
  <c r="F112" i="34"/>
  <c r="F37" i="34"/>
  <c r="AA37" i="34"/>
  <c r="F38" i="34"/>
  <c r="AA38" i="34"/>
  <c r="F39" i="34"/>
  <c r="AA39" i="34"/>
  <c r="F40" i="34"/>
  <c r="AA40" i="34"/>
  <c r="F41" i="34"/>
  <c r="AA41" i="34"/>
  <c r="F42" i="34"/>
  <c r="AA42" i="34"/>
  <c r="F43" i="34"/>
  <c r="AA43" i="34"/>
  <c r="D126" i="34"/>
  <c r="F44" i="34"/>
  <c r="AA44" i="34"/>
  <c r="B127" i="34"/>
  <c r="F45" i="34"/>
  <c r="AA45" i="34"/>
  <c r="B129" i="34"/>
  <c r="F46" i="34"/>
  <c r="AA46" i="34"/>
  <c r="B131" i="34"/>
  <c r="F47" i="34"/>
  <c r="AA47"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G112" i="34"/>
  <c r="H37" i="34"/>
  <c r="AB37" i="34"/>
  <c r="H38" i="34"/>
  <c r="AB38" i="34"/>
  <c r="H39" i="34"/>
  <c r="AB39" i="34"/>
  <c r="H40" i="34"/>
  <c r="AB40"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B24" i="82"/>
  <c r="B25" i="82"/>
  <c r="D4" i="82"/>
  <c r="C25" i="82"/>
  <c r="B5" i="82"/>
  <c r="C5" i="82"/>
  <c r="D5" i="82"/>
  <c r="E5" i="82"/>
  <c r="F5" i="82"/>
  <c r="D6" i="82"/>
  <c r="E6" i="82"/>
  <c r="F6" i="82"/>
  <c r="G6" i="82"/>
  <c r="H6" i="82"/>
  <c r="I6" i="82"/>
  <c r="J6" i="82"/>
  <c r="K6" i="82"/>
  <c r="L6" i="82"/>
  <c r="M6" i="82"/>
  <c r="N6" i="82"/>
  <c r="O6" i="82"/>
  <c r="P6" i="82"/>
  <c r="Q6" i="82"/>
  <c r="R6" i="82"/>
  <c r="S6" i="82"/>
  <c r="E25" i="82"/>
  <c r="G25" i="82"/>
  <c r="I25" i="82"/>
  <c r="K25" i="82"/>
  <c r="M25" i="82"/>
  <c r="O25" i="82"/>
  <c r="E18" i="82"/>
  <c r="Q25" i="82"/>
  <c r="B26" i="82"/>
  <c r="C26" i="82"/>
  <c r="E26" i="82"/>
  <c r="G26" i="82"/>
  <c r="I26" i="82"/>
  <c r="K26" i="82"/>
  <c r="M26" i="82"/>
  <c r="O26" i="82"/>
  <c r="Q26" i="82"/>
  <c r="B27" i="82"/>
  <c r="C27" i="82"/>
  <c r="E27" i="82"/>
  <c r="G27" i="82"/>
  <c r="I27" i="82"/>
  <c r="K27" i="82"/>
  <c r="M27" i="82"/>
  <c r="O27" i="82"/>
  <c r="Q27" i="82"/>
  <c r="B28" i="82"/>
  <c r="C28" i="82"/>
  <c r="E28" i="82"/>
  <c r="G28" i="82"/>
  <c r="I28" i="82"/>
  <c r="K28" i="82"/>
  <c r="M28" i="82"/>
  <c r="O28" i="82"/>
  <c r="Q28" i="82"/>
  <c r="B29" i="82"/>
  <c r="C29" i="82"/>
  <c r="E29" i="82"/>
  <c r="G29" i="82"/>
  <c r="I29" i="82"/>
  <c r="K29" i="82"/>
  <c r="M29" i="82"/>
  <c r="O29" i="82"/>
  <c r="Q29" i="82"/>
  <c r="B30" i="82"/>
  <c r="C30" i="82"/>
  <c r="E30" i="82"/>
  <c r="G30" i="82"/>
  <c r="I30" i="82"/>
  <c r="K30" i="82"/>
  <c r="M30" i="82"/>
  <c r="O30" i="82"/>
  <c r="Q30" i="82"/>
  <c r="B31" i="82"/>
  <c r="C31" i="82"/>
  <c r="E31" i="82"/>
  <c r="G31" i="82"/>
  <c r="I31" i="82"/>
  <c r="K31" i="82"/>
  <c r="M31" i="82"/>
  <c r="O31" i="82"/>
  <c r="Q31" i="82"/>
  <c r="B32" i="82"/>
  <c r="C32" i="82"/>
  <c r="E32" i="82"/>
  <c r="G32" i="82"/>
  <c r="I32" i="82"/>
  <c r="K32" i="82"/>
  <c r="M32" i="82"/>
  <c r="O32" i="82"/>
  <c r="Q32" i="82"/>
  <c r="B33" i="82"/>
  <c r="C33" i="82"/>
  <c r="E33" i="82"/>
  <c r="G33" i="82"/>
  <c r="I33" i="82"/>
  <c r="K33" i="82"/>
  <c r="M33" i="82"/>
  <c r="O33" i="82"/>
  <c r="D18" i="82"/>
  <c r="Q33" i="82"/>
  <c r="B34" i="82"/>
  <c r="C34" i="82"/>
  <c r="E34" i="82"/>
  <c r="G34" i="82"/>
  <c r="I34" i="82"/>
  <c r="K34" i="82"/>
  <c r="M34" i="82"/>
  <c r="O34" i="82"/>
  <c r="Q34" i="82"/>
  <c r="B35" i="82"/>
  <c r="C35" i="82"/>
  <c r="E35" i="82"/>
  <c r="G35" i="82"/>
  <c r="I35" i="82"/>
  <c r="K35" i="82"/>
  <c r="M35" i="82"/>
  <c r="O35" i="82"/>
  <c r="Q35" i="82"/>
  <c r="B36" i="82"/>
  <c r="C36" i="82"/>
  <c r="E36" i="82"/>
  <c r="G36" i="82"/>
  <c r="I36" i="82"/>
  <c r="K36" i="82"/>
  <c r="M36" i="82"/>
  <c r="O36" i="82"/>
  <c r="Q36" i="82"/>
  <c r="B37" i="82"/>
  <c r="C37" i="82"/>
  <c r="E37" i="82"/>
  <c r="G37" i="82"/>
  <c r="I37" i="82"/>
  <c r="K37" i="82"/>
  <c r="M37" i="82"/>
  <c r="O37" i="82"/>
  <c r="Q37" i="82"/>
  <c r="B38" i="82"/>
  <c r="C38" i="82"/>
  <c r="E38" i="82"/>
  <c r="G38" i="82"/>
  <c r="I38" i="82"/>
  <c r="K38" i="82"/>
  <c r="M38" i="82"/>
  <c r="O38" i="82"/>
  <c r="Q38" i="82"/>
  <c r="B39" i="82"/>
  <c r="C39" i="82"/>
  <c r="E39" i="82"/>
  <c r="G39" i="82"/>
  <c r="I39" i="82"/>
  <c r="K39" i="82"/>
  <c r="M39" i="82"/>
  <c r="O39" i="82"/>
  <c r="Q39" i="82"/>
  <c r="B40" i="82"/>
  <c r="C40" i="82"/>
  <c r="E40" i="82"/>
  <c r="G40" i="82"/>
  <c r="I40" i="82"/>
  <c r="K40" i="82"/>
  <c r="M40" i="82"/>
  <c r="O40" i="82"/>
  <c r="Q40" i="82"/>
  <c r="B41" i="82"/>
  <c r="C41" i="82"/>
  <c r="E41" i="82"/>
  <c r="G41" i="82"/>
  <c r="I41" i="82"/>
  <c r="K41" i="82"/>
  <c r="M41" i="82"/>
  <c r="O41" i="82"/>
  <c r="Q41" i="82"/>
  <c r="B42" i="82"/>
  <c r="C42" i="82"/>
  <c r="E42" i="82"/>
  <c r="G42" i="82"/>
  <c r="I42" i="82"/>
  <c r="K42" i="82"/>
  <c r="M42" i="82"/>
  <c r="O42" i="82"/>
  <c r="Q42" i="82"/>
  <c r="B43" i="82"/>
  <c r="C43" i="82"/>
  <c r="E43" i="82"/>
  <c r="G43" i="82"/>
  <c r="I43" i="82"/>
  <c r="K43" i="82"/>
  <c r="M43" i="82"/>
  <c r="O43" i="82"/>
  <c r="Q43" i="82"/>
  <c r="B44" i="82"/>
  <c r="C44" i="82"/>
  <c r="E44" i="82"/>
  <c r="G44" i="82"/>
  <c r="I44" i="82"/>
  <c r="K44" i="82"/>
  <c r="M44" i="82"/>
  <c r="O44" i="82"/>
  <c r="Q44" i="82"/>
  <c r="B45" i="82"/>
  <c r="C45" i="82"/>
  <c r="E45" i="82"/>
  <c r="G45" i="82"/>
  <c r="I45" i="82"/>
  <c r="K45" i="82"/>
  <c r="M45" i="82"/>
  <c r="O45" i="82"/>
  <c r="Q45" i="82"/>
  <c r="B46" i="82"/>
  <c r="C46" i="82"/>
  <c r="E46" i="82"/>
  <c r="G46" i="82"/>
  <c r="I46" i="82"/>
  <c r="K46" i="82"/>
  <c r="M46" i="82"/>
  <c r="O46" i="82"/>
  <c r="Q46" i="82"/>
  <c r="B47" i="82"/>
  <c r="C47" i="82"/>
  <c r="E47" i="82"/>
  <c r="G47" i="82"/>
  <c r="I47" i="82"/>
  <c r="K47" i="82"/>
  <c r="M47" i="82"/>
  <c r="O47" i="82"/>
  <c r="Q47" i="82"/>
  <c r="B48" i="82"/>
  <c r="C48" i="82"/>
  <c r="E48" i="82"/>
  <c r="G48" i="82"/>
  <c r="I48" i="82"/>
  <c r="K48" i="82"/>
  <c r="M48" i="82"/>
  <c r="O48" i="82"/>
  <c r="Q48" i="82"/>
  <c r="B49" i="82"/>
  <c r="C49" i="82"/>
  <c r="E49" i="82"/>
  <c r="G49" i="82"/>
  <c r="I49" i="82"/>
  <c r="K49" i="82"/>
  <c r="M49" i="82"/>
  <c r="O49" i="82"/>
  <c r="Q49" i="82"/>
  <c r="B50" i="82"/>
  <c r="C50" i="82"/>
  <c r="E50" i="82"/>
  <c r="G50" i="82"/>
  <c r="I50" i="82"/>
  <c r="K50" i="82"/>
  <c r="M50" i="82"/>
  <c r="O50" i="82"/>
  <c r="Q50" i="82"/>
  <c r="B51" i="82"/>
  <c r="C51" i="82"/>
  <c r="E51" i="82"/>
  <c r="G51" i="82"/>
  <c r="I51" i="82"/>
  <c r="K51" i="82"/>
  <c r="M51" i="82"/>
  <c r="O51" i="82"/>
  <c r="Q51" i="82"/>
  <c r="B52" i="82"/>
  <c r="C52" i="82"/>
  <c r="E52" i="82"/>
  <c r="G52" i="82"/>
  <c r="I52" i="82"/>
  <c r="K52" i="82"/>
  <c r="M52" i="82"/>
  <c r="O52" i="82"/>
  <c r="Q52" i="82"/>
  <c r="B53" i="82"/>
  <c r="C53" i="82"/>
  <c r="E53" i="82"/>
  <c r="G53" i="82"/>
  <c r="I53" i="82"/>
  <c r="K53" i="82"/>
  <c r="M53" i="82"/>
  <c r="O53" i="82"/>
  <c r="Q53" i="82"/>
  <c r="B54" i="82"/>
  <c r="C54" i="82"/>
  <c r="E54" i="82"/>
  <c r="G54" i="82"/>
  <c r="I54" i="82"/>
  <c r="K54" i="82"/>
  <c r="M54" i="82"/>
  <c r="O54" i="82"/>
  <c r="Q54" i="82"/>
  <c r="B55" i="82"/>
  <c r="C55" i="82"/>
  <c r="E55" i="82"/>
  <c r="G55" i="82"/>
  <c r="I55" i="82"/>
  <c r="K55" i="82"/>
  <c r="M55" i="82"/>
  <c r="O55" i="82"/>
  <c r="Q55" i="82"/>
  <c r="B56" i="82"/>
  <c r="C56" i="82"/>
  <c r="E56" i="82"/>
  <c r="G56" i="82"/>
  <c r="I56" i="82"/>
  <c r="K56" i="82"/>
  <c r="M56" i="82"/>
  <c r="O56" i="82"/>
  <c r="Q56" i="82"/>
  <c r="B57" i="82"/>
  <c r="C57" i="82"/>
  <c r="E57" i="82"/>
  <c r="G57" i="82"/>
  <c r="I57" i="82"/>
  <c r="K57" i="82"/>
  <c r="M57" i="82"/>
  <c r="O57" i="82"/>
  <c r="Q57" i="82"/>
  <c r="B58" i="82"/>
  <c r="C58" i="82"/>
  <c r="E58" i="82"/>
  <c r="G58" i="82"/>
  <c r="I58" i="82"/>
  <c r="K58" i="82"/>
  <c r="M58" i="82"/>
  <c r="O58" i="82"/>
  <c r="Q58" i="82"/>
  <c r="B59" i="82"/>
  <c r="C59" i="82"/>
  <c r="E59" i="82"/>
  <c r="G59" i="82"/>
  <c r="I59" i="82"/>
  <c r="K59" i="82"/>
  <c r="M59" i="82"/>
  <c r="O59" i="82"/>
  <c r="Q59" i="82"/>
  <c r="B60" i="82"/>
  <c r="C60" i="82"/>
  <c r="E60" i="82"/>
  <c r="G60" i="82"/>
  <c r="I60" i="82"/>
  <c r="K60" i="82"/>
  <c r="M60" i="82"/>
  <c r="O60" i="82"/>
  <c r="Q60" i="82"/>
  <c r="B61" i="82"/>
  <c r="C61" i="82"/>
  <c r="E61" i="82"/>
  <c r="G61" i="82"/>
  <c r="I61" i="82"/>
  <c r="K61" i="82"/>
  <c r="M61" i="82"/>
  <c r="O61" i="82"/>
  <c r="Q61" i="82"/>
  <c r="B62" i="82"/>
  <c r="C62" i="82"/>
  <c r="E62" i="82"/>
  <c r="G62" i="82"/>
  <c r="I62" i="82"/>
  <c r="K62" i="82"/>
  <c r="M62" i="82"/>
  <c r="O62" i="82"/>
  <c r="Q62" i="82"/>
  <c r="B63" i="82"/>
  <c r="C63" i="82"/>
  <c r="E63" i="82"/>
  <c r="G63" i="82"/>
  <c r="I63" i="82"/>
  <c r="K63" i="82"/>
  <c r="M63" i="82"/>
  <c r="O63" i="82"/>
  <c r="Q63" i="82"/>
  <c r="B64" i="82"/>
  <c r="C64" i="82"/>
  <c r="E64" i="82"/>
  <c r="G64" i="82"/>
  <c r="I64" i="82"/>
  <c r="K64" i="82"/>
  <c r="M64" i="82"/>
  <c r="O64" i="82"/>
  <c r="Q64" i="82"/>
  <c r="B65" i="82"/>
  <c r="C65" i="82"/>
  <c r="E65" i="82"/>
  <c r="G65" i="82"/>
  <c r="I65" i="82"/>
  <c r="K65" i="82"/>
  <c r="M65" i="82"/>
  <c r="O65" i="82"/>
  <c r="Q65" i="82"/>
  <c r="B66" i="82"/>
  <c r="C66" i="82"/>
  <c r="E66" i="82"/>
  <c r="G66" i="82"/>
  <c r="I66" i="82"/>
  <c r="K66" i="82"/>
  <c r="M66" i="82"/>
  <c r="O66" i="82"/>
  <c r="Q66" i="82"/>
  <c r="B67" i="82"/>
  <c r="C67" i="82"/>
  <c r="E67" i="82"/>
  <c r="G67" i="82"/>
  <c r="I67" i="82"/>
  <c r="K67" i="82"/>
  <c r="M67" i="82"/>
  <c r="O67" i="82"/>
  <c r="Q67" i="82"/>
  <c r="B68" i="82"/>
  <c r="C68" i="82"/>
  <c r="E68" i="82"/>
  <c r="G68" i="82"/>
  <c r="I68" i="82"/>
  <c r="K68" i="82"/>
  <c r="M68" i="82"/>
  <c r="O68" i="82"/>
  <c r="Q68" i="82"/>
  <c r="B69" i="82"/>
  <c r="C69" i="82"/>
  <c r="E69" i="82"/>
  <c r="G69" i="82"/>
  <c r="I69" i="82"/>
  <c r="K69" i="82"/>
  <c r="M69" i="82"/>
  <c r="O69" i="82"/>
  <c r="C18" i="82"/>
  <c r="Q69" i="82"/>
  <c r="B70" i="82"/>
  <c r="C70" i="82"/>
  <c r="E70" i="82"/>
  <c r="G70" i="82"/>
  <c r="I70" i="82"/>
  <c r="K70" i="82"/>
  <c r="M70" i="82"/>
  <c r="O70" i="82"/>
  <c r="Q70" i="82"/>
  <c r="B71" i="82"/>
  <c r="C71" i="82"/>
  <c r="E71" i="82"/>
  <c r="G71" i="82"/>
  <c r="I71" i="82"/>
  <c r="K71" i="82"/>
  <c r="M71" i="82"/>
  <c r="O71" i="82"/>
  <c r="Q71" i="82"/>
  <c r="B72" i="82"/>
  <c r="C72" i="82"/>
  <c r="E72" i="82"/>
  <c r="G72" i="82"/>
  <c r="I72" i="82"/>
  <c r="K72" i="82"/>
  <c r="M72" i="82"/>
  <c r="O72" i="82"/>
  <c r="Q72" i="82"/>
  <c r="B73" i="82"/>
  <c r="C73" i="82"/>
  <c r="E73" i="82"/>
  <c r="G73" i="82"/>
  <c r="I73" i="82"/>
  <c r="K73" i="82"/>
  <c r="M73" i="82"/>
  <c r="O73" i="82"/>
  <c r="Q73" i="82"/>
  <c r="B74" i="82"/>
  <c r="C74" i="82"/>
  <c r="E74" i="82"/>
  <c r="G74" i="82"/>
  <c r="I74" i="82"/>
  <c r="K74" i="82"/>
  <c r="M74" i="82"/>
  <c r="O74" i="82"/>
  <c r="Q74" i="82"/>
  <c r="B75" i="82"/>
  <c r="C75" i="82"/>
  <c r="E75" i="82"/>
  <c r="G75" i="82"/>
  <c r="I75" i="82"/>
  <c r="K75" i="82"/>
  <c r="M75" i="82"/>
  <c r="O75" i="82"/>
  <c r="Q75" i="82"/>
  <c r="B76" i="82"/>
  <c r="C76" i="82"/>
  <c r="E76" i="82"/>
  <c r="G76" i="82"/>
  <c r="I76" i="82"/>
  <c r="K76" i="82"/>
  <c r="M76" i="82"/>
  <c r="O76" i="82"/>
  <c r="Q76" i="82"/>
  <c r="B77" i="82"/>
  <c r="C77" i="82"/>
  <c r="E77" i="82"/>
  <c r="G77" i="82"/>
  <c r="I77" i="82"/>
  <c r="K77" i="82"/>
  <c r="M77" i="82"/>
  <c r="O77" i="82"/>
  <c r="Q77" i="82"/>
  <c r="B78" i="82"/>
  <c r="C78" i="82"/>
  <c r="E78" i="82"/>
  <c r="G78" i="82"/>
  <c r="I78" i="82"/>
  <c r="K78" i="82"/>
  <c r="M78" i="82"/>
  <c r="O78" i="82"/>
  <c r="Q78" i="82"/>
  <c r="B79" i="82"/>
  <c r="C79" i="82"/>
  <c r="E79" i="82"/>
  <c r="G79" i="82"/>
  <c r="I79" i="82"/>
  <c r="K79" i="82"/>
  <c r="M79" i="82"/>
  <c r="O79" i="82"/>
  <c r="Q79" i="82"/>
  <c r="B80" i="82"/>
  <c r="C80" i="82"/>
  <c r="E80" i="82"/>
  <c r="G80" i="82"/>
  <c r="I80" i="82"/>
  <c r="K80" i="82"/>
  <c r="M80" i="82"/>
  <c r="O80" i="82"/>
  <c r="Q80" i="82"/>
  <c r="B81" i="82"/>
  <c r="C81" i="82"/>
  <c r="E81" i="82"/>
  <c r="G81" i="82"/>
  <c r="I81" i="82"/>
  <c r="K81" i="82"/>
  <c r="M81" i="82"/>
  <c r="O81" i="82"/>
  <c r="Q81" i="82"/>
  <c r="B82" i="82"/>
  <c r="C82" i="82"/>
  <c r="E82" i="82"/>
  <c r="G82" i="82"/>
  <c r="I82" i="82"/>
  <c r="K82" i="82"/>
  <c r="M82" i="82"/>
  <c r="O82" i="82"/>
  <c r="Q82" i="82"/>
  <c r="B83" i="82"/>
  <c r="C83" i="82"/>
  <c r="E83" i="82"/>
  <c r="G83" i="82"/>
  <c r="I83" i="82"/>
  <c r="K83" i="82"/>
  <c r="M83" i="82"/>
  <c r="O83" i="82"/>
  <c r="Q83" i="82"/>
  <c r="B84" i="82"/>
  <c r="C84" i="82"/>
  <c r="E84" i="82"/>
  <c r="G84" i="82"/>
  <c r="I84" i="82"/>
  <c r="K84" i="82"/>
  <c r="M84" i="82"/>
  <c r="O84" i="82"/>
  <c r="Q84" i="82"/>
  <c r="B85" i="82"/>
  <c r="C85" i="82"/>
  <c r="E85" i="82"/>
  <c r="G85" i="82"/>
  <c r="I85" i="82"/>
  <c r="K85" i="82"/>
  <c r="M85" i="82"/>
  <c r="O85" i="82"/>
  <c r="Q85" i="82"/>
  <c r="B86" i="82"/>
  <c r="C86" i="82"/>
  <c r="E86" i="82"/>
  <c r="G86" i="82"/>
  <c r="I86" i="82"/>
  <c r="K86" i="82"/>
  <c r="M86" i="82"/>
  <c r="O86" i="82"/>
  <c r="Q86" i="82"/>
  <c r="B87" i="82"/>
  <c r="C87" i="82"/>
  <c r="E87" i="82"/>
  <c r="G87" i="82"/>
  <c r="I87" i="82"/>
  <c r="K87" i="82"/>
  <c r="M87" i="82"/>
  <c r="O87" i="82"/>
  <c r="Q87" i="82"/>
  <c r="B88" i="82"/>
  <c r="C88" i="82"/>
  <c r="E88" i="82"/>
  <c r="G88" i="82"/>
  <c r="I88" i="82"/>
  <c r="K88" i="82"/>
  <c r="M88" i="82"/>
  <c r="O88" i="82"/>
  <c r="Q88" i="82"/>
  <c r="B89" i="82"/>
  <c r="C89" i="82"/>
  <c r="E89" i="82"/>
  <c r="G89" i="82"/>
  <c r="I89" i="82"/>
  <c r="K89" i="82"/>
  <c r="M89" i="82"/>
  <c r="O89" i="82"/>
  <c r="Q89" i="82"/>
  <c r="B90" i="82"/>
  <c r="C90" i="82"/>
  <c r="E90" i="82"/>
  <c r="G90" i="82"/>
  <c r="I90" i="82"/>
  <c r="K90" i="82"/>
  <c r="M90" i="82"/>
  <c r="O90" i="82"/>
  <c r="Q90" i="82"/>
  <c r="B91" i="82"/>
  <c r="C91" i="82"/>
  <c r="E91" i="82"/>
  <c r="G91" i="82"/>
  <c r="I91" i="82"/>
  <c r="K91" i="82"/>
  <c r="M91" i="82"/>
  <c r="O91" i="82"/>
  <c r="Q91" i="82"/>
  <c r="B92" i="82"/>
  <c r="C92" i="82"/>
  <c r="E92" i="82"/>
  <c r="G92" i="82"/>
  <c r="I92" i="82"/>
  <c r="K92" i="82"/>
  <c r="M92" i="82"/>
  <c r="O92" i="82"/>
  <c r="Q92" i="82"/>
  <c r="B93" i="82"/>
  <c r="C93" i="82"/>
  <c r="E93" i="82"/>
  <c r="G93" i="82"/>
  <c r="I93" i="82"/>
  <c r="K93" i="82"/>
  <c r="M93" i="82"/>
  <c r="O93" i="82"/>
  <c r="Q93" i="82"/>
  <c r="B94" i="82"/>
  <c r="C94" i="82"/>
  <c r="E94" i="82"/>
  <c r="G94" i="82"/>
  <c r="I94" i="82"/>
  <c r="K94" i="82"/>
  <c r="M94" i="82"/>
  <c r="O94" i="82"/>
  <c r="Q94" i="82"/>
  <c r="B95" i="82"/>
  <c r="C95" i="82"/>
  <c r="E95" i="82"/>
  <c r="G95" i="82"/>
  <c r="I95" i="82"/>
  <c r="K95" i="82"/>
  <c r="M95" i="82"/>
  <c r="O95" i="82"/>
  <c r="Q95" i="82"/>
  <c r="B96" i="82"/>
  <c r="C96" i="82"/>
  <c r="E96" i="82"/>
  <c r="G96" i="82"/>
  <c r="I96" i="82"/>
  <c r="K96" i="82"/>
  <c r="M96" i="82"/>
  <c r="O96" i="82"/>
  <c r="Q96" i="82"/>
  <c r="B97" i="82"/>
  <c r="C97" i="82"/>
  <c r="E97" i="82"/>
  <c r="G97" i="82"/>
  <c r="I97" i="82"/>
  <c r="K97" i="82"/>
  <c r="M97" i="82"/>
  <c r="O97" i="82"/>
  <c r="Q97" i="82"/>
  <c r="B98" i="82"/>
  <c r="C98" i="82"/>
  <c r="E98" i="82"/>
  <c r="G98" i="82"/>
  <c r="I98" i="82"/>
  <c r="K98" i="82"/>
  <c r="M98" i="82"/>
  <c r="O98" i="82"/>
  <c r="Q98" i="82"/>
  <c r="B99" i="82"/>
  <c r="C99" i="82"/>
  <c r="E99" i="82"/>
  <c r="G99" i="82"/>
  <c r="I99" i="82"/>
  <c r="K99" i="82"/>
  <c r="M99" i="82"/>
  <c r="O99" i="82"/>
  <c r="Q99" i="82"/>
  <c r="B100" i="82"/>
  <c r="C100" i="82"/>
  <c r="E100" i="82"/>
  <c r="G100" i="82"/>
  <c r="I100" i="82"/>
  <c r="K100" i="82"/>
  <c r="M100" i="82"/>
  <c r="O100" i="82"/>
  <c r="Q100" i="82"/>
  <c r="B101" i="82"/>
  <c r="C101" i="82"/>
  <c r="E101" i="82"/>
  <c r="G101" i="82"/>
  <c r="I101" i="82"/>
  <c r="K101" i="82"/>
  <c r="M101" i="82"/>
  <c r="O101" i="82"/>
  <c r="Q101" i="82"/>
  <c r="B102" i="82"/>
  <c r="C102" i="82"/>
  <c r="E102" i="82"/>
  <c r="G102" i="82"/>
  <c r="I102" i="82"/>
  <c r="K102" i="82"/>
  <c r="M102" i="82"/>
  <c r="O102" i="82"/>
  <c r="Q102" i="82"/>
  <c r="B103" i="82"/>
  <c r="C103" i="82"/>
  <c r="E103" i="82"/>
  <c r="G103" i="82"/>
  <c r="I103" i="82"/>
  <c r="K103" i="82"/>
  <c r="M103" i="82"/>
  <c r="O103" i="82"/>
  <c r="Q103" i="82"/>
  <c r="B104" i="82"/>
  <c r="C104" i="82"/>
  <c r="E104" i="82"/>
  <c r="G104" i="82"/>
  <c r="I104" i="82"/>
  <c r="K104" i="82"/>
  <c r="M104" i="82"/>
  <c r="O104" i="82"/>
  <c r="Q104" i="82"/>
  <c r="B105" i="82"/>
  <c r="C105" i="82"/>
  <c r="E105" i="82"/>
  <c r="G105" i="82"/>
  <c r="I105" i="82"/>
  <c r="K105" i="82"/>
  <c r="M105" i="82"/>
  <c r="O105" i="82"/>
  <c r="Q105" i="82"/>
  <c r="B106" i="82"/>
  <c r="C106" i="82"/>
  <c r="E106" i="82"/>
  <c r="G106" i="82"/>
  <c r="I106" i="82"/>
  <c r="K106" i="82"/>
  <c r="M106" i="82"/>
  <c r="O106" i="82"/>
  <c r="Q106" i="82"/>
  <c r="B107" i="82"/>
  <c r="C107" i="82"/>
  <c r="E107" i="82"/>
  <c r="G107" i="82"/>
  <c r="I107" i="82"/>
  <c r="K107" i="82"/>
  <c r="M107" i="82"/>
  <c r="O107" i="82"/>
  <c r="Q107" i="82"/>
  <c r="B108" i="82"/>
  <c r="C108" i="82"/>
  <c r="E108" i="82"/>
  <c r="G108" i="82"/>
  <c r="I108" i="82"/>
  <c r="K108" i="82"/>
  <c r="M108" i="82"/>
  <c r="O108" i="82"/>
  <c r="Q108" i="82"/>
  <c r="B109" i="82"/>
  <c r="C109" i="82"/>
  <c r="E109" i="82"/>
  <c r="G109" i="82"/>
  <c r="I109" i="82"/>
  <c r="K109" i="82"/>
  <c r="M109" i="82"/>
  <c r="O109" i="82"/>
  <c r="Q109" i="82"/>
  <c r="B110" i="82"/>
  <c r="C110" i="82"/>
  <c r="E110" i="82"/>
  <c r="G110" i="82"/>
  <c r="I110" i="82"/>
  <c r="K110" i="82"/>
  <c r="M110" i="82"/>
  <c r="O110" i="82"/>
  <c r="Q110" i="82"/>
  <c r="B111" i="82"/>
  <c r="C111" i="82"/>
  <c r="E111" i="82"/>
  <c r="G111" i="82"/>
  <c r="I111" i="82"/>
  <c r="K111" i="82"/>
  <c r="M111" i="82"/>
  <c r="O111" i="82"/>
  <c r="Q111" i="82"/>
  <c r="B112" i="82"/>
  <c r="C112" i="82"/>
  <c r="E112" i="82"/>
  <c r="G112" i="82"/>
  <c r="I112" i="82"/>
  <c r="K112" i="82"/>
  <c r="M112" i="82"/>
  <c r="O112" i="82"/>
  <c r="Q112" i="82"/>
  <c r="B113" i="82"/>
  <c r="C113" i="82"/>
  <c r="E113" i="82"/>
  <c r="G113" i="82"/>
  <c r="I113" i="82"/>
  <c r="K113" i="82"/>
  <c r="M113" i="82"/>
  <c r="O113" i="82"/>
  <c r="Q113" i="82"/>
  <c r="B114" i="82"/>
  <c r="C114" i="82"/>
  <c r="E114" i="82"/>
  <c r="G114" i="82"/>
  <c r="I114" i="82"/>
  <c r="K114" i="82"/>
  <c r="M114" i="82"/>
  <c r="O114" i="82"/>
  <c r="Q114" i="82"/>
  <c r="B115" i="82"/>
  <c r="C115" i="82"/>
  <c r="E115" i="82"/>
  <c r="G115" i="82"/>
  <c r="I115" i="82"/>
  <c r="K115" i="82"/>
  <c r="M115" i="82"/>
  <c r="O115" i="82"/>
  <c r="Q115" i="82"/>
  <c r="B116" i="82"/>
  <c r="C116" i="82"/>
  <c r="E116" i="82"/>
  <c r="G116" i="82"/>
  <c r="I116" i="82"/>
  <c r="K116" i="82"/>
  <c r="M116" i="82"/>
  <c r="O116" i="82"/>
  <c r="Q116" i="82"/>
  <c r="B117" i="82"/>
  <c r="C117" i="82"/>
  <c r="E117" i="82"/>
  <c r="G117" i="82"/>
  <c r="I117" i="82"/>
  <c r="K117" i="82"/>
  <c r="M117" i="82"/>
  <c r="O117" i="82"/>
  <c r="Q117" i="82"/>
  <c r="B118" i="82"/>
  <c r="C118" i="82"/>
  <c r="E118" i="82"/>
  <c r="G118" i="82"/>
  <c r="I118" i="82"/>
  <c r="K118" i="82"/>
  <c r="M118" i="82"/>
  <c r="O118" i="82"/>
  <c r="Q118" i="82"/>
  <c r="B119" i="82"/>
  <c r="C119" i="82"/>
  <c r="E119" i="82"/>
  <c r="G119" i="82"/>
  <c r="I119" i="82"/>
  <c r="K119" i="82"/>
  <c r="M119" i="82"/>
  <c r="O119" i="82"/>
  <c r="Q119" i="82"/>
  <c r="B120" i="82"/>
  <c r="C120" i="82"/>
  <c r="E120" i="82"/>
  <c r="G120" i="82"/>
  <c r="I120" i="82"/>
  <c r="K120" i="82"/>
  <c r="M120" i="82"/>
  <c r="O120" i="82"/>
  <c r="Q120" i="82"/>
  <c r="B121" i="82"/>
  <c r="C121" i="82"/>
  <c r="E121" i="82"/>
  <c r="G121" i="82"/>
  <c r="I121" i="82"/>
  <c r="K121" i="82"/>
  <c r="M121" i="82"/>
  <c r="O121" i="82"/>
  <c r="Q121" i="82"/>
  <c r="B122" i="82"/>
  <c r="C122" i="82"/>
  <c r="E122" i="82"/>
  <c r="G122" i="82"/>
  <c r="I122" i="82"/>
  <c r="K122" i="82"/>
  <c r="M122" i="82"/>
  <c r="O122" i="82"/>
  <c r="Q122" i="82"/>
  <c r="R123" i="82"/>
  <c r="S123" i="82" s="1"/>
  <c r="R124" i="82"/>
  <c r="S124" i="82" s="1"/>
  <c r="R125" i="82"/>
  <c r="S125" i="82" s="1"/>
  <c r="R126" i="82"/>
  <c r="S126" i="82" s="1"/>
  <c r="R127" i="82"/>
  <c r="S127" i="82" s="1"/>
  <c r="R128" i="82"/>
  <c r="S128" i="82" s="1"/>
  <c r="R129" i="82"/>
  <c r="S129" i="82" s="1"/>
  <c r="R130" i="82"/>
  <c r="S130" i="82" s="1"/>
  <c r="R131" i="82"/>
  <c r="S131" i="82" s="1"/>
  <c r="R132" i="82"/>
  <c r="S132" i="82" s="1"/>
  <c r="R133" i="82"/>
  <c r="S133" i="82" s="1"/>
  <c r="R134" i="82"/>
  <c r="S134" i="82" s="1"/>
  <c r="R135" i="82"/>
  <c r="S135" i="82" s="1"/>
  <c r="R136" i="82"/>
  <c r="S136" i="82" s="1"/>
  <c r="R137" i="82"/>
  <c r="S137" i="82" s="1"/>
  <c r="R138" i="82"/>
  <c r="S138" i="82" s="1"/>
  <c r="R139" i="82"/>
  <c r="S139" i="82" s="1"/>
  <c r="R140" i="82"/>
  <c r="S140" i="82" s="1"/>
  <c r="R141" i="82"/>
  <c r="S141" i="82" s="1"/>
  <c r="R142" i="82"/>
  <c r="S142" i="82" s="1"/>
  <c r="R143" i="82"/>
  <c r="S143" i="82" s="1"/>
  <c r="R144" i="82"/>
  <c r="S144" i="82" s="1"/>
  <c r="R145" i="82"/>
  <c r="S145" i="82" s="1"/>
  <c r="R146" i="82"/>
  <c r="S146" i="82" s="1"/>
  <c r="R147" i="82"/>
  <c r="S147" i="82" s="1"/>
  <c r="R148" i="82"/>
  <c r="S148" i="82" s="1"/>
  <c r="R149" i="82"/>
  <c r="S149" i="82" s="1"/>
  <c r="R150" i="82"/>
  <c r="S150" i="82" s="1"/>
  <c r="R151" i="82"/>
  <c r="S151" i="82" s="1"/>
  <c r="R152" i="82"/>
  <c r="S152" i="82" s="1"/>
  <c r="R153" i="82"/>
  <c r="S153" i="82" s="1"/>
  <c r="R154" i="82"/>
  <c r="S154" i="82" s="1"/>
  <c r="R155" i="82"/>
  <c r="S155" i="82" s="1"/>
  <c r="R156" i="82"/>
  <c r="S156" i="82" s="1"/>
  <c r="R157" i="82"/>
  <c r="S157" i="82" s="1"/>
  <c r="R158" i="82"/>
  <c r="S158" i="82" s="1"/>
  <c r="R159" i="82"/>
  <c r="S159" i="82" s="1"/>
  <c r="R160" i="82"/>
  <c r="S160" i="82" s="1"/>
  <c r="R161" i="82"/>
  <c r="S161" i="82" s="1"/>
  <c r="R162" i="82"/>
  <c r="S162" i="82" s="1"/>
  <c r="R163" i="82"/>
  <c r="S163" i="82" s="1"/>
  <c r="R164" i="82"/>
  <c r="S164" i="82" s="1"/>
  <c r="R165" i="82"/>
  <c r="S165" i="82" s="1"/>
  <c r="R166" i="82"/>
  <c r="S166" i="82" s="1"/>
  <c r="R167" i="82"/>
  <c r="S167" i="82" s="1"/>
  <c r="R168" i="82"/>
  <c r="S168" i="82" s="1"/>
  <c r="R169" i="82"/>
  <c r="S169" i="82" s="1"/>
  <c r="R170" i="82"/>
  <c r="S170" i="82" s="1"/>
  <c r="R171" i="82"/>
  <c r="S171" i="82" s="1"/>
  <c r="R172" i="82"/>
  <c r="S172" i="82" s="1"/>
  <c r="R173" i="82"/>
  <c r="S173" i="82" s="1"/>
  <c r="R174" i="82"/>
  <c r="S174" i="82" s="1"/>
  <c r="R175" i="82"/>
  <c r="S175" i="82" s="1"/>
  <c r="R176" i="82"/>
  <c r="S176" i="82" s="1"/>
  <c r="R177" i="82"/>
  <c r="S177" i="82" s="1"/>
  <c r="R178" i="82"/>
  <c r="S178" i="82" s="1"/>
  <c r="R179" i="82"/>
  <c r="S179" i="82" s="1"/>
  <c r="R180" i="82"/>
  <c r="S180" i="82" s="1"/>
  <c r="R181" i="82"/>
  <c r="S181" i="82" s="1"/>
  <c r="R182" i="82"/>
  <c r="S182" i="82" s="1"/>
  <c r="R183" i="82"/>
  <c r="S183" i="82" s="1"/>
  <c r="R184" i="82"/>
  <c r="S184" i="82" s="1"/>
  <c r="R185" i="82"/>
  <c r="S185" i="82" s="1"/>
  <c r="R186" i="82"/>
  <c r="S186" i="82" s="1"/>
  <c r="R187" i="82"/>
  <c r="S187" i="82" s="1"/>
  <c r="R188" i="82"/>
  <c r="S188" i="82" s="1"/>
  <c r="R189" i="82"/>
  <c r="S189" i="82" s="1"/>
  <c r="R190" i="82"/>
  <c r="S190" i="82" s="1"/>
  <c r="R191" i="82"/>
  <c r="S191" i="82" s="1"/>
  <c r="R192" i="82"/>
  <c r="S192" i="82" s="1"/>
  <c r="R193" i="82"/>
  <c r="S193" i="82" s="1"/>
  <c r="R194" i="82"/>
  <c r="S194" i="82" s="1"/>
  <c r="R195" i="82"/>
  <c r="S195" i="82" s="1"/>
  <c r="R196" i="82"/>
  <c r="S196" i="82" s="1"/>
  <c r="R197" i="82"/>
  <c r="S197" i="82" s="1"/>
  <c r="R198" i="82"/>
  <c r="S198" i="82" s="1"/>
  <c r="R199" i="82"/>
  <c r="S199" i="82" s="1"/>
  <c r="R200" i="82"/>
  <c r="S200" i="82" s="1"/>
  <c r="R201" i="82"/>
  <c r="S201" i="82" s="1"/>
  <c r="R202" i="82"/>
  <c r="S202" i="82" s="1"/>
  <c r="R203" i="82"/>
  <c r="S203" i="82" s="1"/>
  <c r="R204" i="82"/>
  <c r="S204" i="82" s="1"/>
  <c r="R205" i="82"/>
  <c r="S205" i="82" s="1"/>
  <c r="R206" i="82"/>
  <c r="S206" i="82" s="1"/>
  <c r="R207" i="82"/>
  <c r="S207" i="82" s="1"/>
  <c r="R208" i="82"/>
  <c r="S208" i="82" s="1"/>
  <c r="R209" i="82"/>
  <c r="S209" i="82" s="1"/>
  <c r="R210" i="82"/>
  <c r="S210" i="82" s="1"/>
  <c r="R211" i="82"/>
  <c r="S211" i="82" s="1"/>
  <c r="R212" i="82"/>
  <c r="S212" i="82" s="1"/>
  <c r="R213" i="82"/>
  <c r="S213" i="82" s="1"/>
  <c r="R214" i="82"/>
  <c r="S214" i="82" s="1"/>
  <c r="R215" i="82"/>
  <c r="S215" i="82" s="1"/>
  <c r="R216" i="82"/>
  <c r="S216" i="82" s="1"/>
  <c r="R217" i="82"/>
  <c r="S217" i="82" s="1"/>
  <c r="R218" i="82"/>
  <c r="S218" i="82" s="1"/>
  <c r="R219" i="82"/>
  <c r="S219" i="82" s="1"/>
  <c r="R220" i="82"/>
  <c r="S220" i="82" s="1"/>
  <c r="R221" i="82"/>
  <c r="S221" i="82" s="1"/>
  <c r="R222" i="82"/>
  <c r="S222" i="82" s="1"/>
  <c r="R223" i="82"/>
  <c r="S223" i="82" s="1"/>
  <c r="R224" i="82"/>
  <c r="S224" i="82" s="1"/>
  <c r="R225" i="82"/>
  <c r="S225" i="82" s="1"/>
  <c r="R226" i="82"/>
  <c r="S226" i="82" s="1"/>
  <c r="R227" i="82"/>
  <c r="S227" i="82" s="1"/>
  <c r="R228" i="82"/>
  <c r="S228" i="82" s="1"/>
  <c r="R229" i="82"/>
  <c r="S229" i="82" s="1"/>
  <c r="R230" i="82"/>
  <c r="S230" i="82" s="1"/>
  <c r="R231" i="82"/>
  <c r="S231" i="82" s="1"/>
  <c r="R232" i="82"/>
  <c r="S232" i="82" s="1"/>
  <c r="R233" i="82"/>
  <c r="S233" i="82" s="1"/>
  <c r="R234" i="82"/>
  <c r="S234" i="82" s="1"/>
  <c r="R235" i="82"/>
  <c r="S235" i="82" s="1"/>
  <c r="R236" i="82"/>
  <c r="S236" i="82" s="1"/>
  <c r="R237" i="82"/>
  <c r="S237" i="82" s="1"/>
  <c r="R238" i="82"/>
  <c r="S238" i="82" s="1"/>
  <c r="R239" i="82"/>
  <c r="S239" i="82" s="1"/>
  <c r="R240" i="82"/>
  <c r="S240" i="82" s="1"/>
  <c r="R241" i="82"/>
  <c r="S241" i="82" s="1"/>
  <c r="R242" i="82"/>
  <c r="S242" i="82" s="1"/>
  <c r="R243" i="82"/>
  <c r="S243" i="82" s="1"/>
  <c r="R244" i="82"/>
  <c r="S244" i="82" s="1"/>
  <c r="R245" i="82"/>
  <c r="S245" i="82" s="1"/>
  <c r="R246" i="82"/>
  <c r="S246" i="82" s="1"/>
  <c r="R247" i="82"/>
  <c r="S247" i="82" s="1"/>
  <c r="R248" i="82"/>
  <c r="S248" i="82" s="1"/>
  <c r="R249" i="82"/>
  <c r="S249" i="82" s="1"/>
  <c r="R250" i="82"/>
  <c r="S250" i="82" s="1"/>
  <c r="R251" i="82"/>
  <c r="S251" i="82" s="1"/>
  <c r="R252" i="82"/>
  <c r="S252" i="82" s="1"/>
  <c r="R253" i="82"/>
  <c r="S253" i="82" s="1"/>
  <c r="R254" i="82"/>
  <c r="S254" i="82" s="1"/>
  <c r="R255" i="82"/>
  <c r="S255" i="82" s="1"/>
  <c r="R256" i="82"/>
  <c r="S256" i="82" s="1"/>
  <c r="R257" i="82"/>
  <c r="S257" i="82" s="1"/>
  <c r="R258" i="82"/>
  <c r="S258" i="82" s="1"/>
  <c r="R259" i="82"/>
  <c r="S259" i="82" s="1"/>
  <c r="R260" i="82"/>
  <c r="S260" i="82" s="1"/>
  <c r="R261" i="82"/>
  <c r="S261" i="82" s="1"/>
  <c r="R262" i="82"/>
  <c r="S262" i="82" s="1"/>
  <c r="R263" i="82"/>
  <c r="S263" i="82" s="1"/>
  <c r="R264" i="82"/>
  <c r="S264" i="82" s="1"/>
  <c r="R265" i="82"/>
  <c r="S265" i="82" s="1"/>
  <c r="R266" i="82"/>
  <c r="S266" i="82" s="1"/>
  <c r="R267" i="82"/>
  <c r="S267" i="82" s="1"/>
  <c r="R268" i="82"/>
  <c r="S268" i="82" s="1"/>
  <c r="R269" i="82"/>
  <c r="S269" i="82" s="1"/>
  <c r="R270" i="82"/>
  <c r="S270" i="82" s="1"/>
  <c r="R271" i="82"/>
  <c r="S271" i="82" s="1"/>
  <c r="R272" i="82"/>
  <c r="S272" i="82" s="1"/>
  <c r="R273" i="82"/>
  <c r="S273" i="82" s="1"/>
  <c r="R274" i="82"/>
  <c r="S274" i="82" s="1"/>
  <c r="R275" i="82"/>
  <c r="S275" i="82" s="1"/>
  <c r="R276" i="82"/>
  <c r="S276" i="82" s="1"/>
  <c r="R277" i="82"/>
  <c r="S277" i="82" s="1"/>
  <c r="R278" i="82"/>
  <c r="S278" i="82" s="1"/>
  <c r="R279" i="82"/>
  <c r="S279" i="82" s="1"/>
  <c r="R280" i="82"/>
  <c r="S280" i="82" s="1"/>
  <c r="R281" i="82"/>
  <c r="S281" i="82" s="1"/>
  <c r="R282" i="82"/>
  <c r="S282" i="82" s="1"/>
  <c r="R283" i="82"/>
  <c r="S283" i="82" s="1"/>
  <c r="R284" i="82"/>
  <c r="S284" i="82" s="1"/>
  <c r="R285" i="82"/>
  <c r="S285" i="82" s="1"/>
  <c r="R286" i="82"/>
  <c r="S286" i="82" s="1"/>
  <c r="R287" i="82"/>
  <c r="S287" i="82" s="1"/>
  <c r="R288" i="82"/>
  <c r="S288" i="82" s="1"/>
  <c r="R289" i="82"/>
  <c r="S289" i="82" s="1"/>
  <c r="R290" i="82"/>
  <c r="S290" i="82" s="1"/>
  <c r="R291" i="82"/>
  <c r="S291" i="82" s="1"/>
  <c r="R292" i="82"/>
  <c r="S292" i="82" s="1"/>
  <c r="R293" i="82"/>
  <c r="S293" i="82" s="1"/>
  <c r="R294" i="82"/>
  <c r="S294" i="82" s="1"/>
  <c r="R295" i="82"/>
  <c r="S295" i="82" s="1"/>
  <c r="R296" i="82"/>
  <c r="S296" i="82" s="1"/>
  <c r="R297" i="82"/>
  <c r="S297" i="82" s="1"/>
  <c r="R298" i="82"/>
  <c r="S298" i="82" s="1"/>
  <c r="R299" i="82"/>
  <c r="S299" i="82" s="1"/>
  <c r="R300" i="82"/>
  <c r="S300" i="82" s="1"/>
  <c r="R301" i="82"/>
  <c r="S301" i="82" s="1"/>
  <c r="R302" i="82"/>
  <c r="S302" i="82" s="1"/>
  <c r="R303" i="82"/>
  <c r="S303" i="82" s="1"/>
  <c r="R304" i="82"/>
  <c r="S304" i="82" s="1"/>
  <c r="R305" i="82"/>
  <c r="S305" i="82" s="1"/>
  <c r="R306" i="82"/>
  <c r="S306" i="82" s="1"/>
  <c r="R307" i="82"/>
  <c r="S307" i="82" s="1"/>
  <c r="R308" i="82"/>
  <c r="S308" i="82" s="1"/>
  <c r="R309" i="82"/>
  <c r="S309" i="82" s="1"/>
  <c r="R310" i="82"/>
  <c r="S310" i="82" s="1"/>
  <c r="R311" i="82"/>
  <c r="S311" i="82" s="1"/>
  <c r="R312" i="82"/>
  <c r="S312" i="82" s="1"/>
  <c r="R313" i="82"/>
  <c r="S313" i="82" s="1"/>
  <c r="R314" i="82"/>
  <c r="S314" i="82" s="1"/>
  <c r="R315" i="82"/>
  <c r="S315" i="82" s="1"/>
  <c r="R316" i="82"/>
  <c r="S316" i="82" s="1"/>
  <c r="R317" i="82"/>
  <c r="S317" i="82" s="1"/>
  <c r="R318" i="82"/>
  <c r="S318" i="82" s="1"/>
  <c r="R319" i="82"/>
  <c r="S319" i="82" s="1"/>
  <c r="R320" i="82"/>
  <c r="S320" i="82" s="1"/>
  <c r="R321" i="82"/>
  <c r="S321" i="82" s="1"/>
  <c r="R322" i="82"/>
  <c r="S322" i="82" s="1"/>
  <c r="R323" i="82"/>
  <c r="S323" i="82" s="1"/>
  <c r="R324" i="82"/>
  <c r="S324" i="82" s="1"/>
  <c r="R325" i="82"/>
  <c r="S325" i="82" s="1"/>
  <c r="R326" i="82"/>
  <c r="S326" i="82" s="1"/>
  <c r="R327" i="82"/>
  <c r="S327" i="82" s="1"/>
  <c r="R328" i="82"/>
  <c r="S328" i="82" s="1"/>
  <c r="R329" i="82"/>
  <c r="S329" i="82" s="1"/>
  <c r="R330" i="82"/>
  <c r="S330" i="82" s="1"/>
  <c r="R331" i="82"/>
  <c r="S331" i="82" s="1"/>
  <c r="R332" i="82"/>
  <c r="S332" i="82" s="1"/>
  <c r="R333" i="82"/>
  <c r="S333" i="82" s="1"/>
  <c r="R334" i="82"/>
  <c r="S334" i="82" s="1"/>
  <c r="R335" i="82"/>
  <c r="S335" i="82" s="1"/>
  <c r="R336" i="82"/>
  <c r="S336" i="82" s="1"/>
  <c r="R337" i="82"/>
  <c r="S337" i="82" s="1"/>
  <c r="R338" i="82"/>
  <c r="S338" i="82" s="1"/>
  <c r="R339" i="82"/>
  <c r="S339" i="82" s="1"/>
  <c r="R340" i="82"/>
  <c r="S340" i="82" s="1"/>
  <c r="R341" i="82"/>
  <c r="S341" i="82" s="1"/>
  <c r="R342" i="82"/>
  <c r="S342" i="82" s="1"/>
  <c r="R343" i="82"/>
  <c r="S343" i="82" s="1"/>
  <c r="R344" i="82"/>
  <c r="S344" i="82" s="1"/>
  <c r="R345" i="82"/>
  <c r="S345" i="82" s="1"/>
  <c r="R346" i="82"/>
  <c r="S346" i="82" s="1"/>
  <c r="R347" i="82"/>
  <c r="S347" i="82" s="1"/>
  <c r="R348" i="82"/>
  <c r="S348" i="82" s="1"/>
  <c r="R349" i="82"/>
  <c r="S349" i="82" s="1"/>
  <c r="R350" i="82"/>
  <c r="S350" i="82" s="1"/>
  <c r="R351" i="82"/>
  <c r="S351" i="82" s="1"/>
  <c r="R352" i="82"/>
  <c r="S352" i="82" s="1"/>
  <c r="R353" i="82"/>
  <c r="S353" i="82" s="1"/>
  <c r="R354" i="82"/>
  <c r="S354" i="82" s="1"/>
  <c r="R355" i="82"/>
  <c r="S355" i="82" s="1"/>
  <c r="R356" i="82"/>
  <c r="S356" i="82" s="1"/>
  <c r="R357" i="82"/>
  <c r="S357" i="82" s="1"/>
  <c r="R358" i="82"/>
  <c r="S358" i="82" s="1"/>
  <c r="R359" i="82"/>
  <c r="S359" i="82" s="1"/>
  <c r="R360" i="82"/>
  <c r="S360" i="82" s="1"/>
  <c r="R361" i="82"/>
  <c r="S361" i="82" s="1"/>
  <c r="R362" i="82"/>
  <c r="S362" i="82" s="1"/>
  <c r="R363" i="82"/>
  <c r="S363" i="82" s="1"/>
  <c r="R364" i="82"/>
  <c r="S364" i="82" s="1"/>
  <c r="R365" i="82"/>
  <c r="S365" i="82" s="1"/>
  <c r="R366" i="82"/>
  <c r="S366" i="82" s="1"/>
  <c r="R367" i="82"/>
  <c r="S367" i="82" s="1"/>
  <c r="R368" i="82"/>
  <c r="S368" i="82" s="1"/>
  <c r="R369" i="82"/>
  <c r="S369" i="82" s="1"/>
  <c r="R370" i="82"/>
  <c r="S370" i="82" s="1"/>
  <c r="R371" i="82"/>
  <c r="S371" i="82" s="1"/>
  <c r="R372" i="82"/>
  <c r="S372" i="82" s="1"/>
  <c r="R373" i="82"/>
  <c r="S373" i="82" s="1"/>
  <c r="R374" i="82"/>
  <c r="S374" i="82" s="1"/>
  <c r="R375" i="82"/>
  <c r="S375" i="82" s="1"/>
  <c r="R376" i="82"/>
  <c r="S376" i="82" s="1"/>
  <c r="R377" i="82"/>
  <c r="S377" i="82" s="1"/>
  <c r="R378" i="82"/>
  <c r="S378" i="82" s="1"/>
  <c r="R379" i="82"/>
  <c r="S379" i="82" s="1"/>
  <c r="R380" i="82"/>
  <c r="S380" i="82" s="1"/>
  <c r="R381" i="82"/>
  <c r="S381" i="82" s="1"/>
  <c r="R382" i="82"/>
  <c r="S382" i="82" s="1"/>
  <c r="R383" i="82"/>
  <c r="S383" i="82" s="1"/>
  <c r="R384" i="82"/>
  <c r="S384" i="82" s="1"/>
  <c r="R385" i="82"/>
  <c r="S385" i="82" s="1"/>
  <c r="R386" i="82"/>
  <c r="S386" i="82" s="1"/>
  <c r="R387" i="82"/>
  <c r="S387" i="82" s="1"/>
  <c r="R388" i="82"/>
  <c r="S388" i="82" s="1"/>
  <c r="R389" i="82"/>
  <c r="S389" i="82" s="1"/>
  <c r="R390" i="82"/>
  <c r="S390" i="82" s="1"/>
  <c r="R391" i="82"/>
  <c r="S391" i="82" s="1"/>
  <c r="R392" i="82"/>
  <c r="S392" i="82" s="1"/>
  <c r="R393" i="82"/>
  <c r="S393" i="82" s="1"/>
  <c r="R394" i="82"/>
  <c r="S394" i="82" s="1"/>
  <c r="R395" i="82"/>
  <c r="S395" i="82" s="1"/>
  <c r="R396" i="82"/>
  <c r="S396" i="82" s="1"/>
  <c r="R397" i="82"/>
  <c r="S397" i="82" s="1"/>
  <c r="R398" i="82"/>
  <c r="S398" i="82" s="1"/>
  <c r="R399" i="82"/>
  <c r="S399" i="82" s="1"/>
  <c r="R400" i="82"/>
  <c r="S400" i="82" s="1"/>
  <c r="R401" i="82"/>
  <c r="S401" i="82" s="1"/>
  <c r="R402" i="82"/>
  <c r="S402" i="82" s="1"/>
  <c r="R403" i="82"/>
  <c r="S403" i="82" s="1"/>
  <c r="R404" i="82"/>
  <c r="S404" i="82" s="1"/>
  <c r="R405" i="82"/>
  <c r="S405" i="82" s="1"/>
  <c r="R406" i="82"/>
  <c r="S406" i="82" s="1"/>
  <c r="R407" i="82"/>
  <c r="S407" i="82" s="1"/>
  <c r="R408" i="82"/>
  <c r="S408" i="82" s="1"/>
  <c r="R409" i="82"/>
  <c r="S409" i="82" s="1"/>
  <c r="R410" i="82"/>
  <c r="S410" i="82" s="1"/>
  <c r="R411" i="82"/>
  <c r="S411" i="82" s="1"/>
  <c r="R412" i="82"/>
  <c r="S412" i="82" s="1"/>
  <c r="R413" i="82"/>
  <c r="S413" i="82" s="1"/>
  <c r="R414" i="82"/>
  <c r="S414" i="82" s="1"/>
  <c r="R415" i="82"/>
  <c r="S415" i="82" s="1"/>
  <c r="R416" i="82"/>
  <c r="S416" i="82" s="1"/>
  <c r="R417" i="82"/>
  <c r="S417" i="82" s="1"/>
  <c r="R418" i="82"/>
  <c r="S418" i="82" s="1"/>
  <c r="R419" i="82"/>
  <c r="S419" i="82" s="1"/>
  <c r="R420" i="82"/>
  <c r="S420" i="82" s="1"/>
  <c r="R421" i="82"/>
  <c r="S421" i="82" s="1"/>
  <c r="R422" i="82"/>
  <c r="S422" i="82" s="1"/>
  <c r="R423" i="82"/>
  <c r="S423" i="82" s="1"/>
  <c r="R424" i="82"/>
  <c r="S424" i="82" s="1"/>
  <c r="R425" i="82"/>
  <c r="S425" i="82" s="1"/>
  <c r="R426" i="82"/>
  <c r="S426" i="82" s="1"/>
  <c r="R427" i="82"/>
  <c r="S427" i="82" s="1"/>
  <c r="R428" i="82"/>
  <c r="S428" i="82" s="1"/>
  <c r="R429" i="82"/>
  <c r="S429" i="82" s="1"/>
  <c r="R430" i="82"/>
  <c r="S430" i="82" s="1"/>
  <c r="R431" i="82"/>
  <c r="S431" i="82" s="1"/>
  <c r="R432" i="82"/>
  <c r="S432" i="82" s="1"/>
  <c r="R433" i="82"/>
  <c r="S433" i="82" s="1"/>
  <c r="R434" i="82"/>
  <c r="S434" i="82" s="1"/>
  <c r="R435" i="82"/>
  <c r="S435" i="82" s="1"/>
  <c r="R436" i="82"/>
  <c r="S436" i="82" s="1"/>
  <c r="R437" i="82"/>
  <c r="S437" i="82" s="1"/>
  <c r="R438" i="82"/>
  <c r="S438" i="82" s="1"/>
  <c r="R439" i="82"/>
  <c r="S439" i="82" s="1"/>
  <c r="R440" i="82"/>
  <c r="S440" i="82" s="1"/>
  <c r="R441" i="82"/>
  <c r="S441" i="82" s="1"/>
  <c r="R442" i="82"/>
  <c r="S442" i="82" s="1"/>
  <c r="R443" i="82"/>
  <c r="S443" i="82" s="1"/>
  <c r="R444" i="82"/>
  <c r="S444" i="82" s="1"/>
  <c r="R445" i="82"/>
  <c r="S445" i="82" s="1"/>
  <c r="R446" i="82"/>
  <c r="S446" i="82" s="1"/>
  <c r="R447" i="82"/>
  <c r="S447" i="82" s="1"/>
  <c r="R448" i="82"/>
  <c r="S448" i="82" s="1"/>
  <c r="R449" i="82"/>
  <c r="S449" i="82" s="1"/>
  <c r="R450" i="82"/>
  <c r="S450" i="82" s="1"/>
  <c r="R451" i="82"/>
  <c r="S451" i="82" s="1"/>
  <c r="R452" i="82"/>
  <c r="S452" i="82" s="1"/>
  <c r="R453" i="82"/>
  <c r="S453" i="82" s="1"/>
  <c r="R454" i="82"/>
  <c r="S454" i="82" s="1"/>
  <c r="R455" i="82"/>
  <c r="S455" i="82" s="1"/>
  <c r="R456" i="82"/>
  <c r="S456" i="82" s="1"/>
  <c r="R457" i="82"/>
  <c r="S457" i="82" s="1"/>
  <c r="R458" i="82"/>
  <c r="S458" i="82" s="1"/>
  <c r="R459" i="82"/>
  <c r="S459" i="82" s="1"/>
  <c r="R460" i="82"/>
  <c r="S460" i="82" s="1"/>
  <c r="R461" i="82"/>
  <c r="S461" i="82" s="1"/>
  <c r="R462" i="82"/>
  <c r="S462" i="82" s="1"/>
  <c r="R463" i="82"/>
  <c r="S463" i="82" s="1"/>
  <c r="R464" i="82"/>
  <c r="S464" i="82" s="1"/>
  <c r="R465" i="82"/>
  <c r="S465" i="82" s="1"/>
  <c r="R466" i="82"/>
  <c r="S466" i="82" s="1"/>
  <c r="R467" i="82"/>
  <c r="S467" i="82" s="1"/>
  <c r="R468" i="82"/>
  <c r="S468" i="82" s="1"/>
  <c r="R469" i="82"/>
  <c r="S469" i="82" s="1"/>
  <c r="R470" i="82"/>
  <c r="S470" i="82" s="1"/>
  <c r="R471" i="82"/>
  <c r="S471" i="82" s="1"/>
  <c r="R472" i="82"/>
  <c r="S472" i="82" s="1"/>
  <c r="R473" i="82"/>
  <c r="S473" i="82" s="1"/>
  <c r="R474" i="82"/>
  <c r="S474" i="82" s="1"/>
  <c r="R475" i="82"/>
  <c r="S475" i="82" s="1"/>
  <c r="R476" i="82"/>
  <c r="S476" i="82" s="1"/>
  <c r="R477" i="82"/>
  <c r="S477" i="82" s="1"/>
  <c r="R478" i="82"/>
  <c r="S478" i="82" s="1"/>
  <c r="R479" i="82"/>
  <c r="S479" i="82" s="1"/>
  <c r="R480" i="82"/>
  <c r="S480" i="82" s="1"/>
  <c r="R481" i="82"/>
  <c r="S481" i="82" s="1"/>
  <c r="R482" i="82"/>
  <c r="S482" i="82" s="1"/>
  <c r="R483" i="82"/>
  <c r="S483" i="82" s="1"/>
  <c r="R484" i="82"/>
  <c r="S484" i="82" s="1"/>
  <c r="R485" i="82"/>
  <c r="S485" i="82" s="1"/>
  <c r="R486" i="82"/>
  <c r="S486" i="82" s="1"/>
  <c r="R487" i="82"/>
  <c r="S487" i="82" s="1"/>
  <c r="R488" i="82"/>
  <c r="S488" i="82" s="1"/>
  <c r="R489" i="82"/>
  <c r="S489" i="82" s="1"/>
  <c r="R490" i="82"/>
  <c r="S490" i="82" s="1"/>
  <c r="R491" i="82"/>
  <c r="S491" i="82" s="1"/>
  <c r="R492" i="82"/>
  <c r="S492" i="82" s="1"/>
  <c r="R493" i="82"/>
  <c r="S493" i="82" s="1"/>
  <c r="R494" i="82"/>
  <c r="S494" i="82" s="1"/>
  <c r="R495" i="82"/>
  <c r="S495" i="82" s="1"/>
  <c r="R496" i="82"/>
  <c r="S496" i="82" s="1"/>
  <c r="R497" i="82"/>
  <c r="S497" i="82" s="1"/>
  <c r="R498" i="82"/>
  <c r="S498" i="82" s="1"/>
  <c r="R499" i="82"/>
  <c r="S499" i="82" s="1"/>
  <c r="R500" i="82"/>
  <c r="S500" i="82" s="1"/>
  <c r="R501" i="82"/>
  <c r="S501" i="82" s="1"/>
  <c r="R502" i="82"/>
  <c r="S502" i="82" s="1"/>
  <c r="R503" i="82"/>
  <c r="S503" i="82" s="1"/>
  <c r="R504" i="82"/>
  <c r="S504" i="82" s="1"/>
  <c r="R505" i="82"/>
  <c r="S505" i="82" s="1"/>
  <c r="R506" i="82"/>
  <c r="S506" i="82" s="1"/>
  <c r="R507" i="82"/>
  <c r="S507" i="82" s="1"/>
  <c r="R508" i="82"/>
  <c r="S508" i="82" s="1"/>
  <c r="R509" i="82"/>
  <c r="S509" i="82" s="1"/>
  <c r="R510" i="82"/>
  <c r="S510" i="82" s="1"/>
  <c r="R511" i="82"/>
  <c r="S511" i="82" s="1"/>
  <c r="R512" i="82"/>
  <c r="S512" i="82" s="1"/>
  <c r="R513" i="82"/>
  <c r="S513" i="82" s="1"/>
  <c r="R514" i="82"/>
  <c r="S514" i="82" s="1"/>
  <c r="R515" i="82"/>
  <c r="S515" i="82" s="1"/>
  <c r="R516" i="82"/>
  <c r="S516" i="82" s="1"/>
  <c r="R517" i="82"/>
  <c r="S517" i="82" s="1"/>
  <c r="R518" i="82"/>
  <c r="S518" i="82" s="1"/>
  <c r="R519" i="82"/>
  <c r="S519" i="82" s="1"/>
  <c r="R520" i="82"/>
  <c r="S520" i="82" s="1"/>
  <c r="R521" i="82"/>
  <c r="S521" i="82" s="1"/>
  <c r="R522" i="82"/>
  <c r="S522" i="82" s="1"/>
  <c r="R523" i="82"/>
  <c r="S523" i="82" s="1"/>
  <c r="R524" i="82"/>
  <c r="S524" i="82" s="1"/>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B22" i="82"/>
  <c r="G1" i="91"/>
  <c r="K8" i="1"/>
  <c r="AH8" i="1"/>
  <c r="F32" i="91"/>
  <c r="F33" i="91"/>
  <c r="L21" i="6"/>
  <c r="F34" i="91"/>
  <c r="M8" i="1"/>
  <c r="F15" i="91"/>
  <c r="F17" i="91"/>
  <c r="F18" i="91"/>
  <c r="F20" i="91"/>
  <c r="F23" i="91"/>
  <c r="F21" i="91"/>
  <c r="F28" i="91"/>
  <c r="Z8" i="1"/>
  <c r="M18" i="91"/>
  <c r="M19" i="91"/>
  <c r="M20" i="91"/>
  <c r="AD8" i="1"/>
  <c r="E15" i="4"/>
  <c r="F8" i="1"/>
  <c r="M47" i="91"/>
  <c r="J50" i="91"/>
  <c r="G1" i="15"/>
  <c r="K9" i="1"/>
  <c r="AH9" i="1" s="1"/>
  <c r="F32" i="15"/>
  <c r="F33" i="15"/>
  <c r="L22" i="6"/>
  <c r="F34" i="15"/>
  <c r="L7" i="1"/>
  <c r="L9" i="1"/>
  <c r="M9" i="1"/>
  <c r="F15" i="15"/>
  <c r="F17" i="15"/>
  <c r="F18" i="15"/>
  <c r="F20" i="15"/>
  <c r="F23" i="15"/>
  <c r="F21" i="15"/>
  <c r="F28" i="15"/>
  <c r="AL9" i="1"/>
  <c r="F9" i="1"/>
  <c r="M47" i="15"/>
  <c r="J50" i="15"/>
  <c r="B6" i="92"/>
  <c r="B7" i="92"/>
  <c r="B10" i="92"/>
  <c r="B11" i="92"/>
  <c r="B12" i="92"/>
  <c r="B13" i="92"/>
  <c r="A6" i="92"/>
  <c r="A7" i="92"/>
  <c r="A8" i="92"/>
  <c r="A9" i="92"/>
  <c r="A10" i="92"/>
  <c r="A11" i="92"/>
  <c r="A12" i="92"/>
  <c r="A13" i="92"/>
  <c r="E6" i="92"/>
  <c r="E7" i="92"/>
  <c r="E10" i="92"/>
  <c r="E11" i="92"/>
  <c r="E12" i="92"/>
  <c r="E13" i="92"/>
  <c r="C17" i="78"/>
  <c r="D17" i="78"/>
  <c r="C18" i="78"/>
  <c r="D18" i="78"/>
  <c r="G1" i="86"/>
  <c r="E9" i="86"/>
  <c r="K11" i="1"/>
  <c r="E10" i="86"/>
  <c r="D91" i="85"/>
  <c r="E91" i="85"/>
  <c r="F17" i="85"/>
  <c r="AA17" i="85"/>
  <c r="D93" i="85"/>
  <c r="E93" i="85"/>
  <c r="F19" i="85"/>
  <c r="AA19" i="85"/>
  <c r="D99" i="85"/>
  <c r="E99" i="85"/>
  <c r="F25" i="85"/>
  <c r="AA25" i="85"/>
  <c r="R46" i="85"/>
  <c r="E7" i="85"/>
  <c r="C7" i="85"/>
  <c r="C68" i="85"/>
  <c r="C70" i="85" s="1"/>
  <c r="D68" i="85"/>
  <c r="D70" i="85" s="1"/>
  <c r="E68" i="85"/>
  <c r="E70" i="85" s="1"/>
  <c r="F68" i="85"/>
  <c r="F70" i="85" s="1"/>
  <c r="G68" i="85"/>
  <c r="G70" i="85" s="1"/>
  <c r="H68" i="85"/>
  <c r="H70" i="85" s="1"/>
  <c r="I68" i="85"/>
  <c r="I70" i="85" s="1"/>
  <c r="J68" i="85"/>
  <c r="J70" i="85" s="1"/>
  <c r="K68" i="85"/>
  <c r="K70" i="85" s="1"/>
  <c r="L68" i="85"/>
  <c r="L70" i="85" s="1"/>
  <c r="M68" i="85"/>
  <c r="M70" i="85" s="1"/>
  <c r="N68" i="85"/>
  <c r="N70" i="85" s="1"/>
  <c r="O68" i="85"/>
  <c r="O70" i="85" s="1"/>
  <c r="B71" i="85"/>
  <c r="D71" i="85"/>
  <c r="F8" i="85"/>
  <c r="AA8" i="85"/>
  <c r="F9" i="85"/>
  <c r="AA9" i="85"/>
  <c r="F10" i="85"/>
  <c r="AA10" i="85" s="1"/>
  <c r="E11" i="85"/>
  <c r="F11" i="85" s="1"/>
  <c r="D81" i="85"/>
  <c r="E81" i="85"/>
  <c r="F81" i="85"/>
  <c r="I5" i="3"/>
  <c r="K5" i="3"/>
  <c r="O5" i="3"/>
  <c r="AD5" i="3"/>
  <c r="J5" i="3"/>
  <c r="L5" i="3"/>
  <c r="M5" i="3"/>
  <c r="N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I4" i="6"/>
  <c r="C11" i="85"/>
  <c r="B82" i="85"/>
  <c r="F12" i="85"/>
  <c r="AA12" i="85"/>
  <c r="B84" i="85"/>
  <c r="F13" i="85"/>
  <c r="AA13" i="85"/>
  <c r="B86" i="85"/>
  <c r="F14" i="85"/>
  <c r="AA14" i="85"/>
  <c r="F15" i="85"/>
  <c r="AA15" i="85"/>
  <c r="D95" i="85"/>
  <c r="E95" i="85"/>
  <c r="F21" i="85"/>
  <c r="AA21" i="85"/>
  <c r="D97" i="85"/>
  <c r="F23" i="85"/>
  <c r="AA23"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C118" i="85"/>
  <c r="D118" i="85"/>
  <c r="E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H17" i="85"/>
  <c r="AB17" i="85"/>
  <c r="H19" i="85"/>
  <c r="AB19" i="85"/>
  <c r="H25" i="85"/>
  <c r="AB25" i="85"/>
  <c r="T46" i="85"/>
  <c r="G7" i="85"/>
  <c r="H8" i="85"/>
  <c r="AB8" i="85"/>
  <c r="H9" i="85"/>
  <c r="AB9" i="85"/>
  <c r="H10" i="85"/>
  <c r="AB10" i="85" s="1"/>
  <c r="G11" i="85"/>
  <c r="H11" i="85" s="1"/>
  <c r="H12" i="85"/>
  <c r="AB12" i="85"/>
  <c r="H13" i="85"/>
  <c r="AB13" i="85"/>
  <c r="H14" i="85"/>
  <c r="AB14" i="85"/>
  <c r="H15" i="85"/>
  <c r="AB15" i="85"/>
  <c r="H21" i="85"/>
  <c r="AB21" i="85"/>
  <c r="H23" i="85"/>
  <c r="AB23"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J17" i="85"/>
  <c r="AC17" i="85"/>
  <c r="J19" i="85"/>
  <c r="AC19" i="85"/>
  <c r="J25" i="85"/>
  <c r="AC25" i="85"/>
  <c r="V46" i="85"/>
  <c r="I7" i="85"/>
  <c r="J7" i="85" s="1"/>
  <c r="J8" i="85"/>
  <c r="AC8" i="85"/>
  <c r="J9" i="85"/>
  <c r="AC9" i="85"/>
  <c r="J10" i="85"/>
  <c r="AC10" i="85"/>
  <c r="I11" i="85"/>
  <c r="J11" i="85"/>
  <c r="AC11" i="85" s="1"/>
  <c r="J12" i="85"/>
  <c r="AC12" i="85"/>
  <c r="J13" i="85"/>
  <c r="AC13" i="85"/>
  <c r="J14" i="85"/>
  <c r="AC14" i="85"/>
  <c r="J15" i="85"/>
  <c r="AC15" i="85"/>
  <c r="J21" i="85"/>
  <c r="AC21" i="85"/>
  <c r="J23" i="85"/>
  <c r="AC23" i="85"/>
  <c r="J27" i="85"/>
  <c r="AC27" i="85"/>
  <c r="J29" i="85"/>
  <c r="AC29" i="85"/>
  <c r="J31" i="85"/>
  <c r="AC31" i="85"/>
  <c r="J32" i="85"/>
  <c r="AC32"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F7" i="86"/>
  <c r="C19" i="86"/>
  <c r="F20" i="86"/>
  <c r="B23" i="1"/>
  <c r="F21" i="86"/>
  <c r="C21" i="86"/>
  <c r="F30" i="86"/>
  <c r="B24" i="1"/>
  <c r="F34" i="86"/>
  <c r="M11" i="1"/>
  <c r="F35" i="86"/>
  <c r="E37" i="86"/>
  <c r="F38" i="86"/>
  <c r="C40" i="86"/>
  <c r="K6" i="1"/>
  <c r="M6" i="1"/>
  <c r="K7" i="1"/>
  <c r="M7" i="1"/>
  <c r="K12" i="1"/>
  <c r="M12" i="1" s="1"/>
  <c r="K13" i="1"/>
  <c r="M13" i="1" s="1"/>
  <c r="K14" i="1"/>
  <c r="M14" i="1" s="1"/>
  <c r="N7" i="1"/>
  <c r="G1" i="79"/>
  <c r="E26" i="66"/>
  <c r="U11" i="1"/>
  <c r="F32" i="79"/>
  <c r="F15" i="79"/>
  <c r="F17" i="79"/>
  <c r="F18" i="79"/>
  <c r="F20" i="79"/>
  <c r="F23" i="79"/>
  <c r="F21" i="79"/>
  <c r="F28" i="79"/>
  <c r="F33" i="79"/>
  <c r="L24" i="6"/>
  <c r="F34" i="79"/>
  <c r="AL11" i="1"/>
  <c r="F11" i="1"/>
  <c r="M47" i="79"/>
  <c r="J50" i="79"/>
  <c r="C17" i="80"/>
  <c r="D17" i="80"/>
  <c r="C18" i="80" s="1"/>
  <c r="D18" i="80" s="1"/>
  <c r="G172" i="94"/>
  <c r="B156" i="94"/>
  <c r="C168" i="94"/>
  <c r="E168" i="94"/>
  <c r="B159" i="94"/>
  <c r="C171" i="94"/>
  <c r="E171" i="94"/>
  <c r="E172" i="94"/>
  <c r="D172" i="94"/>
  <c r="B157" i="94"/>
  <c r="C169" i="94"/>
  <c r="B158" i="94"/>
  <c r="C170" i="94"/>
  <c r="C172" i="94"/>
  <c r="I171" i="94"/>
  <c r="I170" i="94"/>
  <c r="I169" i="94"/>
  <c r="D160" i="94"/>
  <c r="D161" i="94"/>
  <c r="B163" i="94"/>
  <c r="D162" i="94"/>
  <c r="D163" i="94"/>
  <c r="D164" i="94"/>
  <c r="B160" i="94"/>
  <c r="B161" i="94"/>
  <c r="B162" i="94"/>
  <c r="B164" i="94"/>
  <c r="I152" i="94"/>
  <c r="I116" i="94"/>
  <c r="I15" i="94"/>
  <c r="I153" i="94"/>
  <c r="C24" i="88"/>
  <c r="G118" i="85"/>
  <c r="G41" i="93"/>
  <c r="F38" i="93"/>
  <c r="E37" i="93"/>
  <c r="F36" i="93"/>
  <c r="F35" i="93"/>
  <c r="F34" i="93"/>
  <c r="F30" i="93"/>
  <c r="G22" i="93"/>
  <c r="F21" i="93"/>
  <c r="C21" i="93"/>
  <c r="F20" i="93"/>
  <c r="B31" i="1"/>
  <c r="E19" i="93"/>
  <c r="C19" i="93"/>
  <c r="E10" i="93"/>
  <c r="E9" i="93"/>
  <c r="F7" i="93"/>
  <c r="G1" i="93"/>
  <c r="C40" i="93"/>
  <c r="A8" i="70"/>
  <c r="A9" i="70"/>
  <c r="A10" i="70"/>
  <c r="A11" i="70"/>
  <c r="A12" i="70"/>
  <c r="A13" i="70"/>
  <c r="Q72" i="91"/>
  <c r="Q59" i="91"/>
  <c r="K59" i="91"/>
  <c r="P74" i="91"/>
  <c r="F59" i="91"/>
  <c r="Q58" i="91"/>
  <c r="Q51" i="91"/>
  <c r="D46" i="91"/>
  <c r="F62" i="91"/>
  <c r="F61" i="91"/>
  <c r="F60" i="91"/>
  <c r="F31" i="91"/>
  <c r="D23" i="91"/>
  <c r="M17" i="91"/>
  <c r="Q72" i="90"/>
  <c r="Q59" i="90"/>
  <c r="K59" i="90"/>
  <c r="P74" i="90"/>
  <c r="F59" i="90"/>
  <c r="Q58" i="90"/>
  <c r="Q51" i="90"/>
  <c r="J50" i="90"/>
  <c r="M47" i="90"/>
  <c r="D46" i="90"/>
  <c r="F34" i="90"/>
  <c r="F62" i="90"/>
  <c r="F33" i="90"/>
  <c r="F61" i="90"/>
  <c r="F32" i="90"/>
  <c r="F60" i="90"/>
  <c r="F31" i="90"/>
  <c r="F28" i="90"/>
  <c r="F23" i="90"/>
  <c r="D23" i="90"/>
  <c r="F21" i="90"/>
  <c r="M20" i="90"/>
  <c r="F20" i="90"/>
  <c r="M19" i="90"/>
  <c r="M18" i="90"/>
  <c r="F18" i="90"/>
  <c r="M17" i="90"/>
  <c r="F17" i="90"/>
  <c r="F15" i="90"/>
  <c r="G1" i="90"/>
  <c r="D24" i="91"/>
  <c r="P61" i="91"/>
  <c r="D22" i="91"/>
  <c r="P61" i="90"/>
  <c r="D24" i="90"/>
  <c r="D22" i="90"/>
  <c r="D8" i="1"/>
  <c r="D7" i="1"/>
  <c r="AG7" i="1"/>
  <c r="D169" i="83"/>
  <c r="I21" i="66"/>
  <c r="N14" i="66"/>
  <c r="N15" i="66"/>
  <c r="B153" i="83"/>
  <c r="B158" i="83"/>
  <c r="G169" i="89"/>
  <c r="I150" i="89"/>
  <c r="D89" i="9"/>
  <c r="C89" i="9"/>
  <c r="C87" i="9"/>
  <c r="C91" i="9"/>
  <c r="C94" i="9"/>
  <c r="D169" i="89"/>
  <c r="I168" i="89"/>
  <c r="I167" i="89"/>
  <c r="I166" i="89"/>
  <c r="B160" i="89"/>
  <c r="B159" i="89"/>
  <c r="B158" i="89"/>
  <c r="B157" i="89"/>
  <c r="B156" i="89"/>
  <c r="C168" i="89"/>
  <c r="E168" i="89"/>
  <c r="B155" i="89"/>
  <c r="C167" i="89"/>
  <c r="B154" i="89"/>
  <c r="C166" i="89"/>
  <c r="B153" i="89"/>
  <c r="B161" i="89"/>
  <c r="C165" i="89"/>
  <c r="I169" i="89"/>
  <c r="C169" i="89"/>
  <c r="E165" i="89"/>
  <c r="E169" i="89"/>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L4" i="88"/>
  <c r="K4" i="88"/>
  <c r="A2" i="88"/>
  <c r="H1" i="88"/>
  <c r="Q72" i="87"/>
  <c r="Q59" i="87"/>
  <c r="K59" i="87"/>
  <c r="P74" i="87"/>
  <c r="F59" i="87"/>
  <c r="Q58" i="87"/>
  <c r="Q51" i="87"/>
  <c r="D46" i="87"/>
  <c r="F62" i="87"/>
  <c r="F61" i="87"/>
  <c r="F60" i="87"/>
  <c r="F31" i="87"/>
  <c r="D24" i="87"/>
  <c r="M20" i="87"/>
  <c r="M19" i="87"/>
  <c r="M18" i="87"/>
  <c r="M17" i="87"/>
  <c r="D22" i="87"/>
  <c r="D23" i="87"/>
  <c r="C92" i="88"/>
  <c r="C94" i="88"/>
  <c r="K120" i="88"/>
  <c r="D121" i="88"/>
  <c r="P61" i="87"/>
  <c r="H109" i="88"/>
  <c r="H112" i="88"/>
  <c r="C165" i="83"/>
  <c r="B156" i="83"/>
  <c r="B155" i="83"/>
  <c r="B154" i="83"/>
  <c r="G41" i="86"/>
  <c r="F36" i="86"/>
  <c r="G22" i="86"/>
  <c r="E19"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c r="C59" i="85" s="1"/>
  <c r="H58" i="85"/>
  <c r="I58" i="85" s="1"/>
  <c r="C58" i="85" s="1"/>
  <c r="H57" i="85"/>
  <c r="I57" i="85"/>
  <c r="C57" i="85" s="1"/>
  <c r="E56" i="85"/>
  <c r="E66" i="85" s="1"/>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S15" i="85"/>
  <c r="W15" i="85"/>
  <c r="S17" i="85"/>
  <c r="W17" i="85"/>
  <c r="S19" i="85"/>
  <c r="W19" i="85"/>
  <c r="S21" i="85"/>
  <c r="W23" i="85"/>
  <c r="S9" i="85"/>
  <c r="W9"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B25" i="31"/>
  <c r="B26" i="31"/>
  <c r="B27" i="31"/>
  <c r="B28" i="31"/>
  <c r="B29" i="31"/>
  <c r="B30" i="31"/>
  <c r="B31" i="31"/>
  <c r="B32" i="31"/>
  <c r="B33" i="31"/>
  <c r="B24" i="31"/>
  <c r="A25" i="31"/>
  <c r="A26" i="31"/>
  <c r="A27" i="31"/>
  <c r="A28" i="31"/>
  <c r="A29" i="31"/>
  <c r="A30" i="31"/>
  <c r="A31" i="31"/>
  <c r="A32" i="31"/>
  <c r="A33" i="31"/>
  <c r="A24" i="31"/>
  <c r="C33" i="33"/>
  <c r="I167" i="83"/>
  <c r="I168" i="83"/>
  <c r="I166" i="83"/>
  <c r="L169" i="83"/>
  <c r="E165" i="83"/>
  <c r="C168" i="83"/>
  <c r="E168" i="83"/>
  <c r="M169" i="83"/>
  <c r="C166" i="83"/>
  <c r="C167" i="83"/>
  <c r="I169" i="83"/>
  <c r="B161" i="83"/>
  <c r="G169" i="83"/>
  <c r="B7" i="4"/>
  <c r="I150" i="83"/>
  <c r="B2" i="74"/>
  <c r="E169" i="83"/>
  <c r="C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4" i="82"/>
  <c r="E4" i="82"/>
  <c r="F4" i="82"/>
  <c r="G4" i="82"/>
  <c r="H4" i="82"/>
  <c r="I4" i="82"/>
  <c r="O524" i="82"/>
  <c r="M524" i="82"/>
  <c r="K524" i="82"/>
  <c r="C524" i="82"/>
  <c r="O523" i="82"/>
  <c r="M523" i="82"/>
  <c r="K523" i="82"/>
  <c r="C523" i="82"/>
  <c r="O522" i="82"/>
  <c r="M522" i="82"/>
  <c r="K522" i="82"/>
  <c r="C522" i="82"/>
  <c r="O521" i="82"/>
  <c r="M521" i="82"/>
  <c r="K521" i="82"/>
  <c r="C521" i="82"/>
  <c r="O520" i="82"/>
  <c r="M520" i="82"/>
  <c r="K520" i="82"/>
  <c r="C520" i="82"/>
  <c r="O519" i="82"/>
  <c r="M519" i="82"/>
  <c r="K519" i="82"/>
  <c r="C519" i="82"/>
  <c r="O518" i="82"/>
  <c r="M518" i="82"/>
  <c r="K518" i="82"/>
  <c r="C518" i="82"/>
  <c r="O517" i="82"/>
  <c r="M517" i="82"/>
  <c r="K517" i="82"/>
  <c r="C517" i="82"/>
  <c r="O516" i="82"/>
  <c r="M516" i="82"/>
  <c r="K516" i="82"/>
  <c r="C516" i="82"/>
  <c r="O515" i="82"/>
  <c r="M515" i="82"/>
  <c r="K515" i="82"/>
  <c r="C515" i="82"/>
  <c r="O514" i="82"/>
  <c r="M514" i="82"/>
  <c r="K514" i="82"/>
  <c r="C514" i="82"/>
  <c r="O513" i="82"/>
  <c r="M513" i="82"/>
  <c r="K513" i="82"/>
  <c r="C513" i="82"/>
  <c r="O512" i="82"/>
  <c r="M512" i="82"/>
  <c r="K512" i="82"/>
  <c r="C512" i="82"/>
  <c r="O511" i="82"/>
  <c r="M511" i="82"/>
  <c r="K511" i="82"/>
  <c r="C511" i="82"/>
  <c r="O510" i="82"/>
  <c r="M510" i="82"/>
  <c r="K510" i="82"/>
  <c r="C510" i="82"/>
  <c r="O509" i="82"/>
  <c r="M509" i="82"/>
  <c r="K509" i="82"/>
  <c r="C509" i="82"/>
  <c r="O508" i="82"/>
  <c r="M508" i="82"/>
  <c r="K508" i="82"/>
  <c r="C508" i="82"/>
  <c r="O507" i="82"/>
  <c r="M507" i="82"/>
  <c r="K507" i="82"/>
  <c r="C507" i="82"/>
  <c r="O506" i="82"/>
  <c r="M506" i="82"/>
  <c r="K506" i="82"/>
  <c r="C506" i="82"/>
  <c r="O505" i="82"/>
  <c r="M505" i="82"/>
  <c r="K505" i="82"/>
  <c r="C505" i="82"/>
  <c r="O504" i="82"/>
  <c r="M504" i="82"/>
  <c r="K504" i="82"/>
  <c r="C504" i="82"/>
  <c r="O503" i="82"/>
  <c r="M503" i="82"/>
  <c r="K503" i="82"/>
  <c r="C503" i="82"/>
  <c r="O502" i="82"/>
  <c r="M502" i="82"/>
  <c r="K502" i="82"/>
  <c r="C502" i="82"/>
  <c r="O501" i="82"/>
  <c r="M501" i="82"/>
  <c r="K501" i="82"/>
  <c r="C501" i="82"/>
  <c r="O500" i="82"/>
  <c r="M500" i="82"/>
  <c r="K500" i="82"/>
  <c r="C500" i="82"/>
  <c r="O499" i="82"/>
  <c r="M499" i="82"/>
  <c r="K499" i="82"/>
  <c r="C499" i="82"/>
  <c r="O498" i="82"/>
  <c r="M498" i="82"/>
  <c r="K498" i="82"/>
  <c r="C498" i="82"/>
  <c r="O497" i="82"/>
  <c r="M497" i="82"/>
  <c r="K497" i="82"/>
  <c r="C497" i="82"/>
  <c r="O496" i="82"/>
  <c r="M496" i="82"/>
  <c r="K496" i="82"/>
  <c r="C496" i="82"/>
  <c r="O495" i="82"/>
  <c r="M495" i="82"/>
  <c r="K495" i="82"/>
  <c r="C495" i="82"/>
  <c r="O494" i="82"/>
  <c r="M494" i="82"/>
  <c r="K494" i="82"/>
  <c r="C494" i="82"/>
  <c r="O493" i="82"/>
  <c r="M493" i="82"/>
  <c r="K493" i="82"/>
  <c r="C493" i="82"/>
  <c r="O492" i="82"/>
  <c r="M492" i="82"/>
  <c r="K492" i="82"/>
  <c r="C492" i="82"/>
  <c r="O491" i="82"/>
  <c r="M491" i="82"/>
  <c r="K491" i="82"/>
  <c r="C491" i="82"/>
  <c r="O490" i="82"/>
  <c r="M490" i="82"/>
  <c r="K490" i="82"/>
  <c r="C490" i="82"/>
  <c r="O489" i="82"/>
  <c r="M489" i="82"/>
  <c r="K489" i="82"/>
  <c r="C489" i="82"/>
  <c r="O488" i="82"/>
  <c r="M488" i="82"/>
  <c r="K488" i="82"/>
  <c r="C488" i="82"/>
  <c r="O487" i="82"/>
  <c r="M487" i="82"/>
  <c r="K487" i="82"/>
  <c r="C487" i="82"/>
  <c r="O486" i="82"/>
  <c r="M486" i="82"/>
  <c r="K486" i="82"/>
  <c r="C486" i="82"/>
  <c r="O485" i="82"/>
  <c r="M485" i="82"/>
  <c r="K485" i="82"/>
  <c r="C485" i="82"/>
  <c r="O484" i="82"/>
  <c r="M484" i="82"/>
  <c r="K484" i="82"/>
  <c r="C484" i="82"/>
  <c r="O483" i="82"/>
  <c r="M483" i="82"/>
  <c r="K483" i="82"/>
  <c r="C483" i="82"/>
  <c r="O482" i="82"/>
  <c r="M482" i="82"/>
  <c r="K482" i="82"/>
  <c r="C482" i="82"/>
  <c r="O481" i="82"/>
  <c r="M481" i="82"/>
  <c r="K481" i="82"/>
  <c r="C481" i="82"/>
  <c r="O480" i="82"/>
  <c r="M480" i="82"/>
  <c r="K480" i="82"/>
  <c r="C480" i="82"/>
  <c r="O479" i="82"/>
  <c r="M479" i="82"/>
  <c r="K479" i="82"/>
  <c r="C479" i="82"/>
  <c r="O478" i="82"/>
  <c r="M478" i="82"/>
  <c r="K478" i="82"/>
  <c r="C478" i="82"/>
  <c r="O477" i="82"/>
  <c r="M477" i="82"/>
  <c r="K477" i="82"/>
  <c r="C477" i="82"/>
  <c r="O476" i="82"/>
  <c r="M476" i="82"/>
  <c r="K476" i="82"/>
  <c r="C476" i="82"/>
  <c r="O475" i="82"/>
  <c r="M475" i="82"/>
  <c r="K475" i="82"/>
  <c r="C475" i="82"/>
  <c r="O474" i="82"/>
  <c r="M474" i="82"/>
  <c r="K474" i="82"/>
  <c r="C474" i="82"/>
  <c r="O473" i="82"/>
  <c r="M473" i="82"/>
  <c r="K473" i="82"/>
  <c r="C473" i="82"/>
  <c r="O472" i="82"/>
  <c r="M472" i="82"/>
  <c r="K472" i="82"/>
  <c r="C472" i="82"/>
  <c r="O471" i="82"/>
  <c r="M471" i="82"/>
  <c r="K471" i="82"/>
  <c r="C471" i="82"/>
  <c r="O470" i="82"/>
  <c r="M470" i="82"/>
  <c r="K470" i="82"/>
  <c r="C470" i="82"/>
  <c r="O469" i="82"/>
  <c r="M469" i="82"/>
  <c r="K469" i="82"/>
  <c r="C469" i="82"/>
  <c r="O468" i="82"/>
  <c r="M468" i="82"/>
  <c r="K468" i="82"/>
  <c r="C468" i="82"/>
  <c r="O467" i="82"/>
  <c r="M467" i="82"/>
  <c r="K467" i="82"/>
  <c r="C467" i="82"/>
  <c r="O466" i="82"/>
  <c r="M466" i="82"/>
  <c r="K466" i="82"/>
  <c r="C466" i="82"/>
  <c r="O465" i="82"/>
  <c r="M465" i="82"/>
  <c r="K465" i="82"/>
  <c r="C465" i="82"/>
  <c r="O464" i="82"/>
  <c r="M464" i="82"/>
  <c r="K464" i="82"/>
  <c r="C464" i="82"/>
  <c r="O463" i="82"/>
  <c r="M463" i="82"/>
  <c r="K463" i="82"/>
  <c r="C463" i="82"/>
  <c r="O462" i="82"/>
  <c r="M462" i="82"/>
  <c r="K462" i="82"/>
  <c r="C462" i="82"/>
  <c r="O461" i="82"/>
  <c r="M461" i="82"/>
  <c r="K461" i="82"/>
  <c r="C461" i="82"/>
  <c r="O460" i="82"/>
  <c r="M460" i="82"/>
  <c r="K460" i="82"/>
  <c r="C460" i="82"/>
  <c r="O459" i="82"/>
  <c r="M459" i="82"/>
  <c r="K459" i="82"/>
  <c r="C459" i="82"/>
  <c r="O458" i="82"/>
  <c r="M458" i="82"/>
  <c r="K458" i="82"/>
  <c r="C458" i="82"/>
  <c r="O457" i="82"/>
  <c r="M457" i="82"/>
  <c r="K457" i="82"/>
  <c r="C457" i="82"/>
  <c r="O456" i="82"/>
  <c r="M456" i="82"/>
  <c r="K456" i="82"/>
  <c r="C456" i="82"/>
  <c r="O455" i="82"/>
  <c r="M455" i="82"/>
  <c r="K455" i="82"/>
  <c r="C455" i="82"/>
  <c r="O454" i="82"/>
  <c r="M454" i="82"/>
  <c r="K454" i="82"/>
  <c r="C454" i="82"/>
  <c r="O453" i="82"/>
  <c r="M453" i="82"/>
  <c r="K453" i="82"/>
  <c r="C453" i="82"/>
  <c r="O452" i="82"/>
  <c r="M452" i="82"/>
  <c r="K452" i="82"/>
  <c r="C452" i="82"/>
  <c r="O451" i="82"/>
  <c r="M451" i="82"/>
  <c r="K451" i="82"/>
  <c r="C451" i="82"/>
  <c r="O450" i="82"/>
  <c r="M450" i="82"/>
  <c r="K450" i="82"/>
  <c r="C450" i="82"/>
  <c r="O449" i="82"/>
  <c r="M449" i="82"/>
  <c r="K449" i="82"/>
  <c r="C449" i="82"/>
  <c r="O448" i="82"/>
  <c r="M448" i="82"/>
  <c r="K448" i="82"/>
  <c r="C448" i="82"/>
  <c r="O447" i="82"/>
  <c r="M447" i="82"/>
  <c r="K447" i="82"/>
  <c r="C447" i="82"/>
  <c r="O446" i="82"/>
  <c r="M446" i="82"/>
  <c r="K446" i="82"/>
  <c r="C446" i="82"/>
  <c r="O445" i="82"/>
  <c r="M445" i="82"/>
  <c r="K445" i="82"/>
  <c r="C445" i="82"/>
  <c r="O444" i="82"/>
  <c r="M444" i="82"/>
  <c r="K444" i="82"/>
  <c r="C444" i="82"/>
  <c r="O443" i="82"/>
  <c r="M443" i="82"/>
  <c r="K443" i="82"/>
  <c r="C443" i="82"/>
  <c r="O442" i="82"/>
  <c r="M442" i="82"/>
  <c r="K442" i="82"/>
  <c r="C442" i="82"/>
  <c r="O441" i="82"/>
  <c r="M441" i="82"/>
  <c r="K441" i="82"/>
  <c r="C441" i="82"/>
  <c r="O440" i="82"/>
  <c r="M440" i="82"/>
  <c r="K440" i="82"/>
  <c r="C440" i="82"/>
  <c r="O439" i="82"/>
  <c r="M439" i="82"/>
  <c r="K439" i="82"/>
  <c r="C439" i="82"/>
  <c r="O438" i="82"/>
  <c r="M438" i="82"/>
  <c r="K438" i="82"/>
  <c r="C438" i="82"/>
  <c r="O437" i="82"/>
  <c r="M437" i="82"/>
  <c r="K437" i="82"/>
  <c r="C437" i="82"/>
  <c r="O436" i="82"/>
  <c r="M436" i="82"/>
  <c r="K436" i="82"/>
  <c r="C436" i="82"/>
  <c r="O435" i="82"/>
  <c r="M435" i="82"/>
  <c r="K435" i="82"/>
  <c r="C435" i="82"/>
  <c r="O434" i="82"/>
  <c r="M434" i="82"/>
  <c r="K434" i="82"/>
  <c r="C434" i="82"/>
  <c r="O433" i="82"/>
  <c r="M433" i="82"/>
  <c r="K433" i="82"/>
  <c r="C433" i="82"/>
  <c r="O432" i="82"/>
  <c r="M432" i="82"/>
  <c r="K432" i="82"/>
  <c r="C432" i="82"/>
  <c r="O431" i="82"/>
  <c r="M431" i="82"/>
  <c r="K431" i="82"/>
  <c r="C431" i="82"/>
  <c r="O430" i="82"/>
  <c r="M430" i="82"/>
  <c r="K430" i="82"/>
  <c r="C430" i="82"/>
  <c r="O429" i="82"/>
  <c r="M429" i="82"/>
  <c r="K429" i="82"/>
  <c r="C429" i="82"/>
  <c r="O428" i="82"/>
  <c r="M428" i="82"/>
  <c r="K428" i="82"/>
  <c r="C428" i="82"/>
  <c r="O427" i="82"/>
  <c r="M427" i="82"/>
  <c r="K427" i="82"/>
  <c r="C427" i="82"/>
  <c r="O426" i="82"/>
  <c r="M426" i="82"/>
  <c r="K426" i="82"/>
  <c r="C426" i="82"/>
  <c r="O425" i="82"/>
  <c r="M425" i="82"/>
  <c r="K425" i="82"/>
  <c r="C425" i="82"/>
  <c r="O424" i="82"/>
  <c r="M424" i="82"/>
  <c r="K424" i="82"/>
  <c r="C424" i="82"/>
  <c r="O423" i="82"/>
  <c r="M423" i="82"/>
  <c r="K423" i="82"/>
  <c r="C423" i="82"/>
  <c r="O422" i="82"/>
  <c r="M422" i="82"/>
  <c r="K422" i="82"/>
  <c r="C422" i="82"/>
  <c r="O421" i="82"/>
  <c r="M421" i="82"/>
  <c r="K421" i="82"/>
  <c r="C421" i="82"/>
  <c r="O420" i="82"/>
  <c r="M420" i="82"/>
  <c r="K420" i="82"/>
  <c r="C420" i="82"/>
  <c r="O419" i="82"/>
  <c r="M419" i="82"/>
  <c r="K419" i="82"/>
  <c r="C419" i="82"/>
  <c r="O418" i="82"/>
  <c r="M418" i="82"/>
  <c r="K418" i="82"/>
  <c r="C418" i="82"/>
  <c r="O417" i="82"/>
  <c r="M417" i="82"/>
  <c r="K417" i="82"/>
  <c r="C417" i="82"/>
  <c r="O416" i="82"/>
  <c r="M416" i="82"/>
  <c r="K416" i="82"/>
  <c r="C416" i="82"/>
  <c r="O415" i="82"/>
  <c r="M415" i="82"/>
  <c r="K415" i="82"/>
  <c r="C415" i="82"/>
  <c r="O414" i="82"/>
  <c r="M414" i="82"/>
  <c r="K414" i="82"/>
  <c r="C414" i="82"/>
  <c r="O413" i="82"/>
  <c r="M413" i="82"/>
  <c r="K413" i="82"/>
  <c r="C413" i="82"/>
  <c r="O412" i="82"/>
  <c r="M412" i="82"/>
  <c r="K412" i="82"/>
  <c r="C412" i="82"/>
  <c r="O411" i="82"/>
  <c r="M411" i="82"/>
  <c r="K411" i="82"/>
  <c r="C411" i="82"/>
  <c r="O410" i="82"/>
  <c r="M410" i="82"/>
  <c r="K410" i="82"/>
  <c r="C410" i="82"/>
  <c r="O409" i="82"/>
  <c r="M409" i="82"/>
  <c r="K409" i="82"/>
  <c r="C409" i="82"/>
  <c r="O408" i="82"/>
  <c r="M408" i="82"/>
  <c r="K408" i="82"/>
  <c r="C408" i="82"/>
  <c r="O407" i="82"/>
  <c r="M407" i="82"/>
  <c r="K407" i="82"/>
  <c r="C407" i="82"/>
  <c r="O406" i="82"/>
  <c r="M406" i="82"/>
  <c r="K406" i="82"/>
  <c r="C406" i="82"/>
  <c r="O405" i="82"/>
  <c r="M405" i="82"/>
  <c r="K405" i="82"/>
  <c r="C405" i="82"/>
  <c r="O404" i="82"/>
  <c r="M404" i="82"/>
  <c r="K404" i="82"/>
  <c r="C404" i="82"/>
  <c r="O403" i="82"/>
  <c r="M403" i="82"/>
  <c r="K403" i="82"/>
  <c r="C403" i="82"/>
  <c r="O402" i="82"/>
  <c r="M402" i="82"/>
  <c r="K402" i="82"/>
  <c r="C402" i="82"/>
  <c r="O401" i="82"/>
  <c r="M401" i="82"/>
  <c r="K401" i="82"/>
  <c r="C401" i="82"/>
  <c r="O400" i="82"/>
  <c r="M400" i="82"/>
  <c r="K400" i="82"/>
  <c r="C400" i="82"/>
  <c r="O399" i="82"/>
  <c r="M399" i="82"/>
  <c r="K399" i="82"/>
  <c r="C399" i="82"/>
  <c r="O398" i="82"/>
  <c r="M398" i="82"/>
  <c r="K398" i="82"/>
  <c r="C398" i="82"/>
  <c r="O397" i="82"/>
  <c r="M397" i="82"/>
  <c r="K397" i="82"/>
  <c r="C397" i="82"/>
  <c r="O396" i="82"/>
  <c r="M396" i="82"/>
  <c r="K396" i="82"/>
  <c r="C396" i="82"/>
  <c r="O395" i="82"/>
  <c r="M395" i="82"/>
  <c r="K395" i="82"/>
  <c r="C395" i="82"/>
  <c r="O394" i="82"/>
  <c r="M394" i="82"/>
  <c r="K394" i="82"/>
  <c r="C394" i="82"/>
  <c r="O393" i="82"/>
  <c r="M393" i="82"/>
  <c r="K393" i="82"/>
  <c r="C393" i="82"/>
  <c r="O392" i="82"/>
  <c r="M392" i="82"/>
  <c r="K392" i="82"/>
  <c r="C392" i="82"/>
  <c r="O391" i="82"/>
  <c r="M391" i="82"/>
  <c r="K391" i="82"/>
  <c r="C391" i="82"/>
  <c r="O390" i="82"/>
  <c r="M390" i="82"/>
  <c r="K390" i="82"/>
  <c r="C390" i="82"/>
  <c r="O389" i="82"/>
  <c r="M389" i="82"/>
  <c r="K389" i="82"/>
  <c r="C389" i="82"/>
  <c r="O388" i="82"/>
  <c r="M388" i="82"/>
  <c r="K388" i="82"/>
  <c r="C388" i="82"/>
  <c r="O387" i="82"/>
  <c r="M387" i="82"/>
  <c r="K387" i="82"/>
  <c r="C387" i="82"/>
  <c r="O386" i="82"/>
  <c r="M386" i="82"/>
  <c r="K386" i="82"/>
  <c r="C386" i="82"/>
  <c r="O385" i="82"/>
  <c r="M385" i="82"/>
  <c r="K385" i="82"/>
  <c r="C385" i="82"/>
  <c r="O384" i="82"/>
  <c r="M384" i="82"/>
  <c r="K384" i="82"/>
  <c r="C384" i="82"/>
  <c r="O383" i="82"/>
  <c r="M383" i="82"/>
  <c r="K383" i="82"/>
  <c r="C383" i="82"/>
  <c r="O382" i="82"/>
  <c r="M382" i="82"/>
  <c r="K382" i="82"/>
  <c r="C382" i="82"/>
  <c r="O381" i="82"/>
  <c r="M381" i="82"/>
  <c r="K381" i="82"/>
  <c r="C381" i="82"/>
  <c r="O380" i="82"/>
  <c r="M380" i="82"/>
  <c r="K380" i="82"/>
  <c r="C380" i="82"/>
  <c r="O379" i="82"/>
  <c r="M379" i="82"/>
  <c r="K379" i="82"/>
  <c r="C379" i="82"/>
  <c r="O378" i="82"/>
  <c r="M378" i="82"/>
  <c r="K378" i="82"/>
  <c r="C378" i="82"/>
  <c r="O377" i="82"/>
  <c r="M377" i="82"/>
  <c r="K377" i="82"/>
  <c r="C377" i="82"/>
  <c r="O376" i="82"/>
  <c r="M376" i="82"/>
  <c r="K376" i="82"/>
  <c r="C376" i="82"/>
  <c r="O375" i="82"/>
  <c r="M375" i="82"/>
  <c r="K375" i="82"/>
  <c r="C375" i="82"/>
  <c r="O374" i="82"/>
  <c r="M374" i="82"/>
  <c r="K374" i="82"/>
  <c r="C374" i="82"/>
  <c r="O373" i="82"/>
  <c r="M373" i="82"/>
  <c r="K373" i="82"/>
  <c r="C373" i="82"/>
  <c r="O372" i="82"/>
  <c r="M372" i="82"/>
  <c r="K372" i="82"/>
  <c r="C372" i="82"/>
  <c r="O371" i="82"/>
  <c r="M371" i="82"/>
  <c r="K371" i="82"/>
  <c r="C371" i="82"/>
  <c r="O370" i="82"/>
  <c r="M370" i="82"/>
  <c r="K370" i="82"/>
  <c r="C370" i="82"/>
  <c r="O369" i="82"/>
  <c r="M369" i="82"/>
  <c r="K369" i="82"/>
  <c r="C369" i="82"/>
  <c r="O368" i="82"/>
  <c r="M368" i="82"/>
  <c r="K368" i="82"/>
  <c r="C368" i="82"/>
  <c r="O367" i="82"/>
  <c r="M367" i="82"/>
  <c r="K367" i="82"/>
  <c r="C367" i="82"/>
  <c r="O366" i="82"/>
  <c r="M366" i="82"/>
  <c r="K366" i="82"/>
  <c r="C366" i="82"/>
  <c r="O365" i="82"/>
  <c r="M365" i="82"/>
  <c r="K365" i="82"/>
  <c r="C365" i="82"/>
  <c r="O364" i="82"/>
  <c r="M364" i="82"/>
  <c r="K364" i="82"/>
  <c r="C364" i="82"/>
  <c r="O363" i="82"/>
  <c r="M363" i="82"/>
  <c r="K363" i="82"/>
  <c r="C363" i="82"/>
  <c r="O362" i="82"/>
  <c r="M362" i="82"/>
  <c r="K362" i="82"/>
  <c r="C362" i="82"/>
  <c r="O361" i="82"/>
  <c r="M361" i="82"/>
  <c r="K361" i="82"/>
  <c r="C361" i="82"/>
  <c r="O360" i="82"/>
  <c r="M360" i="82"/>
  <c r="K360" i="82"/>
  <c r="C360" i="82"/>
  <c r="O359" i="82"/>
  <c r="M359" i="82"/>
  <c r="K359" i="82"/>
  <c r="C359" i="82"/>
  <c r="O358" i="82"/>
  <c r="M358" i="82"/>
  <c r="K358" i="82"/>
  <c r="C358" i="82"/>
  <c r="O357" i="82"/>
  <c r="M357" i="82"/>
  <c r="K357" i="82"/>
  <c r="C357" i="82"/>
  <c r="O356" i="82"/>
  <c r="M356" i="82"/>
  <c r="K356" i="82"/>
  <c r="C356" i="82"/>
  <c r="O355" i="82"/>
  <c r="M355" i="82"/>
  <c r="K355" i="82"/>
  <c r="C355" i="82"/>
  <c r="O354" i="82"/>
  <c r="M354" i="82"/>
  <c r="K354" i="82"/>
  <c r="C354" i="82"/>
  <c r="O353" i="82"/>
  <c r="M353" i="82"/>
  <c r="K353" i="82"/>
  <c r="C353" i="82"/>
  <c r="O352" i="82"/>
  <c r="M352" i="82"/>
  <c r="K352" i="82"/>
  <c r="C352" i="82"/>
  <c r="O351" i="82"/>
  <c r="M351" i="82"/>
  <c r="K351" i="82"/>
  <c r="C351" i="82"/>
  <c r="O350" i="82"/>
  <c r="M350" i="82"/>
  <c r="K350" i="82"/>
  <c r="C350" i="82"/>
  <c r="O349" i="82"/>
  <c r="M349" i="82"/>
  <c r="K349" i="82"/>
  <c r="C349" i="82"/>
  <c r="O348" i="82"/>
  <c r="M348" i="82"/>
  <c r="K348" i="82"/>
  <c r="C348" i="82"/>
  <c r="O347" i="82"/>
  <c r="M347" i="82"/>
  <c r="K347" i="82"/>
  <c r="C347" i="82"/>
  <c r="O346" i="82"/>
  <c r="M346" i="82"/>
  <c r="K346" i="82"/>
  <c r="C346" i="82"/>
  <c r="O345" i="82"/>
  <c r="M345" i="82"/>
  <c r="K345" i="82"/>
  <c r="C345" i="82"/>
  <c r="O344" i="82"/>
  <c r="M344" i="82"/>
  <c r="K344" i="82"/>
  <c r="C344" i="82"/>
  <c r="O343" i="82"/>
  <c r="M343" i="82"/>
  <c r="K343" i="82"/>
  <c r="C343" i="82"/>
  <c r="O342" i="82"/>
  <c r="M342" i="82"/>
  <c r="K342" i="82"/>
  <c r="C342" i="82"/>
  <c r="O341" i="82"/>
  <c r="M341" i="82"/>
  <c r="K341" i="82"/>
  <c r="C341" i="82"/>
  <c r="O340" i="82"/>
  <c r="M340" i="82"/>
  <c r="K340" i="82"/>
  <c r="C340" i="82"/>
  <c r="O339" i="82"/>
  <c r="M339" i="82"/>
  <c r="K339" i="82"/>
  <c r="C339" i="82"/>
  <c r="O338" i="82"/>
  <c r="M338" i="82"/>
  <c r="K338" i="82"/>
  <c r="C338" i="82"/>
  <c r="O337" i="82"/>
  <c r="M337" i="82"/>
  <c r="K337" i="82"/>
  <c r="C337" i="82"/>
  <c r="O336" i="82"/>
  <c r="M336" i="82"/>
  <c r="K336" i="82"/>
  <c r="C336" i="82"/>
  <c r="O335" i="82"/>
  <c r="M335" i="82"/>
  <c r="K335" i="82"/>
  <c r="C335" i="82"/>
  <c r="O334" i="82"/>
  <c r="M334" i="82"/>
  <c r="K334" i="82"/>
  <c r="C334" i="82"/>
  <c r="O333" i="82"/>
  <c r="M333" i="82"/>
  <c r="K333" i="82"/>
  <c r="C333" i="82"/>
  <c r="O332" i="82"/>
  <c r="M332" i="82"/>
  <c r="K332" i="82"/>
  <c r="C332" i="82"/>
  <c r="O331" i="82"/>
  <c r="M331" i="82"/>
  <c r="K331" i="82"/>
  <c r="C331" i="82"/>
  <c r="O330" i="82"/>
  <c r="M330" i="82"/>
  <c r="K330" i="82"/>
  <c r="C330" i="82"/>
  <c r="O329" i="82"/>
  <c r="M329" i="82"/>
  <c r="K329" i="82"/>
  <c r="C329" i="82"/>
  <c r="O328" i="82"/>
  <c r="M328" i="82"/>
  <c r="K328" i="82"/>
  <c r="C328" i="82"/>
  <c r="O327" i="82"/>
  <c r="M327" i="82"/>
  <c r="K327" i="82"/>
  <c r="C327" i="82"/>
  <c r="O326" i="82"/>
  <c r="M326" i="82"/>
  <c r="K326" i="82"/>
  <c r="C326" i="82"/>
  <c r="O325" i="82"/>
  <c r="M325" i="82"/>
  <c r="K325" i="82"/>
  <c r="C325" i="82"/>
  <c r="O324" i="82"/>
  <c r="M324" i="82"/>
  <c r="K324" i="82"/>
  <c r="C324" i="82"/>
  <c r="O323" i="82"/>
  <c r="M323" i="82"/>
  <c r="K323" i="82"/>
  <c r="C323" i="82"/>
  <c r="O322" i="82"/>
  <c r="M322" i="82"/>
  <c r="K322" i="82"/>
  <c r="C322" i="82"/>
  <c r="O321" i="82"/>
  <c r="M321" i="82"/>
  <c r="K321" i="82"/>
  <c r="C321" i="82"/>
  <c r="O320" i="82"/>
  <c r="M320" i="82"/>
  <c r="K320" i="82"/>
  <c r="C320" i="82"/>
  <c r="O319" i="82"/>
  <c r="M319" i="82"/>
  <c r="K319" i="82"/>
  <c r="C319" i="82"/>
  <c r="O318" i="82"/>
  <c r="M318" i="82"/>
  <c r="K318" i="82"/>
  <c r="C318" i="82"/>
  <c r="O317" i="82"/>
  <c r="M317" i="82"/>
  <c r="K317" i="82"/>
  <c r="C317" i="82"/>
  <c r="O316" i="82"/>
  <c r="M316" i="82"/>
  <c r="K316" i="82"/>
  <c r="C316" i="82"/>
  <c r="O315" i="82"/>
  <c r="M315" i="82"/>
  <c r="K315" i="82"/>
  <c r="C315" i="82"/>
  <c r="O314" i="82"/>
  <c r="M314" i="82"/>
  <c r="K314" i="82"/>
  <c r="C314" i="82"/>
  <c r="O313" i="82"/>
  <c r="M313" i="82"/>
  <c r="K313" i="82"/>
  <c r="C313" i="82"/>
  <c r="O312" i="82"/>
  <c r="M312" i="82"/>
  <c r="K312" i="82"/>
  <c r="C312" i="82"/>
  <c r="O311" i="82"/>
  <c r="M311" i="82"/>
  <c r="K311" i="82"/>
  <c r="C311" i="82"/>
  <c r="O310" i="82"/>
  <c r="M310" i="82"/>
  <c r="K310" i="82"/>
  <c r="C310" i="82"/>
  <c r="O309" i="82"/>
  <c r="M309" i="82"/>
  <c r="K309" i="82"/>
  <c r="C309" i="82"/>
  <c r="O308" i="82"/>
  <c r="M308" i="82"/>
  <c r="K308" i="82"/>
  <c r="C308" i="82"/>
  <c r="O307" i="82"/>
  <c r="M307" i="82"/>
  <c r="K307" i="82"/>
  <c r="C307" i="82"/>
  <c r="O306" i="82"/>
  <c r="M306" i="82"/>
  <c r="K306" i="82"/>
  <c r="C306" i="82"/>
  <c r="O305" i="82"/>
  <c r="M305" i="82"/>
  <c r="K305" i="82"/>
  <c r="C305" i="82"/>
  <c r="O304" i="82"/>
  <c r="M304" i="82"/>
  <c r="K304" i="82"/>
  <c r="C304" i="82"/>
  <c r="O303" i="82"/>
  <c r="M303" i="82"/>
  <c r="K303" i="82"/>
  <c r="C303" i="82"/>
  <c r="O302" i="82"/>
  <c r="M302" i="82"/>
  <c r="K302" i="82"/>
  <c r="C302" i="82"/>
  <c r="O301" i="82"/>
  <c r="M301" i="82"/>
  <c r="K301" i="82"/>
  <c r="C301" i="82"/>
  <c r="O300" i="82"/>
  <c r="M300" i="82"/>
  <c r="K300" i="82"/>
  <c r="C300" i="82"/>
  <c r="O299" i="82"/>
  <c r="M299" i="82"/>
  <c r="K299" i="82"/>
  <c r="C299" i="82"/>
  <c r="O298" i="82"/>
  <c r="M298" i="82"/>
  <c r="K298" i="82"/>
  <c r="C298" i="82"/>
  <c r="O297" i="82"/>
  <c r="M297" i="82"/>
  <c r="K297" i="82"/>
  <c r="C297" i="82"/>
  <c r="O296" i="82"/>
  <c r="M296" i="82"/>
  <c r="K296" i="82"/>
  <c r="C296" i="82"/>
  <c r="O295" i="82"/>
  <c r="M295" i="82"/>
  <c r="K295" i="82"/>
  <c r="C295" i="82"/>
  <c r="O294" i="82"/>
  <c r="M294" i="82"/>
  <c r="K294" i="82"/>
  <c r="C294" i="82"/>
  <c r="O293" i="82"/>
  <c r="M293" i="82"/>
  <c r="K293" i="82"/>
  <c r="C293" i="82"/>
  <c r="O292" i="82"/>
  <c r="M292" i="82"/>
  <c r="K292" i="82"/>
  <c r="C292" i="82"/>
  <c r="O291" i="82"/>
  <c r="M291" i="82"/>
  <c r="K291" i="82"/>
  <c r="C291" i="82"/>
  <c r="O290" i="82"/>
  <c r="M290" i="82"/>
  <c r="K290" i="82"/>
  <c r="C290" i="82"/>
  <c r="O289" i="82"/>
  <c r="M289" i="82"/>
  <c r="K289" i="82"/>
  <c r="C289" i="82"/>
  <c r="O288" i="82"/>
  <c r="M288" i="82"/>
  <c r="K288" i="82"/>
  <c r="C288" i="82"/>
  <c r="O287" i="82"/>
  <c r="M287" i="82"/>
  <c r="K287" i="82"/>
  <c r="C287" i="82"/>
  <c r="O286" i="82"/>
  <c r="M286" i="82"/>
  <c r="K286" i="82"/>
  <c r="C286" i="82"/>
  <c r="O285" i="82"/>
  <c r="M285" i="82"/>
  <c r="K285" i="82"/>
  <c r="C285" i="82"/>
  <c r="O284" i="82"/>
  <c r="M284" i="82"/>
  <c r="K284" i="82"/>
  <c r="C284" i="82"/>
  <c r="O283" i="82"/>
  <c r="M283" i="82"/>
  <c r="K283" i="82"/>
  <c r="C283" i="82"/>
  <c r="O282" i="82"/>
  <c r="M282" i="82"/>
  <c r="K282" i="82"/>
  <c r="C282" i="82"/>
  <c r="O281" i="82"/>
  <c r="M281" i="82"/>
  <c r="K281" i="82"/>
  <c r="C281" i="82"/>
  <c r="O280" i="82"/>
  <c r="M280" i="82"/>
  <c r="K280" i="82"/>
  <c r="C280" i="82"/>
  <c r="O279" i="82"/>
  <c r="M279" i="82"/>
  <c r="K279" i="82"/>
  <c r="C279" i="82"/>
  <c r="O278" i="82"/>
  <c r="M278" i="82"/>
  <c r="K278" i="82"/>
  <c r="C278" i="82"/>
  <c r="O277" i="82"/>
  <c r="M277" i="82"/>
  <c r="K277" i="82"/>
  <c r="C277" i="82"/>
  <c r="O276" i="82"/>
  <c r="M276" i="82"/>
  <c r="K276" i="82"/>
  <c r="C276" i="82"/>
  <c r="O275" i="82"/>
  <c r="M275" i="82"/>
  <c r="K275" i="82"/>
  <c r="C275" i="82"/>
  <c r="O274" i="82"/>
  <c r="M274" i="82"/>
  <c r="K274" i="82"/>
  <c r="C274" i="82"/>
  <c r="O273" i="82"/>
  <c r="M273" i="82"/>
  <c r="K273" i="82"/>
  <c r="C273" i="82"/>
  <c r="O272" i="82"/>
  <c r="M272" i="82"/>
  <c r="K272" i="82"/>
  <c r="C272" i="82"/>
  <c r="O271" i="82"/>
  <c r="M271" i="82"/>
  <c r="K271" i="82"/>
  <c r="C271" i="82"/>
  <c r="O270" i="82"/>
  <c r="M270" i="82"/>
  <c r="K270" i="82"/>
  <c r="C270" i="82"/>
  <c r="O269" i="82"/>
  <c r="M269" i="82"/>
  <c r="K269" i="82"/>
  <c r="C269" i="82"/>
  <c r="O268" i="82"/>
  <c r="M268" i="82"/>
  <c r="K268" i="82"/>
  <c r="C268" i="82"/>
  <c r="O267" i="82"/>
  <c r="M267" i="82"/>
  <c r="K267" i="82"/>
  <c r="C267" i="82"/>
  <c r="O266" i="82"/>
  <c r="M266" i="82"/>
  <c r="K266" i="82"/>
  <c r="C266" i="82"/>
  <c r="O265" i="82"/>
  <c r="M265" i="82"/>
  <c r="K265" i="82"/>
  <c r="C265" i="82"/>
  <c r="O264" i="82"/>
  <c r="M264" i="82"/>
  <c r="K264" i="82"/>
  <c r="C264" i="82"/>
  <c r="O263" i="82"/>
  <c r="M263" i="82"/>
  <c r="K263" i="82"/>
  <c r="C263" i="82"/>
  <c r="O262" i="82"/>
  <c r="M262" i="82"/>
  <c r="K262" i="82"/>
  <c r="C262" i="82"/>
  <c r="O261" i="82"/>
  <c r="M261" i="82"/>
  <c r="K261" i="82"/>
  <c r="C261" i="82"/>
  <c r="O260" i="82"/>
  <c r="M260" i="82"/>
  <c r="K260" i="82"/>
  <c r="C260" i="82"/>
  <c r="O259" i="82"/>
  <c r="M259" i="82"/>
  <c r="K259" i="82"/>
  <c r="C259" i="82"/>
  <c r="O258" i="82"/>
  <c r="M258" i="82"/>
  <c r="K258" i="82"/>
  <c r="C258" i="82"/>
  <c r="O257" i="82"/>
  <c r="M257" i="82"/>
  <c r="K257" i="82"/>
  <c r="C257" i="82"/>
  <c r="O256" i="82"/>
  <c r="M256" i="82"/>
  <c r="K256" i="82"/>
  <c r="C256" i="82"/>
  <c r="O255" i="82"/>
  <c r="M255" i="82"/>
  <c r="K255" i="82"/>
  <c r="C255" i="82"/>
  <c r="O254" i="82"/>
  <c r="M254" i="82"/>
  <c r="K254" i="82"/>
  <c r="C254" i="82"/>
  <c r="O253" i="82"/>
  <c r="M253" i="82"/>
  <c r="K253" i="82"/>
  <c r="C253" i="82"/>
  <c r="O252" i="82"/>
  <c r="M252" i="82"/>
  <c r="K252" i="82"/>
  <c r="C252" i="82"/>
  <c r="O251" i="82"/>
  <c r="M251" i="82"/>
  <c r="K251" i="82"/>
  <c r="C251" i="82"/>
  <c r="O250" i="82"/>
  <c r="M250" i="82"/>
  <c r="K250" i="82"/>
  <c r="C250" i="82"/>
  <c r="O249" i="82"/>
  <c r="M249" i="82"/>
  <c r="K249" i="82"/>
  <c r="C249" i="82"/>
  <c r="O248" i="82"/>
  <c r="M248" i="82"/>
  <c r="K248" i="82"/>
  <c r="C248" i="82"/>
  <c r="O247" i="82"/>
  <c r="M247" i="82"/>
  <c r="K247" i="82"/>
  <c r="C247" i="82"/>
  <c r="O246" i="82"/>
  <c r="M246" i="82"/>
  <c r="K246" i="82"/>
  <c r="C246" i="82"/>
  <c r="O245" i="82"/>
  <c r="M245" i="82"/>
  <c r="K245" i="82"/>
  <c r="C245" i="82"/>
  <c r="O244" i="82"/>
  <c r="M244" i="82"/>
  <c r="K244" i="82"/>
  <c r="C244" i="82"/>
  <c r="O243" i="82"/>
  <c r="M243" i="82"/>
  <c r="K243" i="82"/>
  <c r="C243" i="82"/>
  <c r="O242" i="82"/>
  <c r="M242" i="82"/>
  <c r="K242" i="82"/>
  <c r="C242" i="82"/>
  <c r="O241" i="82"/>
  <c r="M241" i="82"/>
  <c r="K241" i="82"/>
  <c r="C241" i="82"/>
  <c r="O240" i="82"/>
  <c r="M240" i="82"/>
  <c r="K240" i="82"/>
  <c r="C240" i="82"/>
  <c r="O239" i="82"/>
  <c r="M239" i="82"/>
  <c r="K239" i="82"/>
  <c r="C239" i="82"/>
  <c r="O238" i="82"/>
  <c r="M238" i="82"/>
  <c r="K238" i="82"/>
  <c r="C238" i="82"/>
  <c r="O237" i="82"/>
  <c r="M237" i="82"/>
  <c r="K237" i="82"/>
  <c r="C237" i="82"/>
  <c r="O236" i="82"/>
  <c r="M236" i="82"/>
  <c r="K236" i="82"/>
  <c r="C236" i="82"/>
  <c r="O235" i="82"/>
  <c r="M235" i="82"/>
  <c r="K235" i="82"/>
  <c r="C235" i="82"/>
  <c r="O234" i="82"/>
  <c r="M234" i="82"/>
  <c r="K234" i="82"/>
  <c r="C234" i="82"/>
  <c r="O233" i="82"/>
  <c r="M233" i="82"/>
  <c r="K233" i="82"/>
  <c r="C233" i="82"/>
  <c r="O232" i="82"/>
  <c r="M232" i="82"/>
  <c r="K232" i="82"/>
  <c r="C232" i="82"/>
  <c r="O231" i="82"/>
  <c r="M231" i="82"/>
  <c r="K231" i="82"/>
  <c r="C231" i="82"/>
  <c r="O230" i="82"/>
  <c r="M230" i="82"/>
  <c r="K230" i="82"/>
  <c r="C230" i="82"/>
  <c r="O229" i="82"/>
  <c r="M229" i="82"/>
  <c r="K229" i="82"/>
  <c r="C229" i="82"/>
  <c r="O228" i="82"/>
  <c r="M228" i="82"/>
  <c r="K228" i="82"/>
  <c r="C228" i="82"/>
  <c r="O227" i="82"/>
  <c r="M227" i="82"/>
  <c r="K227" i="82"/>
  <c r="C227" i="82"/>
  <c r="O226" i="82"/>
  <c r="M226" i="82"/>
  <c r="K226" i="82"/>
  <c r="C226" i="82"/>
  <c r="O225" i="82"/>
  <c r="M225" i="82"/>
  <c r="K225" i="82"/>
  <c r="C225" i="82"/>
  <c r="O224" i="82"/>
  <c r="M224" i="82"/>
  <c r="K224" i="82"/>
  <c r="C224" i="82"/>
  <c r="O223" i="82"/>
  <c r="M223" i="82"/>
  <c r="K223" i="82"/>
  <c r="C223" i="82"/>
  <c r="O222" i="82"/>
  <c r="M222" i="82"/>
  <c r="K222" i="82"/>
  <c r="C222" i="82"/>
  <c r="O221" i="82"/>
  <c r="M221" i="82"/>
  <c r="K221" i="82"/>
  <c r="C221" i="82"/>
  <c r="O220" i="82"/>
  <c r="M220" i="82"/>
  <c r="K220" i="82"/>
  <c r="C220" i="82"/>
  <c r="O219" i="82"/>
  <c r="M219" i="82"/>
  <c r="K219" i="82"/>
  <c r="C219" i="82"/>
  <c r="O218" i="82"/>
  <c r="M218" i="82"/>
  <c r="K218" i="82"/>
  <c r="C218" i="82"/>
  <c r="O217" i="82"/>
  <c r="M217" i="82"/>
  <c r="K217" i="82"/>
  <c r="C217" i="82"/>
  <c r="O216" i="82"/>
  <c r="M216" i="82"/>
  <c r="K216" i="82"/>
  <c r="C216" i="82"/>
  <c r="O215" i="82"/>
  <c r="M215" i="82"/>
  <c r="K215" i="82"/>
  <c r="C215" i="82"/>
  <c r="O214" i="82"/>
  <c r="M214" i="82"/>
  <c r="K214" i="82"/>
  <c r="C214" i="82"/>
  <c r="O213" i="82"/>
  <c r="M213" i="82"/>
  <c r="K213" i="82"/>
  <c r="C213" i="82"/>
  <c r="O212" i="82"/>
  <c r="M212" i="82"/>
  <c r="K212" i="82"/>
  <c r="C212" i="82"/>
  <c r="O211" i="82"/>
  <c r="M211" i="82"/>
  <c r="K211" i="82"/>
  <c r="C211" i="82"/>
  <c r="O210" i="82"/>
  <c r="M210" i="82"/>
  <c r="K210" i="82"/>
  <c r="C210" i="82"/>
  <c r="O209" i="82"/>
  <c r="M209" i="82"/>
  <c r="K209" i="82"/>
  <c r="C209" i="82"/>
  <c r="O208" i="82"/>
  <c r="M208" i="82"/>
  <c r="K208" i="82"/>
  <c r="C208" i="82"/>
  <c r="O207" i="82"/>
  <c r="M207" i="82"/>
  <c r="K207" i="82"/>
  <c r="C207" i="82"/>
  <c r="O206" i="82"/>
  <c r="M206" i="82"/>
  <c r="K206" i="82"/>
  <c r="C206" i="82"/>
  <c r="O205" i="82"/>
  <c r="M205" i="82"/>
  <c r="K205" i="82"/>
  <c r="C205" i="82"/>
  <c r="O204" i="82"/>
  <c r="M204" i="82"/>
  <c r="K204" i="82"/>
  <c r="C204" i="82"/>
  <c r="O203" i="82"/>
  <c r="M203" i="82"/>
  <c r="K203" i="82"/>
  <c r="C203" i="82"/>
  <c r="O202" i="82"/>
  <c r="M202" i="82"/>
  <c r="K202" i="82"/>
  <c r="C202" i="82"/>
  <c r="O201" i="82"/>
  <c r="M201" i="82"/>
  <c r="K201" i="82"/>
  <c r="C201" i="82"/>
  <c r="O200" i="82"/>
  <c r="M200" i="82"/>
  <c r="K200" i="82"/>
  <c r="C200" i="82"/>
  <c r="O199" i="82"/>
  <c r="M199" i="82"/>
  <c r="K199" i="82"/>
  <c r="C199" i="82"/>
  <c r="O198" i="82"/>
  <c r="M198" i="82"/>
  <c r="K198" i="82"/>
  <c r="C198" i="82"/>
  <c r="O197" i="82"/>
  <c r="M197" i="82"/>
  <c r="K197" i="82"/>
  <c r="C197" i="82"/>
  <c r="O196" i="82"/>
  <c r="M196" i="82"/>
  <c r="K196" i="82"/>
  <c r="C196" i="82"/>
  <c r="O195" i="82"/>
  <c r="M195" i="82"/>
  <c r="K195" i="82"/>
  <c r="C195" i="82"/>
  <c r="O194" i="82"/>
  <c r="M194" i="82"/>
  <c r="K194" i="82"/>
  <c r="C194" i="82"/>
  <c r="O193" i="82"/>
  <c r="M193" i="82"/>
  <c r="K193" i="82"/>
  <c r="C193" i="82"/>
  <c r="O192" i="82"/>
  <c r="M192" i="82"/>
  <c r="K192" i="82"/>
  <c r="C192" i="82"/>
  <c r="O191" i="82"/>
  <c r="M191" i="82"/>
  <c r="K191" i="82"/>
  <c r="C191" i="82"/>
  <c r="O190" i="82"/>
  <c r="M190" i="82"/>
  <c r="K190" i="82"/>
  <c r="C190" i="82"/>
  <c r="O189" i="82"/>
  <c r="M189" i="82"/>
  <c r="K189" i="82"/>
  <c r="C189" i="82"/>
  <c r="O188" i="82"/>
  <c r="M188" i="82"/>
  <c r="K188" i="82"/>
  <c r="C188" i="82"/>
  <c r="O187" i="82"/>
  <c r="M187" i="82"/>
  <c r="K187" i="82"/>
  <c r="C187" i="82"/>
  <c r="O186" i="82"/>
  <c r="M186" i="82"/>
  <c r="K186" i="82"/>
  <c r="C186" i="82"/>
  <c r="O185" i="82"/>
  <c r="M185" i="82"/>
  <c r="K185" i="82"/>
  <c r="C185" i="82"/>
  <c r="O184" i="82"/>
  <c r="M184" i="82"/>
  <c r="K184" i="82"/>
  <c r="C184" i="82"/>
  <c r="O183" i="82"/>
  <c r="M183" i="82"/>
  <c r="K183" i="82"/>
  <c r="C183" i="82"/>
  <c r="O182" i="82"/>
  <c r="M182" i="82"/>
  <c r="K182" i="82"/>
  <c r="C182" i="82"/>
  <c r="O181" i="82"/>
  <c r="M181" i="82"/>
  <c r="K181" i="82"/>
  <c r="C181" i="82"/>
  <c r="O180" i="82"/>
  <c r="M180" i="82"/>
  <c r="K180" i="82"/>
  <c r="C180" i="82"/>
  <c r="O179" i="82"/>
  <c r="M179" i="82"/>
  <c r="K179" i="82"/>
  <c r="C179" i="82"/>
  <c r="O178" i="82"/>
  <c r="M178" i="82"/>
  <c r="K178" i="82"/>
  <c r="C178" i="82"/>
  <c r="O177" i="82"/>
  <c r="M177" i="82"/>
  <c r="K177" i="82"/>
  <c r="C177" i="82"/>
  <c r="O176" i="82"/>
  <c r="M176" i="82"/>
  <c r="K176" i="82"/>
  <c r="C176" i="82"/>
  <c r="O175" i="82"/>
  <c r="M175" i="82"/>
  <c r="K175" i="82"/>
  <c r="C175" i="82"/>
  <c r="O174" i="82"/>
  <c r="M174" i="82"/>
  <c r="K174" i="82"/>
  <c r="C174" i="82"/>
  <c r="O173" i="82"/>
  <c r="M173" i="82"/>
  <c r="K173" i="82"/>
  <c r="C173" i="82"/>
  <c r="O172" i="82"/>
  <c r="M172" i="82"/>
  <c r="K172" i="82"/>
  <c r="C172" i="82"/>
  <c r="O171" i="82"/>
  <c r="M171" i="82"/>
  <c r="K171" i="82"/>
  <c r="C171" i="82"/>
  <c r="O170" i="82"/>
  <c r="M170" i="82"/>
  <c r="K170" i="82"/>
  <c r="C170" i="82"/>
  <c r="O169" i="82"/>
  <c r="M169" i="82"/>
  <c r="K169" i="82"/>
  <c r="C169" i="82"/>
  <c r="O168" i="82"/>
  <c r="M168" i="82"/>
  <c r="K168" i="82"/>
  <c r="C168" i="82"/>
  <c r="O167" i="82"/>
  <c r="M167" i="82"/>
  <c r="K167" i="82"/>
  <c r="C167" i="82"/>
  <c r="O166" i="82"/>
  <c r="M166" i="82"/>
  <c r="K166" i="82"/>
  <c r="C166" i="82"/>
  <c r="O165" i="82"/>
  <c r="M165" i="82"/>
  <c r="K165" i="82"/>
  <c r="C165" i="82"/>
  <c r="O164" i="82"/>
  <c r="M164" i="82"/>
  <c r="K164" i="82"/>
  <c r="C164" i="82"/>
  <c r="O163" i="82"/>
  <c r="M163" i="82"/>
  <c r="K163" i="82"/>
  <c r="C163" i="82"/>
  <c r="O162" i="82"/>
  <c r="M162" i="82"/>
  <c r="K162" i="82"/>
  <c r="C162" i="82"/>
  <c r="O161" i="82"/>
  <c r="M161" i="82"/>
  <c r="K161" i="82"/>
  <c r="C161" i="82"/>
  <c r="O160" i="82"/>
  <c r="M160" i="82"/>
  <c r="K160" i="82"/>
  <c r="C160" i="82"/>
  <c r="O159" i="82"/>
  <c r="M159" i="82"/>
  <c r="K159" i="82"/>
  <c r="C159" i="82"/>
  <c r="O158" i="82"/>
  <c r="M158" i="82"/>
  <c r="K158" i="82"/>
  <c r="C158" i="82"/>
  <c r="O157" i="82"/>
  <c r="M157" i="82"/>
  <c r="K157" i="82"/>
  <c r="C157" i="82"/>
  <c r="O156" i="82"/>
  <c r="M156" i="82"/>
  <c r="K156" i="82"/>
  <c r="C156" i="82"/>
  <c r="O155" i="82"/>
  <c r="M155" i="82"/>
  <c r="K155" i="82"/>
  <c r="C155" i="82"/>
  <c r="O154" i="82"/>
  <c r="M154" i="82"/>
  <c r="K154" i="82"/>
  <c r="C154" i="82"/>
  <c r="O153" i="82"/>
  <c r="M153" i="82"/>
  <c r="K153" i="82"/>
  <c r="C153" i="82"/>
  <c r="O152" i="82"/>
  <c r="M152" i="82"/>
  <c r="K152" i="82"/>
  <c r="C152" i="82"/>
  <c r="O151" i="82"/>
  <c r="M151" i="82"/>
  <c r="K151" i="82"/>
  <c r="C151" i="82"/>
  <c r="O150" i="82"/>
  <c r="M150" i="82"/>
  <c r="K150" i="82"/>
  <c r="C150" i="82"/>
  <c r="O149" i="82"/>
  <c r="M149" i="82"/>
  <c r="K149" i="82"/>
  <c r="C149" i="82"/>
  <c r="O148" i="82"/>
  <c r="M148" i="82"/>
  <c r="K148" i="82"/>
  <c r="C148" i="82"/>
  <c r="O147" i="82"/>
  <c r="M147" i="82"/>
  <c r="K147" i="82"/>
  <c r="C147" i="82"/>
  <c r="O146" i="82"/>
  <c r="M146" i="82"/>
  <c r="K146" i="82"/>
  <c r="C146" i="82"/>
  <c r="O145" i="82"/>
  <c r="M145" i="82"/>
  <c r="K145" i="82"/>
  <c r="C145" i="82"/>
  <c r="O144" i="82"/>
  <c r="M144" i="82"/>
  <c r="K144" i="82"/>
  <c r="C144" i="82"/>
  <c r="O143" i="82"/>
  <c r="M143" i="82"/>
  <c r="K143" i="82"/>
  <c r="C143" i="82"/>
  <c r="O142" i="82"/>
  <c r="M142" i="82"/>
  <c r="K142" i="82"/>
  <c r="C142" i="82"/>
  <c r="O141" i="82"/>
  <c r="M141" i="82"/>
  <c r="K141" i="82"/>
  <c r="C141" i="82"/>
  <c r="O140" i="82"/>
  <c r="M140" i="82"/>
  <c r="K140" i="82"/>
  <c r="C140" i="82"/>
  <c r="O139" i="82"/>
  <c r="M139" i="82"/>
  <c r="K139" i="82"/>
  <c r="C139" i="82"/>
  <c r="O138" i="82"/>
  <c r="M138" i="82"/>
  <c r="K138" i="82"/>
  <c r="C138" i="82"/>
  <c r="O137" i="82"/>
  <c r="M137" i="82"/>
  <c r="K137" i="82"/>
  <c r="C137" i="82"/>
  <c r="O136" i="82"/>
  <c r="M136" i="82"/>
  <c r="K136" i="82"/>
  <c r="C136" i="82"/>
  <c r="O135" i="82"/>
  <c r="M135" i="82"/>
  <c r="K135" i="82"/>
  <c r="C135" i="82"/>
  <c r="O134" i="82"/>
  <c r="M134" i="82"/>
  <c r="K134" i="82"/>
  <c r="C134" i="82"/>
  <c r="O133" i="82"/>
  <c r="M133" i="82"/>
  <c r="K133" i="82"/>
  <c r="C133" i="82"/>
  <c r="O132" i="82"/>
  <c r="M132" i="82"/>
  <c r="K132" i="82"/>
  <c r="C132" i="82"/>
  <c r="O131" i="82"/>
  <c r="M131" i="82"/>
  <c r="K131" i="82"/>
  <c r="C131" i="82"/>
  <c r="O130" i="82"/>
  <c r="M130" i="82"/>
  <c r="K130" i="82"/>
  <c r="C130" i="82"/>
  <c r="O129" i="82"/>
  <c r="M129" i="82"/>
  <c r="K129" i="82"/>
  <c r="C129" i="82"/>
  <c r="O128" i="82"/>
  <c r="M128" i="82"/>
  <c r="K128" i="82"/>
  <c r="C128" i="82"/>
  <c r="O127" i="82"/>
  <c r="M127" i="82"/>
  <c r="K127" i="82"/>
  <c r="C127" i="82"/>
  <c r="O126" i="82"/>
  <c r="M126" i="82"/>
  <c r="K126" i="82"/>
  <c r="C126" i="82"/>
  <c r="O125" i="82"/>
  <c r="M125" i="82"/>
  <c r="K125" i="82"/>
  <c r="C125" i="82"/>
  <c r="O124" i="82"/>
  <c r="M124" i="82"/>
  <c r="K124" i="82"/>
  <c r="C124" i="82"/>
  <c r="O123" i="82"/>
  <c r="M123" i="82"/>
  <c r="K123" i="82"/>
  <c r="C123" i="82"/>
  <c r="P23" i="82"/>
  <c r="N23" i="82"/>
  <c r="L23" i="82"/>
  <c r="J23"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F23"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L4" i="80"/>
  <c r="K4" i="80"/>
  <c r="H1" i="80"/>
  <c r="Q72" i="79"/>
  <c r="Q59" i="79"/>
  <c r="K59" i="79"/>
  <c r="P74" i="79"/>
  <c r="F59" i="79"/>
  <c r="Q58" i="79"/>
  <c r="Q51" i="79"/>
  <c r="D46" i="79"/>
  <c r="F61" i="79"/>
  <c r="F60" i="79"/>
  <c r="F31" i="79"/>
  <c r="D23" i="79"/>
  <c r="M19" i="79"/>
  <c r="M18" i="79"/>
  <c r="M17"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s="1"/>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5" i="6"/>
  <c r="L26" i="6"/>
  <c r="P27" i="6"/>
  <c r="A7" i="70"/>
  <c r="E10" i="70"/>
  <c r="E11" i="70"/>
  <c r="E12" i="70"/>
  <c r="E13" i="70"/>
  <c r="A6" i="70"/>
  <c r="Q25" i="40"/>
  <c r="Z25" i="40"/>
  <c r="D94" i="40"/>
  <c r="E94" i="40"/>
  <c r="F25" i="40"/>
  <c r="AA25" i="40"/>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U18" i="35"/>
  <c r="W18" i="35"/>
  <c r="F77" i="37"/>
  <c r="H21" i="37"/>
  <c r="F21" i="37"/>
  <c r="U21" i="34"/>
  <c r="H21" i="33"/>
  <c r="AB21" i="33"/>
  <c r="F21" i="33"/>
  <c r="S21" i="33"/>
  <c r="E83" i="21"/>
  <c r="S21" i="21"/>
  <c r="H1" i="69"/>
  <c r="AC25" i="40"/>
  <c r="W25" i="40"/>
  <c r="AB25" i="40"/>
  <c r="U25" i="40"/>
  <c r="AC18" i="36"/>
  <c r="W18" i="36"/>
  <c r="AB21" i="37"/>
  <c r="U21" i="37"/>
  <c r="AA21" i="37"/>
  <c r="S21" i="37"/>
  <c r="U21" i="33"/>
  <c r="G77" i="37"/>
  <c r="J21" i="37"/>
  <c r="W21" i="34"/>
  <c r="J21" i="33"/>
  <c r="AC21" i="33"/>
  <c r="F83" i="21"/>
  <c r="H21" i="21"/>
  <c r="F38" i="69"/>
  <c r="E37" i="69"/>
  <c r="F36" i="69"/>
  <c r="F35" i="69"/>
  <c r="F21" i="69"/>
  <c r="C21" i="69"/>
  <c r="F20" i="69"/>
  <c r="E10" i="69"/>
  <c r="E9" i="69"/>
  <c r="C7" i="69"/>
  <c r="AC21" i="37"/>
  <c r="W21" i="37"/>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F12" i="1"/>
  <c r="D12" i="1"/>
  <c r="G12" i="1"/>
  <c r="F13" i="1"/>
  <c r="D6" i="1"/>
  <c r="D9" i="1"/>
  <c r="D10" i="1"/>
  <c r="D11" i="1"/>
  <c r="D13" i="1"/>
  <c r="G1" i="77"/>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s="1"/>
  <c r="R102" i="31"/>
  <c r="R103" i="31"/>
  <c r="S103" i="31" s="1"/>
  <c r="R104" i="31"/>
  <c r="R105" i="31"/>
  <c r="S105" i="31" s="1"/>
  <c r="R106" i="31"/>
  <c r="R107" i="31"/>
  <c r="S107" i="31"/>
  <c r="R108" i="31"/>
  <c r="R109" i="31"/>
  <c r="S109" i="31" s="1"/>
  <c r="R110" i="31"/>
  <c r="R111" i="31"/>
  <c r="S111" i="31" s="1"/>
  <c r="R112" i="31"/>
  <c r="R113" i="31"/>
  <c r="S113" i="31" s="1"/>
  <c r="R114" i="31"/>
  <c r="R115" i="31"/>
  <c r="S115" i="3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c r="R211" i="31"/>
  <c r="S211" i="3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c r="R233" i="31"/>
  <c r="S233" i="31"/>
  <c r="R234" i="31"/>
  <c r="S234" i="3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c r="R249" i="31"/>
  <c r="S249" i="31"/>
  <c r="R250" i="31"/>
  <c r="S250" i="31"/>
  <c r="R251" i="31"/>
  <c r="R252" i="31"/>
  <c r="S252" i="31" s="1"/>
  <c r="R253" i="31"/>
  <c r="S253" i="31" s="1"/>
  <c r="R254" i="31"/>
  <c r="S254" i="31" s="1"/>
  <c r="R255" i="31"/>
  <c r="S255" i="31" s="1"/>
  <c r="R256" i="31"/>
  <c r="R257" i="31"/>
  <c r="S257" i="31"/>
  <c r="R258" i="31"/>
  <c r="S258" i="31"/>
  <c r="R259" i="31"/>
  <c r="S259" i="31"/>
  <c r="R260" i="31"/>
  <c r="S260" i="31"/>
  <c r="R261" i="31"/>
  <c r="S261" i="31"/>
  <c r="R262" i="31"/>
  <c r="S262" i="31"/>
  <c r="R263" i="31"/>
  <c r="S263" i="3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c r="R290" i="31"/>
  <c r="S290" i="31"/>
  <c r="R291" i="31"/>
  <c r="S291" i="31"/>
  <c r="R292" i="31"/>
  <c r="S292" i="31"/>
  <c r="R293" i="31"/>
  <c r="S293" i="31"/>
  <c r="R294" i="31"/>
  <c r="S294" i="31"/>
  <c r="R295" i="31"/>
  <c r="S295" i="3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c r="R322" i="31"/>
  <c r="S322" i="31"/>
  <c r="R323" i="31"/>
  <c r="S323" i="31"/>
  <c r="R324" i="31"/>
  <c r="S324" i="31"/>
  <c r="R325" i="31"/>
  <c r="S325" i="3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c r="R352" i="31"/>
  <c r="S352" i="31"/>
  <c r="R353" i="31"/>
  <c r="S353" i="31"/>
  <c r="R354" i="31"/>
  <c r="S354" i="31"/>
  <c r="R355" i="31"/>
  <c r="S355" i="31"/>
  <c r="R356" i="31"/>
  <c r="S356" i="31"/>
  <c r="R357" i="31"/>
  <c r="S357" i="3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c r="R384" i="31"/>
  <c r="S384" i="31"/>
  <c r="R385" i="31"/>
  <c r="S385" i="31"/>
  <c r="R386" i="31"/>
  <c r="S386" i="31"/>
  <c r="R387" i="31"/>
  <c r="S387" i="31"/>
  <c r="R388" i="31"/>
  <c r="S388" i="31"/>
  <c r="R389" i="31"/>
  <c r="S389" i="3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c r="R416" i="31"/>
  <c r="S416" i="31"/>
  <c r="R417" i="31"/>
  <c r="S417" i="31"/>
  <c r="R418" i="31"/>
  <c r="S418" i="31"/>
  <c r="R419" i="31"/>
  <c r="S419" i="31"/>
  <c r="R420" i="31"/>
  <c r="S420" i="31"/>
  <c r="R421" i="31"/>
  <c r="S421" i="3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c r="R439" i="31"/>
  <c r="S439" i="31"/>
  <c r="R440" i="31"/>
  <c r="S440" i="3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c r="R455" i="31"/>
  <c r="S455" i="31"/>
  <c r="R456" i="31"/>
  <c r="S456" i="3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R471" i="31"/>
  <c r="S471" i="31" s="1"/>
  <c r="R472" i="31"/>
  <c r="R473" i="31"/>
  <c r="S473" i="31"/>
  <c r="R474" i="31"/>
  <c r="R475" i="31"/>
  <c r="S475" i="31" s="1"/>
  <c r="R476" i="31"/>
  <c r="R477" i="31"/>
  <c r="S477" i="31" s="1"/>
  <c r="R478" i="31"/>
  <c r="R479" i="31"/>
  <c r="S479" i="31" s="1"/>
  <c r="R480" i="31"/>
  <c r="R481" i="31"/>
  <c r="S481" i="31"/>
  <c r="R482" i="31"/>
  <c r="R483" i="31"/>
  <c r="S483" i="31" s="1"/>
  <c r="R484" i="31"/>
  <c r="R485" i="31"/>
  <c r="S485" i="31" s="1"/>
  <c r="R486" i="31"/>
  <c r="R487" i="31"/>
  <c r="S487" i="31" s="1"/>
  <c r="R488" i="31"/>
  <c r="R489" i="31"/>
  <c r="S489" i="31"/>
  <c r="R490" i="31"/>
  <c r="R491" i="31"/>
  <c r="S491" i="31" s="1"/>
  <c r="R492" i="31"/>
  <c r="R493" i="31"/>
  <c r="S493" i="31" s="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F7" i="1"/>
  <c r="F19" i="4"/>
  <c r="F2" i="52"/>
  <c r="B50" i="72"/>
  <c r="D2" i="52"/>
  <c r="B46" i="72"/>
  <c r="B8" i="53"/>
  <c r="B23" i="72"/>
  <c r="L4" i="9"/>
  <c r="B17" i="72"/>
  <c r="B15" i="72"/>
  <c r="A3" i="51"/>
  <c r="C8" i="11"/>
  <c r="B2" i="49"/>
  <c r="E17" i="49" s="1"/>
  <c r="B40" i="48"/>
  <c r="B3" i="72"/>
  <c r="I2" i="43"/>
  <c r="N1" i="43"/>
  <c r="F35" i="4"/>
  <c r="H34" i="43"/>
  <c r="H35" i="43"/>
  <c r="H36" i="43"/>
  <c r="H37" i="43"/>
  <c r="H38" i="43"/>
  <c r="H39" i="43"/>
  <c r="H33" i="43"/>
  <c r="J20" i="43"/>
  <c r="C18" i="43"/>
  <c r="F15" i="43"/>
  <c r="E15" i="43"/>
  <c r="D15" i="43"/>
  <c r="C15" i="43"/>
  <c r="C10" i="43"/>
  <c r="C11" i="43"/>
  <c r="C9" i="43"/>
  <c r="A7" i="43"/>
  <c r="F61" i="15"/>
  <c r="M19" i="15"/>
  <c r="D78" i="9"/>
  <c r="M18" i="78"/>
  <c r="B118" i="78" s="1"/>
  <c r="B15" i="74" s="1"/>
  <c r="D24" i="15"/>
  <c r="O13" i="1"/>
  <c r="P13" i="1"/>
  <c r="M18" i="88"/>
  <c r="B118" i="88" s="1"/>
  <c r="B16" i="74" s="1"/>
  <c r="BC10" i="3"/>
  <c r="BD10" i="3"/>
  <c r="BB10"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J55" i="9"/>
  <c r="T4" i="1"/>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s="1"/>
  <c r="G44" i="35"/>
  <c r="H44" i="35" s="1"/>
  <c r="E44" i="35"/>
  <c r="F44" i="35" s="1"/>
  <c r="I54" i="33"/>
  <c r="J54" i="33"/>
  <c r="G54" i="33"/>
  <c r="E54" i="33"/>
  <c r="H7" i="12"/>
  <c r="I7" i="12"/>
  <c r="J7" i="12"/>
  <c r="K7" i="12"/>
  <c r="H111" i="21"/>
  <c r="J30" i="36"/>
  <c r="H30" i="36"/>
  <c r="F30" i="36"/>
  <c r="AA30" i="36"/>
  <c r="W31" i="35"/>
  <c r="H34" i="37"/>
  <c r="D101" i="37"/>
  <c r="F34" i="37"/>
  <c r="D99" i="37"/>
  <c r="E99" i="37"/>
  <c r="F99" i="37"/>
  <c r="G99" i="37"/>
  <c r="H99" i="37"/>
  <c r="I99" i="37"/>
  <c r="J99" i="37"/>
  <c r="K99" i="37"/>
  <c r="L99" i="37"/>
  <c r="M99" i="37"/>
  <c r="W42" i="34"/>
  <c r="W38" i="34"/>
  <c r="D114" i="34"/>
  <c r="S38"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C15" i="34"/>
  <c r="H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U31" i="35"/>
  <c r="S34" i="35"/>
  <c r="W34" i="35"/>
  <c r="W36" i="35"/>
  <c r="W22" i="35"/>
  <c r="S31" i="35"/>
  <c r="U34" i="35"/>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B12" i="36"/>
  <c r="W32" i="40"/>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F35" i="37"/>
  <c r="S35" i="37"/>
  <c r="E101" i="37"/>
  <c r="F101" i="37"/>
  <c r="G101" i="37"/>
  <c r="H101" i="37"/>
  <c r="I101" i="37"/>
  <c r="J101" i="37"/>
  <c r="K101" i="37"/>
  <c r="L101" i="37"/>
  <c r="M101" i="37"/>
  <c r="J34" i="37"/>
  <c r="W34" i="37"/>
  <c r="S10" i="37"/>
  <c r="AA39" i="37"/>
  <c r="AB34" i="37"/>
  <c r="J33" i="37"/>
  <c r="AC33" i="37"/>
  <c r="U42" i="34"/>
  <c r="U40" i="34"/>
  <c r="E114" i="34"/>
  <c r="F114" i="34"/>
  <c r="G114" i="34"/>
  <c r="H114" i="34"/>
  <c r="I114" i="34"/>
  <c r="J114" i="34"/>
  <c r="K114" i="34"/>
  <c r="L114" i="34"/>
  <c r="M114" i="34"/>
  <c r="U36" i="34"/>
  <c r="U23" i="34"/>
  <c r="W23" i="34"/>
  <c r="U17" i="34"/>
  <c r="S9" i="34"/>
  <c r="W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W36" i="34"/>
  <c r="W17" i="34"/>
  <c r="S15" i="34"/>
  <c r="F113" i="33"/>
  <c r="G113" i="33"/>
  <c r="H113" i="33"/>
  <c r="I113" i="33"/>
  <c r="J113" i="33"/>
  <c r="K113" i="33"/>
  <c r="L113" i="33"/>
  <c r="M113" i="33"/>
  <c r="H37" i="33"/>
  <c r="AB37" i="33"/>
  <c r="H15" i="33"/>
  <c r="AB15" i="33"/>
  <c r="H11" i="33"/>
  <c r="AB11" i="33"/>
  <c r="F28" i="40"/>
  <c r="AA28" i="40"/>
  <c r="S42" i="34"/>
  <c r="J11" i="33"/>
  <c r="W11" i="33"/>
  <c r="S28" i="34"/>
  <c r="U23" i="40"/>
  <c r="G123" i="21"/>
  <c r="H123" i="21"/>
  <c r="I123" i="21"/>
  <c r="J123" i="21"/>
  <c r="K123" i="21"/>
  <c r="L123" i="21"/>
  <c r="M123" i="21"/>
  <c r="J42" i="21"/>
  <c r="AC42" i="21"/>
  <c r="H42" i="21"/>
  <c r="U42" i="2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U31" i="34"/>
  <c r="U46" i="33"/>
  <c r="AA14" i="33"/>
  <c r="J36" i="37"/>
  <c r="AC36" i="37"/>
  <c r="G105" i="37"/>
  <c r="AB11" i="36"/>
  <c r="J10" i="36"/>
  <c r="AC10" i="36"/>
  <c r="AB30" i="21"/>
  <c r="AA14" i="37"/>
  <c r="W31" i="34"/>
  <c r="AC13" i="36"/>
  <c r="W13" i="36"/>
  <c r="S11" i="36"/>
  <c r="W11" i="36"/>
  <c r="W11" i="35"/>
  <c r="AB45" i="33"/>
  <c r="AB31" i="33"/>
  <c r="U31" i="33"/>
  <c r="W29" i="33"/>
  <c r="U13" i="33"/>
  <c r="AC28" i="21"/>
  <c r="S44" i="34"/>
  <c r="F17" i="21"/>
  <c r="AA17" i="21"/>
  <c r="H17" i="21"/>
  <c r="AB17" i="21"/>
  <c r="F15" i="21"/>
  <c r="S15" i="21"/>
  <c r="AB11" i="21"/>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F39" i="33"/>
  <c r="AA39" i="33"/>
  <c r="E123" i="33"/>
  <c r="F42" i="33"/>
  <c r="AA42"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W23" i="35"/>
  <c r="W14" i="37"/>
  <c r="AB28" i="37"/>
  <c r="U33" i="37"/>
  <c r="U39" i="37"/>
  <c r="W26" i="37"/>
  <c r="AC8" i="37"/>
  <c r="U26" i="37"/>
  <c r="W4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6"/>
  <c r="W35" i="40"/>
  <c r="A118" i="9"/>
  <c r="A4" i="52"/>
  <c r="B41" i="72"/>
  <c r="A12" i="52"/>
  <c r="B56" i="72"/>
  <c r="G4" i="4"/>
  <c r="I4" i="4"/>
  <c r="K5" i="4"/>
  <c r="B47" i="48"/>
  <c r="A2" i="9"/>
  <c r="BO5" i="3"/>
  <c r="BM5" i="3"/>
  <c r="F29" i="6" s="1"/>
  <c r="BJ5" i="3"/>
  <c r="BH5" i="3"/>
  <c r="BF5" i="3"/>
  <c r="BP5" i="3"/>
  <c r="BN5" i="3"/>
  <c r="G29" i="6" s="1"/>
  <c r="G30" i="6" s="1"/>
  <c r="G31" i="6" s="1"/>
  <c r="BK5" i="3"/>
  <c r="BI5" i="3"/>
  <c r="BG5" i="3"/>
  <c r="BE5" i="3"/>
  <c r="BC5" i="3"/>
  <c r="U36" i="40"/>
  <c r="F36" i="43"/>
  <c r="F81" i="43"/>
  <c r="H83" i="43"/>
  <c r="H113" i="43"/>
  <c r="F48" i="43"/>
  <c r="H52" i="43"/>
  <c r="F70" i="43"/>
  <c r="H73" i="43"/>
  <c r="M11" i="43"/>
  <c r="D17" i="43"/>
  <c r="F39" i="43"/>
  <c r="I17" i="43"/>
  <c r="F35" i="43"/>
  <c r="J17" i="43"/>
  <c r="F6" i="1"/>
  <c r="G6" i="1" s="1"/>
  <c r="U43" i="21"/>
  <c r="U35" i="21"/>
  <c r="AC35" i="21"/>
  <c r="U10" i="21"/>
  <c r="F48" i="9"/>
  <c r="O52" i="9"/>
  <c r="W37" i="37"/>
  <c r="W44" i="34"/>
  <c r="S15" i="37"/>
  <c r="U13" i="37"/>
  <c r="U12" i="40"/>
  <c r="AA12" i="40"/>
  <c r="J37" i="33"/>
  <c r="W37"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S39" i="34"/>
  <c r="W39" i="34"/>
  <c r="S40" i="34"/>
  <c r="H75" i="43"/>
  <c r="H27" i="36"/>
  <c r="U27" i="36"/>
  <c r="F27" i="36"/>
  <c r="AA27" i="36"/>
  <c r="U33" i="34"/>
  <c r="F32" i="37"/>
  <c r="AA32" i="37"/>
  <c r="G96" i="37"/>
  <c r="H96" i="37"/>
  <c r="I96" i="37"/>
  <c r="J96" i="37"/>
  <c r="K96" i="37"/>
  <c r="L96" i="37"/>
  <c r="M96" i="37"/>
  <c r="F20" i="36"/>
  <c r="AA20" i="36"/>
  <c r="H86" i="43"/>
  <c r="H82" i="43"/>
  <c r="H87" i="43"/>
  <c r="D93" i="9"/>
  <c r="AC26" i="33"/>
  <c r="W26" i="33"/>
  <c r="AB34" i="36"/>
  <c r="U34" i="36"/>
  <c r="AB33" i="36"/>
  <c r="U33" i="36"/>
  <c r="AC39" i="40"/>
  <c r="W39" i="40"/>
  <c r="W12" i="33"/>
  <c r="AC12" i="33"/>
  <c r="AA32" i="36"/>
  <c r="S32" i="36"/>
  <c r="U30" i="33"/>
  <c r="W28" i="37"/>
  <c r="F12" i="33"/>
  <c r="F39" i="40"/>
  <c r="S12" i="1"/>
  <c r="AR12" i="1" s="1"/>
  <c r="R12" i="1"/>
  <c r="B12" i="1"/>
  <c r="E12" i="1"/>
  <c r="B10" i="1"/>
  <c r="E10" i="1"/>
  <c r="S13" i="1"/>
  <c r="AR13" i="1"/>
  <c r="R13" i="1"/>
  <c r="J51" i="67"/>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36"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U43" i="34"/>
  <c r="U39" i="34"/>
  <c r="S43" i="34"/>
  <c r="U28" i="34"/>
  <c r="S17"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J56" i="9"/>
  <c r="J57" i="9"/>
  <c r="J59" i="9"/>
  <c r="J61" i="9"/>
  <c r="A24" i="51"/>
  <c r="B18" i="72"/>
  <c r="U29" i="34"/>
  <c r="E5" i="6"/>
  <c r="D9" i="11" s="1"/>
  <c r="C9" i="11" s="1"/>
  <c r="E32" i="6"/>
  <c r="L19"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3"/>
  <c r="C58" i="33" s="1"/>
  <c r="C7" i="21"/>
  <c r="C58" i="21"/>
  <c r="C7" i="40"/>
  <c r="C63" i="40"/>
  <c r="C65" i="40" s="1"/>
  <c r="M47" i="9"/>
  <c r="G19" i="43"/>
  <c r="O19" i="43"/>
  <c r="C19" i="43" s="1"/>
  <c r="C46" i="36"/>
  <c r="C52" i="37"/>
  <c r="A4" i="51"/>
  <c r="B6" i="72"/>
  <c r="C4" i="12"/>
  <c r="H55" i="43"/>
  <c r="H56" i="43"/>
  <c r="H72" i="43"/>
  <c r="L20" i="6"/>
  <c r="B6" i="1"/>
  <c r="E6" i="1"/>
  <c r="O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U19" i="34"/>
  <c r="W33" i="34"/>
  <c r="W29" i="34"/>
  <c r="W46" i="34"/>
  <c r="S32" i="34"/>
  <c r="U30" i="34"/>
  <c r="U38" i="34"/>
  <c r="W40" i="34"/>
  <c r="S19" i="34"/>
  <c r="S36" i="34"/>
  <c r="S8" i="34"/>
  <c r="U9" i="34"/>
  <c r="S46" i="34"/>
  <c r="U32" i="34"/>
  <c r="U14" i="34"/>
  <c r="W43" i="34"/>
  <c r="W35" i="34"/>
  <c r="U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60" i="15"/>
  <c r="D19" i="12"/>
  <c r="C19" i="12" s="1"/>
  <c r="AA39" i="40"/>
  <c r="S39" i="40"/>
  <c r="S12" i="33"/>
  <c r="AA12" i="33"/>
  <c r="D68" i="9"/>
  <c r="U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F11" i="12"/>
  <c r="C23" i="12" s="1"/>
  <c r="F34" i="68"/>
  <c r="H109" i="9"/>
  <c r="H110" i="9"/>
  <c r="D18" i="53" s="1"/>
  <c r="B35" i="72" s="1"/>
  <c r="D124" i="9"/>
  <c r="H14" i="74"/>
  <c r="B7" i="74"/>
  <c r="D16" i="53"/>
  <c r="B34" i="72"/>
  <c r="D10" i="52"/>
  <c r="D17" i="53"/>
  <c r="B36" i="72"/>
  <c r="D125" i="9"/>
  <c r="D11" i="52"/>
  <c r="H112" i="9"/>
  <c r="D21" i="53"/>
  <c r="B39" i="72"/>
  <c r="H111" i="9"/>
  <c r="D126" i="9"/>
  <c r="D19" i="53"/>
  <c r="B38" i="72"/>
  <c r="D59" i="9"/>
  <c r="M55" i="9"/>
  <c r="D20" i="53"/>
  <c r="B40" i="72"/>
  <c r="AD3" i="71"/>
  <c r="D63" i="40"/>
  <c r="D65" i="40" s="1"/>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s="1"/>
  <c r="P21" i="43"/>
  <c r="P22" i="43"/>
  <c r="V8" i="71"/>
  <c r="P23" i="43"/>
  <c r="D9" i="71"/>
  <c r="P25" i="43"/>
  <c r="D6" i="71"/>
  <c r="T8" i="71"/>
  <c r="D7" i="71"/>
  <c r="D8" i="71"/>
  <c r="M20" i="43"/>
  <c r="U8" i="71"/>
  <c r="F31" i="15"/>
  <c r="F31" i="67"/>
  <c r="S35" i="34"/>
  <c r="G7" i="1"/>
  <c r="B13" i="70"/>
  <c r="B12" i="70"/>
  <c r="G11" i="1"/>
  <c r="G9" i="1"/>
  <c r="G10" i="1"/>
  <c r="C18" i="9"/>
  <c r="D18" i="9"/>
  <c r="G8" i="1"/>
  <c r="W19" i="34"/>
  <c r="H87" i="35"/>
  <c r="I87" i="35"/>
  <c r="J87" i="35"/>
  <c r="K87" i="35"/>
  <c r="L87" i="35"/>
  <c r="M87" i="35"/>
  <c r="U28" i="35"/>
  <c r="W28" i="35"/>
  <c r="F70" i="35"/>
  <c r="G70" i="35"/>
  <c r="W20" i="35"/>
  <c r="S18" i="35"/>
  <c r="S16" i="35"/>
  <c r="F66" i="35"/>
  <c r="G66" i="35"/>
  <c r="W16" i="35"/>
  <c r="F64" i="35"/>
  <c r="G64" i="35"/>
  <c r="S9" i="35"/>
  <c r="D1" i="66"/>
  <c r="E10" i="66"/>
  <c r="B8" i="1"/>
  <c r="E8" i="1"/>
  <c r="C5" i="11"/>
  <c r="AC37" i="33"/>
  <c r="S26" i="33"/>
  <c r="W21" i="33"/>
  <c r="AA17" i="33"/>
  <c r="M20" i="15"/>
  <c r="M20" i="79"/>
  <c r="M20" i="77"/>
  <c r="F62" i="79"/>
  <c r="F34" i="77"/>
  <c r="F62" i="77"/>
  <c r="BB5" i="3"/>
  <c r="E8" i="6"/>
  <c r="E51" i="40" s="1"/>
  <c r="I20" i="43"/>
  <c r="L27" i="6"/>
  <c r="H5" i="3"/>
  <c r="BD5" i="3"/>
  <c r="E11" i="6" s="1"/>
  <c r="E56" i="40" s="1"/>
  <c r="M18" i="80"/>
  <c r="B118" i="80" s="1"/>
  <c r="B17" i="74" s="1"/>
  <c r="G27" i="6"/>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I67" i="34"/>
  <c r="W9" i="34"/>
  <c r="W41" i="34"/>
  <c r="G88" i="34"/>
  <c r="H88" i="34"/>
  <c r="I88" i="34"/>
  <c r="J88" i="34"/>
  <c r="K88" i="34"/>
  <c r="L88" i="34"/>
  <c r="M88" i="34"/>
  <c r="AA21" i="33"/>
  <c r="F90" i="34"/>
  <c r="G90" i="34"/>
  <c r="H90" i="34"/>
  <c r="I90" i="34"/>
  <c r="J90" i="34"/>
  <c r="K90" i="34"/>
  <c r="L90" i="34"/>
  <c r="M90" i="34"/>
  <c r="S27" i="34"/>
  <c r="U25"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S21"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E13" i="6"/>
  <c r="E58" i="40" s="1"/>
  <c r="BL5" i="3"/>
  <c r="O6" i="1"/>
  <c r="AA34" i="33"/>
  <c r="S32" i="33"/>
  <c r="S41" i="33"/>
  <c r="W39" i="33"/>
  <c r="AC35" i="33"/>
  <c r="AC32" i="33"/>
  <c r="U32" i="33"/>
  <c r="S28" i="33"/>
  <c r="AC28" i="33"/>
  <c r="S45" i="33"/>
  <c r="AB26" i="33"/>
  <c r="AA25" i="33"/>
  <c r="AB23" i="33"/>
  <c r="S23" i="33"/>
  <c r="U19" i="33"/>
  <c r="U17" i="33"/>
  <c r="S9" i="33"/>
  <c r="E63" i="40"/>
  <c r="M47" i="78"/>
  <c r="M47" i="80"/>
  <c r="J51" i="77"/>
  <c r="C51" i="10"/>
  <c r="A118" i="78"/>
  <c r="A2" i="78"/>
  <c r="A118" i="80"/>
  <c r="A2" i="80"/>
  <c r="E10" i="43"/>
  <c r="E8" i="43"/>
  <c r="E9" i="43"/>
  <c r="E11" i="43"/>
  <c r="AC36" i="33"/>
  <c r="AC10" i="33"/>
  <c r="W8" i="33"/>
  <c r="G17" i="43"/>
  <c r="C16" i="43"/>
  <c r="C5" i="43"/>
  <c r="M18" i="15"/>
  <c r="M18" i="67"/>
  <c r="F30" i="68"/>
  <c r="C92" i="9"/>
  <c r="F54" i="9"/>
  <c r="F30" i="69"/>
  <c r="F32" i="67"/>
  <c r="F60" i="67"/>
  <c r="F52" i="9"/>
  <c r="F28" i="67"/>
  <c r="F30" i="11"/>
  <c r="P61" i="15"/>
  <c r="B11" i="49"/>
  <c r="C4" i="4" s="1"/>
  <c r="C36" i="69"/>
  <c r="B10" i="49"/>
  <c r="E237" i="3"/>
  <c r="O14" i="1"/>
  <c r="P14" i="1"/>
  <c r="P6" i="1"/>
  <c r="O12" i="1"/>
  <c r="P12" i="1"/>
  <c r="O9" i="1"/>
  <c r="P9" i="1"/>
  <c r="O8" i="1"/>
  <c r="P11" i="1"/>
  <c r="D5" i="43"/>
  <c r="H50" i="43"/>
  <c r="E22" i="49"/>
  <c r="I14" i="74"/>
  <c r="B8" i="74"/>
  <c r="D127" i="9"/>
  <c r="D13" i="52"/>
  <c r="D12" i="52"/>
  <c r="B14" i="49"/>
  <c r="B6" i="49"/>
  <c r="D58" i="21"/>
  <c r="E58" i="21" s="1"/>
  <c r="F58" i="21" s="1"/>
  <c r="G58" i="21" s="1"/>
  <c r="H58" i="21" s="1"/>
  <c r="I58" i="21" s="1"/>
  <c r="J58" i="21" s="1"/>
  <c r="K58" i="21" s="1"/>
  <c r="L58" i="21" s="1"/>
  <c r="M58" i="21" s="1"/>
  <c r="N58" i="21"/>
  <c r="O58" i="21" s="1"/>
  <c r="D46" i="36"/>
  <c r="D52" i="37"/>
  <c r="F59" i="15"/>
  <c r="F59" i="67"/>
  <c r="M17" i="15"/>
  <c r="M17" i="67"/>
  <c r="H112" i="34"/>
  <c r="I112" i="34"/>
  <c r="J112" i="34"/>
  <c r="K112" i="34"/>
  <c r="L112" i="34"/>
  <c r="M112" i="34"/>
  <c r="W37" i="34"/>
  <c r="S37" i="34"/>
  <c r="O7" i="1"/>
  <c r="P7" i="1"/>
  <c r="O10" i="1"/>
  <c r="P10" i="1"/>
  <c r="G3" i="43"/>
  <c r="N104" i="46"/>
  <c r="H16" i="1"/>
  <c r="Q16" i="1"/>
  <c r="F27" i="69" s="1"/>
  <c r="C29" i="69" s="1"/>
  <c r="D27" i="69" s="1"/>
  <c r="G16" i="1"/>
  <c r="F10" i="40" s="1"/>
  <c r="AA10" i="40" s="1"/>
  <c r="E387" i="3"/>
  <c r="H101" i="43"/>
  <c r="C101" i="43"/>
  <c r="C107" i="43" s="1"/>
  <c r="N101" i="43"/>
  <c r="Z7" i="43"/>
  <c r="I101" i="43"/>
  <c r="AI11" i="43"/>
  <c r="AI13" i="43" s="1"/>
  <c r="E101" i="43"/>
  <c r="E104" i="43" s="1"/>
  <c r="S20" i="35"/>
  <c r="W14" i="35"/>
  <c r="S14" i="35"/>
  <c r="S26" i="35"/>
  <c r="W26" i="35"/>
  <c r="U26" i="35"/>
  <c r="X6" i="3"/>
  <c r="U25" i="33"/>
  <c r="E514" i="3"/>
  <c r="B29" i="1"/>
  <c r="E165" i="3"/>
  <c r="M6" i="3"/>
  <c r="F27" i="6"/>
  <c r="C34" i="69"/>
  <c r="C38" i="69" s="1"/>
  <c r="E15" i="6"/>
  <c r="E60" i="40" s="1"/>
  <c r="E14" i="6"/>
  <c r="E59" i="40" s="1"/>
  <c r="E227" i="3"/>
  <c r="E311" i="3"/>
  <c r="E570" i="3"/>
  <c r="AB6" i="3"/>
  <c r="E335" i="3"/>
  <c r="E583" i="3"/>
  <c r="E336" i="3"/>
  <c r="E205" i="3"/>
  <c r="E128" i="3"/>
  <c r="E358" i="3"/>
  <c r="E559" i="3"/>
  <c r="E551" i="3"/>
  <c r="V6" i="3"/>
  <c r="E407" i="3"/>
  <c r="E320" i="3"/>
  <c r="E230" i="3"/>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E569" i="3"/>
  <c r="E239" i="3"/>
  <c r="E282" i="3"/>
  <c r="E366" i="3"/>
  <c r="E503" i="3"/>
  <c r="E183" i="3"/>
  <c r="E261" i="3"/>
  <c r="E431" i="3"/>
  <c r="E579" i="3"/>
  <c r="E509" i="3"/>
  <c r="AJ6" i="3"/>
  <c r="E322" i="3"/>
  <c r="E268" i="3"/>
  <c r="E526" i="3"/>
  <c r="E217" i="3"/>
  <c r="E302" i="3"/>
  <c r="E17" i="3"/>
  <c r="E213" i="3"/>
  <c r="E565" i="3"/>
  <c r="E304" i="3"/>
  <c r="E69" i="3"/>
  <c r="B1" i="74"/>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166" i="82"/>
  <c r="Q164" i="82"/>
  <c r="Q162" i="82"/>
  <c r="Q160" i="82"/>
  <c r="Q158" i="82"/>
  <c r="Q156" i="82"/>
  <c r="Q154" i="82"/>
  <c r="Q152" i="82"/>
  <c r="Q150" i="82"/>
  <c r="Q148" i="82"/>
  <c r="Q146" i="82"/>
  <c r="Q144" i="82"/>
  <c r="Q142" i="82"/>
  <c r="Q140" i="82"/>
  <c r="Q138" i="82"/>
  <c r="Q136" i="82"/>
  <c r="Q134" i="82"/>
  <c r="Q132" i="82"/>
  <c r="Q130" i="82"/>
  <c r="Q128" i="82"/>
  <c r="Q126" i="82"/>
  <c r="Q12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U10" i="34"/>
  <c r="W10" i="34"/>
  <c r="S10" i="34"/>
  <c r="W25" i="34"/>
  <c r="S25" i="34"/>
  <c r="W27" i="34"/>
  <c r="U27" i="34"/>
  <c r="W25" i="33"/>
  <c r="AC25" i="33"/>
  <c r="U36" i="33"/>
  <c r="AB36" i="33"/>
  <c r="AA36" i="33"/>
  <c r="S36" i="33"/>
  <c r="W27" i="33"/>
  <c r="U27" i="33"/>
  <c r="AB27" i="33"/>
  <c r="AA27" i="33"/>
  <c r="S27" i="33"/>
  <c r="E65" i="40"/>
  <c r="F63" i="40"/>
  <c r="C30" i="11"/>
  <c r="C48" i="11"/>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H6" i="3"/>
  <c r="I109" i="43"/>
  <c r="I102" i="43"/>
  <c r="I106" i="43"/>
  <c r="I103" i="43"/>
  <c r="I104" i="43"/>
  <c r="I107" i="43"/>
  <c r="I105" i="43"/>
  <c r="E107" i="43"/>
  <c r="E102" i="43"/>
  <c r="E103" i="43"/>
  <c r="H10" i="40"/>
  <c r="AB10" i="40" s="1"/>
  <c r="H102" i="43"/>
  <c r="H103" i="43"/>
  <c r="H104" i="43"/>
  <c r="H109" i="43"/>
  <c r="H107" i="43"/>
  <c r="H106" i="43"/>
  <c r="H105" i="43"/>
  <c r="P8" i="1"/>
  <c r="P16" i="1" s="1"/>
  <c r="C11" i="12" s="1"/>
  <c r="C15" i="12" s="1"/>
  <c r="C104" i="43"/>
  <c r="C103" i="43"/>
  <c r="C105" i="43"/>
  <c r="C23" i="43"/>
  <c r="N102" i="43"/>
  <c r="N105" i="43"/>
  <c r="N104" i="43"/>
  <c r="N109" i="43"/>
  <c r="N103" i="43"/>
  <c r="N107" i="43"/>
  <c r="N106" i="43"/>
  <c r="E46" i="36"/>
  <c r="S10" i="40"/>
  <c r="E52" i="37"/>
  <c r="AE7" i="1"/>
  <c r="U37" i="34"/>
  <c r="AD11" i="43"/>
  <c r="AD13" i="43" s="1"/>
  <c r="AA11" i="43"/>
  <c r="AA13" i="43" s="1"/>
  <c r="AF11" i="43"/>
  <c r="AF13" i="43" s="1"/>
  <c r="AC11" i="43"/>
  <c r="AC13" i="43" s="1"/>
  <c r="K101" i="43"/>
  <c r="B113" i="43"/>
  <c r="B118" i="43"/>
  <c r="C118" i="43" s="1"/>
  <c r="F27" i="11"/>
  <c r="H22" i="43"/>
  <c r="AH11" i="43"/>
  <c r="AH13" i="43" s="1"/>
  <c r="AE11" i="43"/>
  <c r="AE13" i="43" s="1"/>
  <c r="AJ11" i="43"/>
  <c r="AJ13" i="43" s="1"/>
  <c r="AG11" i="43"/>
  <c r="AG13" i="43" s="1"/>
  <c r="F101" i="43"/>
  <c r="G101" i="43"/>
  <c r="L101" i="43"/>
  <c r="Z11" i="43"/>
  <c r="Z13" i="43"/>
  <c r="D101" i="43"/>
  <c r="Y11" i="43"/>
  <c r="Y13" i="43" s="1"/>
  <c r="F22" i="43"/>
  <c r="D22" i="43" s="1"/>
  <c r="C21" i="43" s="1"/>
  <c r="E22" i="43"/>
  <c r="J101" i="43"/>
  <c r="J102" i="43" s="1"/>
  <c r="M101" i="43"/>
  <c r="AB11" i="43"/>
  <c r="AB13" i="43" s="1"/>
  <c r="G22" i="43"/>
  <c r="K107" i="43"/>
  <c r="D115" i="43"/>
  <c r="E115" i="43" s="1"/>
  <c r="F115" i="43"/>
  <c r="G115" i="43" s="1"/>
  <c r="H115" i="43" s="1"/>
  <c r="I116" i="43"/>
  <c r="J116" i="43" s="1"/>
  <c r="K116" i="43"/>
  <c r="L116" i="43" s="1"/>
  <c r="M116" i="43" s="1"/>
  <c r="B116" i="43"/>
  <c r="C116" i="43" s="1"/>
  <c r="D116" i="43"/>
  <c r="E116" i="43" s="1"/>
  <c r="F116" i="43"/>
  <c r="G116" i="43" s="1"/>
  <c r="H116" i="43" s="1"/>
  <c r="S4" i="43"/>
  <c r="S2" i="43"/>
  <c r="S5" i="43"/>
  <c r="S6" i="43"/>
  <c r="S7" i="43"/>
  <c r="S3" i="43"/>
  <c r="G63" i="40"/>
  <c r="F65" i="40"/>
  <c r="E6" i="3"/>
  <c r="M18" i="9"/>
  <c r="B118" i="9"/>
  <c r="B14" i="74" s="1"/>
  <c r="D3" i="34"/>
  <c r="D3" i="33"/>
  <c r="F46" i="36"/>
  <c r="G46" i="36" s="1"/>
  <c r="F52" i="37"/>
  <c r="AE6" i="1"/>
  <c r="B115" i="43"/>
  <c r="C115" i="43" s="1"/>
  <c r="B117" i="43"/>
  <c r="C117" i="43" s="1"/>
  <c r="G118" i="43"/>
  <c r="H118" i="43" s="1"/>
  <c r="I118" i="43"/>
  <c r="J118" i="43" s="1"/>
  <c r="K118" i="43" s="1"/>
  <c r="L118" i="43" s="1"/>
  <c r="M118" i="43" s="1"/>
  <c r="K103" i="43"/>
  <c r="K106" i="43"/>
  <c r="K102" i="43"/>
  <c r="C47" i="11"/>
  <c r="D45" i="11" s="1"/>
  <c r="C29" i="11"/>
  <c r="D27" i="11" s="1"/>
  <c r="M109" i="43"/>
  <c r="M107" i="43"/>
  <c r="M102" i="43"/>
  <c r="M103" i="43"/>
  <c r="M104" i="43"/>
  <c r="M105" i="43"/>
  <c r="M106" i="43"/>
  <c r="G107" i="43"/>
  <c r="G106" i="43"/>
  <c r="G102" i="43"/>
  <c r="G105" i="43"/>
  <c r="G104" i="43"/>
  <c r="G103" i="43"/>
  <c r="G109" i="43"/>
  <c r="J104" i="43"/>
  <c r="J105" i="43"/>
  <c r="J107"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AG6" i="1"/>
  <c r="J33" i="33"/>
  <c r="F33" i="33"/>
  <c r="H33" i="33"/>
  <c r="G65" i="40"/>
  <c r="H63" i="40"/>
  <c r="H65" i="40" s="1"/>
  <c r="M19" i="9"/>
  <c r="C118" i="9" s="1"/>
  <c r="C14" i="74" s="1"/>
  <c r="C7" i="74"/>
  <c r="C8" i="74"/>
  <c r="G52" i="37"/>
  <c r="J22" i="43"/>
  <c r="AA33" i="33"/>
  <c r="S33" i="33"/>
  <c r="AB33" i="33"/>
  <c r="U33" i="33"/>
  <c r="AC33" i="33"/>
  <c r="W33" i="33"/>
  <c r="M19" i="78"/>
  <c r="C118" i="78" s="1"/>
  <c r="C15" i="74" s="1"/>
  <c r="I63" i="40"/>
  <c r="I65" i="40" s="1"/>
  <c r="S34" i="34"/>
  <c r="U34" i="34"/>
  <c r="W34" i="34"/>
  <c r="D7" i="74"/>
  <c r="D8" i="74"/>
  <c r="H52" i="37"/>
  <c r="I52" i="37" s="1"/>
  <c r="E9" i="70"/>
  <c r="L18" i="78"/>
  <c r="E8" i="70"/>
  <c r="E7" i="70"/>
  <c r="E6" i="70"/>
  <c r="E2" i="70" s="1"/>
  <c r="J63" i="40"/>
  <c r="K63" i="40" s="1"/>
  <c r="C19" i="68"/>
  <c r="L18" i="9"/>
  <c r="L19" i="78"/>
  <c r="J65" i="40"/>
  <c r="L19" i="9"/>
  <c r="S11" i="34"/>
  <c r="U11" i="34"/>
  <c r="W11" i="34"/>
  <c r="B11" i="70"/>
  <c r="B8" i="70"/>
  <c r="B9" i="70"/>
  <c r="B10" i="70"/>
  <c r="R34" i="31"/>
  <c r="R35" i="31"/>
  <c r="S35" i="31"/>
  <c r="I14" i="84"/>
  <c r="J14" i="84"/>
  <c r="S34" i="31"/>
  <c r="I13" i="84" s="1"/>
  <c r="J13" i="84"/>
  <c r="I172" i="94"/>
  <c r="B173" i="94"/>
  <c r="B170" i="89"/>
  <c r="E6" i="49" l="1"/>
  <c r="B22" i="49"/>
  <c r="B15" i="49"/>
  <c r="L63" i="40"/>
  <c r="K65" i="40"/>
  <c r="J7" i="37"/>
  <c r="J52" i="37"/>
  <c r="K52" i="37" s="1"/>
  <c r="L52" i="37" s="1"/>
  <c r="M52" i="37" s="1"/>
  <c r="N52" i="37" s="1"/>
  <c r="O52" i="37" s="1"/>
  <c r="H46" i="36"/>
  <c r="I46" i="36" s="1"/>
  <c r="J46" i="36" s="1"/>
  <c r="K46" i="36" s="1"/>
  <c r="L46" i="36" s="1"/>
  <c r="M46" i="36" s="1"/>
  <c r="N46" i="36" s="1"/>
  <c r="O46" i="36" s="1"/>
  <c r="H7" i="36"/>
  <c r="J7" i="21"/>
  <c r="H7" i="21"/>
  <c r="F7" i="21"/>
  <c r="F7" i="36"/>
  <c r="D58" i="33"/>
  <c r="E58" i="33" s="1"/>
  <c r="F58" i="33" s="1"/>
  <c r="G58" i="33" s="1"/>
  <c r="H58" i="33" s="1"/>
  <c r="I58" i="33" s="1"/>
  <c r="J58" i="33" s="1"/>
  <c r="K58" i="33" s="1"/>
  <c r="L58" i="33" s="1"/>
  <c r="M58" i="33" s="1"/>
  <c r="N58" i="33" s="1"/>
  <c r="O58" i="33" s="1"/>
  <c r="H7" i="33"/>
  <c r="J7" i="33"/>
  <c r="F7" i="33"/>
  <c r="C7" i="35"/>
  <c r="C48" i="35" s="1"/>
  <c r="J51" i="79"/>
  <c r="C42" i="1"/>
  <c r="J51" i="87"/>
  <c r="C7" i="34"/>
  <c r="C59" i="34" s="1"/>
  <c r="J51" i="91"/>
  <c r="J51" i="15"/>
  <c r="J51" i="90"/>
  <c r="M47" i="88"/>
  <c r="N11" i="1"/>
  <c r="C29" i="35"/>
  <c r="U11" i="85"/>
  <c r="AB11" i="85"/>
  <c r="AA11" i="85"/>
  <c r="S11" i="85"/>
  <c r="F7" i="85"/>
  <c r="H7" i="85"/>
  <c r="AC7" i="85"/>
  <c r="V47" i="85" s="1"/>
  <c r="I47" i="85" s="1"/>
  <c r="W7" i="85"/>
  <c r="C12" i="12"/>
  <c r="U10" i="85"/>
  <c r="B9" i="49"/>
  <c r="B5" i="49"/>
  <c r="E9" i="49"/>
  <c r="B7" i="49"/>
  <c r="E21" i="49"/>
  <c r="B8" i="49"/>
  <c r="E7" i="49"/>
  <c r="B13" i="49"/>
  <c r="E4" i="4" s="1"/>
  <c r="B5" i="62" s="1"/>
  <c r="B73" i="72" s="1"/>
  <c r="E16" i="49"/>
  <c r="E5" i="49"/>
  <c r="E4" i="49"/>
  <c r="E13" i="49"/>
  <c r="E14" i="49"/>
  <c r="E8" i="49"/>
  <c r="B16" i="49"/>
  <c r="E11" i="49"/>
  <c r="E15" i="49"/>
  <c r="E10" i="49"/>
  <c r="B4" i="49"/>
  <c r="B4" i="62"/>
  <c r="B71" i="72" s="1"/>
  <c r="J109" i="43"/>
  <c r="J106" i="43"/>
  <c r="D117" i="43"/>
  <c r="E117" i="43" s="1"/>
  <c r="F117" i="43" s="1"/>
  <c r="G117" i="43" s="1"/>
  <c r="H117" i="43" s="1"/>
  <c r="I115" i="43"/>
  <c r="J115" i="43" s="1"/>
  <c r="K115" i="43" s="1"/>
  <c r="L115" i="43" s="1"/>
  <c r="M115" i="43" s="1"/>
  <c r="D118" i="43"/>
  <c r="E118" i="43" s="1"/>
  <c r="F118" i="43" s="1"/>
  <c r="I117" i="43"/>
  <c r="J117" i="43" s="1"/>
  <c r="K117" i="43" s="1"/>
  <c r="L117" i="43" s="1"/>
  <c r="M117" i="43" s="1"/>
  <c r="K109" i="43"/>
  <c r="K104" i="43"/>
  <c r="K105" i="43"/>
  <c r="E29" i="6"/>
  <c r="F30" i="6"/>
  <c r="F31" i="6" s="1"/>
  <c r="U10" i="40"/>
  <c r="J10" i="40"/>
  <c r="C109" i="43"/>
  <c r="C102" i="43"/>
  <c r="C106" i="43"/>
  <c r="E109" i="43"/>
  <c r="E106" i="43"/>
  <c r="E105" i="43"/>
  <c r="F28" i="12"/>
  <c r="E10" i="6"/>
  <c r="E16" i="6" s="1"/>
  <c r="E12" i="6"/>
  <c r="E57" i="40" s="1"/>
  <c r="D9" i="69"/>
  <c r="BA17" i="3"/>
  <c r="AH10" i="1"/>
  <c r="M10" i="1"/>
  <c r="C35" i="69"/>
  <c r="C47" i="69"/>
  <c r="D45" i="69" s="1"/>
  <c r="S7" i="33" l="1"/>
  <c r="AA7" i="33"/>
  <c r="R48" i="33" s="1"/>
  <c r="U7" i="33"/>
  <c r="AB7" i="33"/>
  <c r="T48" i="33" s="1"/>
  <c r="G48" i="33" s="1"/>
  <c r="S7" i="36"/>
  <c r="AA7" i="36"/>
  <c r="R36" i="36" s="1"/>
  <c r="AB7" i="21"/>
  <c r="T48" i="21" s="1"/>
  <c r="G48" i="21" s="1"/>
  <c r="U7" i="21"/>
  <c r="U7" i="36"/>
  <c r="AB7" i="36"/>
  <c r="T36" i="36" s="1"/>
  <c r="G36" i="36" s="1"/>
  <c r="W7" i="37"/>
  <c r="AC7" i="37"/>
  <c r="V42" i="37" s="1"/>
  <c r="I42" i="37" s="1"/>
  <c r="D59" i="34"/>
  <c r="E59" i="34" s="1"/>
  <c r="F59" i="34" s="1"/>
  <c r="G59" i="34" s="1"/>
  <c r="H59" i="34" s="1"/>
  <c r="I59" i="34" s="1"/>
  <c r="J59" i="34" s="1"/>
  <c r="K59" i="34" s="1"/>
  <c r="L59" i="34" s="1"/>
  <c r="M59" i="34" s="1"/>
  <c r="N59" i="34" s="1"/>
  <c r="O59" i="34" s="1"/>
  <c r="C28" i="87"/>
  <c r="C28" i="15"/>
  <c r="C30" i="86"/>
  <c r="C48" i="86"/>
  <c r="C28" i="79"/>
  <c r="C28" i="90"/>
  <c r="C28" i="91"/>
  <c r="C48" i="93"/>
  <c r="C30" i="93"/>
  <c r="C77" i="88"/>
  <c r="C74" i="88" s="1"/>
  <c r="C36" i="11"/>
  <c r="C28" i="77"/>
  <c r="C77" i="78"/>
  <c r="C74" i="78"/>
  <c r="C30" i="69"/>
  <c r="C77" i="9"/>
  <c r="C74" i="9" s="1"/>
  <c r="C13" i="12"/>
  <c r="C77" i="80"/>
  <c r="C74" i="80"/>
  <c r="C24" i="12"/>
  <c r="C29" i="12" s="1"/>
  <c r="D28" i="12" s="1"/>
  <c r="C31" i="12"/>
  <c r="C28" i="67"/>
  <c r="C30" i="68"/>
  <c r="C48" i="69"/>
  <c r="C48" i="68"/>
  <c r="D48" i="35"/>
  <c r="E48" i="35" s="1"/>
  <c r="F48" i="35" s="1"/>
  <c r="G48" i="35" s="1"/>
  <c r="H48" i="35" s="1"/>
  <c r="I48" i="35" s="1"/>
  <c r="J48" i="35" s="1"/>
  <c r="K48" i="35" s="1"/>
  <c r="L48" i="35" s="1"/>
  <c r="M48" i="35" s="1"/>
  <c r="N48" i="35" s="1"/>
  <c r="O48" i="35" s="1"/>
  <c r="J7" i="35"/>
  <c r="F7" i="35"/>
  <c r="H7" i="35"/>
  <c r="W7" i="33"/>
  <c r="AC7" i="33"/>
  <c r="V48" i="33" s="1"/>
  <c r="I48" i="33" s="1"/>
  <c r="AA7" i="21"/>
  <c r="R48" i="21" s="1"/>
  <c r="S7" i="21"/>
  <c r="AC7" i="21"/>
  <c r="V48" i="21" s="1"/>
  <c r="I48" i="21" s="1"/>
  <c r="W7" i="21"/>
  <c r="J7" i="36"/>
  <c r="F7" i="37"/>
  <c r="M63" i="40"/>
  <c r="L65" i="40"/>
  <c r="H7" i="37"/>
  <c r="F29" i="35"/>
  <c r="H29" i="35"/>
  <c r="J29" i="35"/>
  <c r="AB7" i="85"/>
  <c r="T47" i="85" s="1"/>
  <c r="G47" i="85" s="1"/>
  <c r="U7" i="85"/>
  <c r="I51" i="85"/>
  <c r="J51" i="85" s="1"/>
  <c r="AA7" i="85"/>
  <c r="R47" i="85" s="1"/>
  <c r="S7" i="85"/>
  <c r="K4" i="4"/>
  <c r="B46" i="48" s="1"/>
  <c r="B4" i="72" s="1"/>
  <c r="F3" i="35"/>
  <c r="AZ17" i="3"/>
  <c r="AZ5" i="3" s="1"/>
  <c r="BA5" i="3"/>
  <c r="E27" i="6" s="1"/>
  <c r="C9" i="69"/>
  <c r="AC10" i="40"/>
  <c r="W10" i="40"/>
  <c r="D113" i="43"/>
  <c r="M16" i="1"/>
  <c r="K15" i="1"/>
  <c r="K16" i="1" s="1"/>
  <c r="E30" i="6"/>
  <c r="M24" i="15"/>
  <c r="F6" i="77"/>
  <c r="F38" i="79"/>
  <c r="C76" i="15"/>
  <c r="M8" i="79"/>
  <c r="F8" i="77"/>
  <c r="F13" i="90"/>
  <c r="L47" i="77"/>
  <c r="J15" i="15"/>
  <c r="F27" i="68"/>
  <c r="F8" i="67"/>
  <c r="M26" i="87"/>
  <c r="M28" i="77"/>
  <c r="AO6" i="1"/>
  <c r="F3" i="73"/>
  <c r="C20" i="9"/>
  <c r="F42" i="77"/>
  <c r="D35" i="9"/>
  <c r="F7" i="67"/>
  <c r="M6" i="87"/>
  <c r="F43" i="67"/>
  <c r="F40" i="91"/>
  <c r="F35" i="67"/>
  <c r="F9" i="87"/>
  <c r="C36" i="68"/>
  <c r="F36" i="87"/>
  <c r="F40" i="79"/>
  <c r="F38" i="91"/>
  <c r="J15" i="90"/>
  <c r="F7" i="15"/>
  <c r="D7" i="73"/>
  <c r="M9" i="15"/>
  <c r="L47" i="15"/>
  <c r="M27" i="90"/>
  <c r="M26" i="15"/>
  <c r="E2" i="86"/>
  <c r="D3" i="73"/>
  <c r="C76" i="67"/>
  <c r="M28" i="79"/>
  <c r="M6" i="67"/>
  <c r="F41" i="90"/>
  <c r="B10" i="76"/>
  <c r="D5" i="73"/>
  <c r="M23" i="15"/>
  <c r="F6" i="91"/>
  <c r="B9" i="76"/>
  <c r="M6" i="91"/>
  <c r="E8" i="76"/>
  <c r="L48" i="91"/>
  <c r="M28" i="87"/>
  <c r="F13" i="15"/>
  <c r="M22" i="79"/>
  <c r="F43" i="87"/>
  <c r="F7" i="77"/>
  <c r="F13" i="91"/>
  <c r="M23" i="90"/>
  <c r="M22" i="91"/>
  <c r="F20" i="82"/>
  <c r="F42" i="91"/>
  <c r="F41" i="67"/>
  <c r="F38" i="15"/>
  <c r="F7" i="73"/>
  <c r="F9" i="79"/>
  <c r="E7" i="76"/>
  <c r="F36" i="90"/>
  <c r="B8" i="76"/>
  <c r="J15" i="77"/>
  <c r="L48" i="90"/>
  <c r="F37" i="77"/>
  <c r="F26" i="67"/>
  <c r="M22" i="77"/>
  <c r="M9" i="67"/>
  <c r="M23" i="87"/>
  <c r="M29" i="91"/>
  <c r="L47" i="87"/>
  <c r="D35" i="78"/>
  <c r="F43" i="91"/>
  <c r="M24" i="91"/>
  <c r="F26" i="15"/>
  <c r="F26" i="79"/>
  <c r="F37" i="15"/>
  <c r="F8" i="79"/>
  <c r="C76" i="90"/>
  <c r="L47" i="90"/>
  <c r="F5" i="73"/>
  <c r="F42" i="67"/>
  <c r="D4" i="73"/>
  <c r="D2" i="34"/>
  <c r="F9" i="77"/>
  <c r="AO13" i="1"/>
  <c r="F20" i="31"/>
  <c r="M22" i="67"/>
  <c r="M29" i="15"/>
  <c r="M9" i="79"/>
  <c r="M26" i="90"/>
  <c r="D2" i="35"/>
  <c r="M26" i="67"/>
  <c r="M26" i="77"/>
  <c r="J15" i="87"/>
  <c r="M26" i="79"/>
  <c r="M29" i="79"/>
  <c r="C36" i="93"/>
  <c r="M9" i="90"/>
  <c r="M8" i="90"/>
  <c r="F9" i="67"/>
  <c r="M24" i="77"/>
  <c r="F36" i="77"/>
  <c r="M29" i="67"/>
  <c r="D2" i="21"/>
  <c r="C19" i="9"/>
  <c r="F6" i="87"/>
  <c r="M28" i="91"/>
  <c r="F36" i="15"/>
  <c r="M8" i="87"/>
  <c r="F36" i="91"/>
  <c r="M8" i="91"/>
  <c r="F40" i="15"/>
  <c r="F27" i="86"/>
  <c r="M9" i="91"/>
  <c r="F37" i="79"/>
  <c r="F13" i="79"/>
  <c r="F8" i="90"/>
  <c r="M24" i="67"/>
  <c r="F40" i="77"/>
  <c r="G1" i="73"/>
  <c r="M24" i="90"/>
  <c r="F6" i="90"/>
  <c r="M24" i="79"/>
  <c r="F16" i="91"/>
  <c r="F38" i="67"/>
  <c r="M23" i="91"/>
  <c r="M22" i="15"/>
  <c r="F9" i="15"/>
  <c r="M24" i="87"/>
  <c r="F42" i="87"/>
  <c r="E2" i="93"/>
  <c r="F9" i="91"/>
  <c r="F38" i="90"/>
  <c r="L48" i="15"/>
  <c r="F40" i="67"/>
  <c r="F6" i="79"/>
  <c r="D2" i="36"/>
  <c r="F6" i="15"/>
  <c r="M8" i="67"/>
  <c r="M6" i="15"/>
  <c r="M8" i="77"/>
  <c r="F43" i="79"/>
  <c r="F43" i="77"/>
  <c r="M6" i="79"/>
  <c r="M29" i="77"/>
  <c r="C76" i="91"/>
  <c r="L48" i="77"/>
  <c r="M22" i="90"/>
  <c r="D2" i="37"/>
  <c r="L48" i="67"/>
  <c r="C76" i="79"/>
  <c r="F37" i="67"/>
  <c r="M27" i="87"/>
  <c r="M28" i="15"/>
  <c r="F4" i="73"/>
  <c r="C76" i="87"/>
  <c r="F37" i="87"/>
  <c r="L48" i="79"/>
  <c r="M9" i="87"/>
  <c r="M28" i="90"/>
  <c r="F16" i="15"/>
  <c r="F6" i="73"/>
  <c r="D9" i="86"/>
  <c r="E11" i="76"/>
  <c r="C36" i="86"/>
  <c r="D9" i="68"/>
  <c r="F36" i="79"/>
  <c r="F38" i="77"/>
  <c r="F27" i="93"/>
  <c r="D6" i="73"/>
  <c r="L47" i="91"/>
  <c r="C76" i="77"/>
  <c r="F16" i="90"/>
  <c r="F13" i="67"/>
  <c r="F9" i="90"/>
  <c r="F16" i="77"/>
  <c r="F26" i="77"/>
  <c r="M29" i="90"/>
  <c r="B12" i="76"/>
  <c r="M27" i="15"/>
  <c r="B13" i="76"/>
  <c r="D34" i="9"/>
  <c r="E10" i="76"/>
  <c r="F13" i="87"/>
  <c r="B11" i="76"/>
  <c r="F37" i="91"/>
  <c r="M26" i="91"/>
  <c r="M8" i="15"/>
  <c r="F42" i="15"/>
  <c r="F16" i="79"/>
  <c r="F26" i="90"/>
  <c r="F37" i="90"/>
  <c r="F42" i="90"/>
  <c r="M23" i="77"/>
  <c r="L47" i="67"/>
  <c r="E2" i="68"/>
  <c r="F13" i="77"/>
  <c r="E12" i="76"/>
  <c r="J15" i="67"/>
  <c r="D2" i="33"/>
  <c r="J15" i="79"/>
  <c r="E13" i="76"/>
  <c r="M28" i="67"/>
  <c r="AO12" i="1"/>
  <c r="F36" i="67"/>
  <c r="M23" i="67"/>
  <c r="L47" i="79"/>
  <c r="M22" i="87"/>
  <c r="F7" i="90"/>
  <c r="F41" i="77"/>
  <c r="AO7" i="1"/>
  <c r="F7" i="91"/>
  <c r="J15" i="91"/>
  <c r="F16" i="87"/>
  <c r="F38" i="87"/>
  <c r="F8" i="91"/>
  <c r="M27" i="77"/>
  <c r="D34" i="78"/>
  <c r="F40" i="87"/>
  <c r="F8" i="15"/>
  <c r="F8" i="87"/>
  <c r="F26" i="87"/>
  <c r="L48" i="87"/>
  <c r="F26" i="91"/>
  <c r="F41" i="91"/>
  <c r="F7" i="79"/>
  <c r="F43" i="15"/>
  <c r="F42" i="79"/>
  <c r="D9" i="93"/>
  <c r="F40" i="90"/>
  <c r="M21" i="67"/>
  <c r="E2" i="69"/>
  <c r="M9" i="77"/>
  <c r="F43" i="90"/>
  <c r="M27" i="79"/>
  <c r="M6" i="90"/>
  <c r="B7" i="76"/>
  <c r="M6" i="77"/>
  <c r="M27" i="67"/>
  <c r="F16" i="67"/>
  <c r="E9" i="76"/>
  <c r="F6" i="67"/>
  <c r="M29" i="87"/>
  <c r="F7" i="87"/>
  <c r="M23" i="79"/>
  <c r="M7" i="87" l="1"/>
  <c r="J6" i="87" s="1"/>
  <c r="J19" i="87" s="1"/>
  <c r="F50" i="87"/>
  <c r="C6" i="67"/>
  <c r="C32" i="67" s="1"/>
  <c r="F71" i="90"/>
  <c r="J20" i="67"/>
  <c r="F68" i="90"/>
  <c r="C9" i="93"/>
  <c r="F71" i="15"/>
  <c r="F50" i="79"/>
  <c r="M7" i="79"/>
  <c r="J6" i="79" s="1"/>
  <c r="J18" i="79" s="1"/>
  <c r="F69" i="91"/>
  <c r="C27" i="91"/>
  <c r="J60" i="87"/>
  <c r="Q48" i="87" s="1"/>
  <c r="J57" i="87"/>
  <c r="J55" i="87" s="1"/>
  <c r="J58" i="87" s="1"/>
  <c r="Q50" i="87" s="1"/>
  <c r="I54" i="87"/>
  <c r="J53" i="87"/>
  <c r="L57" i="87"/>
  <c r="J59" i="87"/>
  <c r="L56" i="87"/>
  <c r="L60" i="87"/>
  <c r="L46" i="87"/>
  <c r="C27" i="87"/>
  <c r="F51" i="87"/>
  <c r="F51" i="15"/>
  <c r="F68" i="87"/>
  <c r="F51" i="91"/>
  <c r="F66" i="87"/>
  <c r="F50" i="91"/>
  <c r="M7" i="91"/>
  <c r="J6" i="91" s="1"/>
  <c r="B7" i="70"/>
  <c r="F69" i="77"/>
  <c r="F50" i="90"/>
  <c r="M7" i="90"/>
  <c r="J6" i="90" s="1"/>
  <c r="N59" i="79"/>
  <c r="M59" i="79"/>
  <c r="L58" i="79"/>
  <c r="L59" i="79"/>
  <c r="F64" i="67"/>
  <c r="N59" i="67"/>
  <c r="M59" i="67"/>
  <c r="L59" i="67"/>
  <c r="L58" i="67"/>
  <c r="F65" i="90"/>
  <c r="C27" i="90"/>
  <c r="F65" i="91"/>
  <c r="C27" i="77"/>
  <c r="Q71" i="77"/>
  <c r="M59" i="91"/>
  <c r="N59" i="91"/>
  <c r="L58" i="91"/>
  <c r="L59" i="91"/>
  <c r="C47" i="93"/>
  <c r="D45" i="93" s="1"/>
  <c r="C29" i="93"/>
  <c r="D27" i="93" s="1"/>
  <c r="F66" i="77"/>
  <c r="F64" i="79"/>
  <c r="C9" i="68"/>
  <c r="C9" i="86"/>
  <c r="L60" i="79"/>
  <c r="I54" i="79"/>
  <c r="J59" i="79"/>
  <c r="J57" i="79"/>
  <c r="J55" i="79" s="1"/>
  <c r="J58" i="79" s="1"/>
  <c r="Q50" i="79" s="1"/>
  <c r="J60" i="79"/>
  <c r="Q48" i="79" s="1"/>
  <c r="L46" i="79"/>
  <c r="L57" i="79"/>
  <c r="J53" i="79"/>
  <c r="L56" i="79"/>
  <c r="F65" i="87"/>
  <c r="Q71" i="87"/>
  <c r="I1" i="73"/>
  <c r="B39" i="1" s="1"/>
  <c r="F65" i="67"/>
  <c r="Q71" i="79"/>
  <c r="I54" i="67"/>
  <c r="L56" i="67"/>
  <c r="J57" i="67"/>
  <c r="J55" i="67" s="1"/>
  <c r="J58" i="67" s="1"/>
  <c r="Q50" i="67" s="1"/>
  <c r="J53" i="67"/>
  <c r="L56" i="77"/>
  <c r="J60" i="77"/>
  <c r="Q48" i="77" s="1"/>
  <c r="J53" i="77"/>
  <c r="L57" i="77"/>
  <c r="L60" i="77"/>
  <c r="I54" i="77"/>
  <c r="J59" i="77"/>
  <c r="J57" i="77"/>
  <c r="J55" i="77" s="1"/>
  <c r="J58" i="77" s="1"/>
  <c r="Q50" i="77" s="1"/>
  <c r="Q71" i="91"/>
  <c r="F71" i="77"/>
  <c r="F71" i="79"/>
  <c r="C6" i="15"/>
  <c r="C6" i="79"/>
  <c r="C32" i="79" s="1"/>
  <c r="F68" i="67"/>
  <c r="J57" i="15"/>
  <c r="J55" i="15" s="1"/>
  <c r="J58" i="15" s="1"/>
  <c r="Q50" i="15" s="1"/>
  <c r="L57" i="15"/>
  <c r="I54" i="15"/>
  <c r="L60" i="15"/>
  <c r="J60" i="15"/>
  <c r="Q48" i="15" s="1"/>
  <c r="J59" i="15"/>
  <c r="J53" i="15"/>
  <c r="L56" i="15"/>
  <c r="L46" i="15"/>
  <c r="F66" i="90"/>
  <c r="F66" i="67"/>
  <c r="C6" i="90"/>
  <c r="B40" i="1"/>
  <c r="F68" i="77"/>
  <c r="F51" i="90"/>
  <c r="F65" i="79"/>
  <c r="C47" i="86"/>
  <c r="D45" i="86" s="1"/>
  <c r="C29" i="86"/>
  <c r="D27" i="86" s="1"/>
  <c r="F68" i="15"/>
  <c r="F64" i="91"/>
  <c r="F64" i="15"/>
  <c r="C6" i="87"/>
  <c r="C102" i="9"/>
  <c r="C21" i="9"/>
  <c r="F64" i="77"/>
  <c r="E20" i="43"/>
  <c r="F70" i="67"/>
  <c r="M59" i="90"/>
  <c r="L59" i="90"/>
  <c r="L58" i="90"/>
  <c r="N59" i="90"/>
  <c r="Q71" i="90"/>
  <c r="F51" i="79"/>
  <c r="C49" i="79" s="1"/>
  <c r="F65" i="15"/>
  <c r="C27" i="79"/>
  <c r="C27" i="15"/>
  <c r="F71" i="91"/>
  <c r="L58" i="87"/>
  <c r="N59" i="87"/>
  <c r="M59" i="87"/>
  <c r="L59" i="87"/>
  <c r="C27" i="67"/>
  <c r="F65" i="77"/>
  <c r="J59" i="90"/>
  <c r="L56" i="90"/>
  <c r="L57" i="90"/>
  <c r="J53" i="90"/>
  <c r="I54" i="90"/>
  <c r="J60" i="90"/>
  <c r="Q48" i="90" s="1"/>
  <c r="L60" i="90"/>
  <c r="J57" i="90"/>
  <c r="J55" i="90" s="1"/>
  <c r="J58" i="90" s="1"/>
  <c r="Q50" i="90" s="1"/>
  <c r="F64" i="90"/>
  <c r="F66" i="15"/>
  <c r="F69" i="67"/>
  <c r="F50" i="77"/>
  <c r="M7" i="77"/>
  <c r="J6" i="77" s="1"/>
  <c r="F71" i="87"/>
  <c r="J53" i="91"/>
  <c r="L60" i="91"/>
  <c r="I54" i="91"/>
  <c r="L56" i="91"/>
  <c r="J60" i="91"/>
  <c r="Q48" i="91" s="1"/>
  <c r="J59" i="91"/>
  <c r="L57" i="91"/>
  <c r="J57" i="91"/>
  <c r="J55" i="91" s="1"/>
  <c r="J58" i="91" s="1"/>
  <c r="Q50" i="91" s="1"/>
  <c r="L46" i="91"/>
  <c r="C6" i="91"/>
  <c r="F69" i="90"/>
  <c r="Q71" i="67"/>
  <c r="L59" i="15"/>
  <c r="N59" i="15"/>
  <c r="L58" i="15"/>
  <c r="M59" i="15"/>
  <c r="M7" i="15"/>
  <c r="J6" i="15" s="1"/>
  <c r="F50" i="15"/>
  <c r="F66" i="91"/>
  <c r="F68" i="79"/>
  <c r="F64" i="87"/>
  <c r="F63" i="67"/>
  <c r="C62" i="67" s="1"/>
  <c r="C34" i="67"/>
  <c r="F68" i="91"/>
  <c r="F71" i="67"/>
  <c r="F50" i="67"/>
  <c r="M7" i="67"/>
  <c r="J6" i="67" s="1"/>
  <c r="J18" i="67" s="1"/>
  <c r="C103" i="9"/>
  <c r="B6" i="70"/>
  <c r="B2" i="70" s="1"/>
  <c r="F51" i="67"/>
  <c r="C49" i="67" s="1"/>
  <c r="C47" i="68"/>
  <c r="D45" i="68" s="1"/>
  <c r="C29" i="68"/>
  <c r="D27" i="68" s="1"/>
  <c r="N59" i="77"/>
  <c r="M59" i="77"/>
  <c r="L58" i="77"/>
  <c r="L59" i="77"/>
  <c r="F51" i="77"/>
  <c r="C49" i="77" s="1"/>
  <c r="Q71" i="15"/>
  <c r="F66" i="79"/>
  <c r="C6" i="77"/>
  <c r="J18" i="90"/>
  <c r="J19" i="90"/>
  <c r="C49" i="90"/>
  <c r="F22" i="11"/>
  <c r="C44" i="11" s="1"/>
  <c r="D41" i="11" s="1"/>
  <c r="F22" i="93"/>
  <c r="C26" i="93" s="1"/>
  <c r="D22" i="93" s="1"/>
  <c r="F24" i="79"/>
  <c r="C24" i="79" s="1"/>
  <c r="F22" i="86"/>
  <c r="U7" i="37"/>
  <c r="AB7" i="37"/>
  <c r="T42" i="37" s="1"/>
  <c r="G42" i="37" s="1"/>
  <c r="N63" i="40"/>
  <c r="M65" i="40"/>
  <c r="W7" i="36"/>
  <c r="AC7" i="36"/>
  <c r="V36" i="36" s="1"/>
  <c r="I36" i="36" s="1"/>
  <c r="I52" i="21"/>
  <c r="J52" i="21" s="1"/>
  <c r="I53" i="21"/>
  <c r="J53" i="21" s="1"/>
  <c r="E48" i="21"/>
  <c r="R49" i="21"/>
  <c r="AA7" i="35"/>
  <c r="S7" i="35"/>
  <c r="F7" i="34"/>
  <c r="J7" i="34"/>
  <c r="I46" i="37"/>
  <c r="J46" i="37" s="1"/>
  <c r="G40" i="36"/>
  <c r="H40" i="36" s="1"/>
  <c r="G41" i="36"/>
  <c r="H41" i="36" s="1"/>
  <c r="E36" i="36"/>
  <c r="R37" i="36"/>
  <c r="G53" i="33"/>
  <c r="H53" i="33" s="1"/>
  <c r="G52" i="33"/>
  <c r="H52" i="33" s="1"/>
  <c r="E48" i="33"/>
  <c r="I53" i="33" s="1"/>
  <c r="J53" i="33" s="1"/>
  <c r="R49" i="33"/>
  <c r="AA7" i="37"/>
  <c r="R42" i="37" s="1"/>
  <c r="S7" i="37"/>
  <c r="I52" i="33"/>
  <c r="J52" i="33" s="1"/>
  <c r="AB7" i="35"/>
  <c r="U7" i="35"/>
  <c r="AC7" i="35"/>
  <c r="W7" i="35"/>
  <c r="H7" i="34"/>
  <c r="G53" i="21"/>
  <c r="H53" i="21" s="1"/>
  <c r="G52" i="21"/>
  <c r="H52" i="21" s="1"/>
  <c r="AB29" i="35"/>
  <c r="T38" i="35" s="1"/>
  <c r="G38" i="35" s="1"/>
  <c r="U29" i="35"/>
  <c r="W29" i="35"/>
  <c r="AC29" i="35"/>
  <c r="V38" i="35" s="1"/>
  <c r="I38" i="35" s="1"/>
  <c r="AA29" i="35"/>
  <c r="R38" i="35" s="1"/>
  <c r="S29" i="35"/>
  <c r="J18" i="87"/>
  <c r="R48" i="85"/>
  <c r="E47" i="85"/>
  <c r="G52" i="85"/>
  <c r="H52" i="85" s="1"/>
  <c r="G51" i="85"/>
  <c r="H51" i="85" s="1"/>
  <c r="F25" i="12"/>
  <c r="C26" i="12" s="1"/>
  <c r="D25" i="12" s="1"/>
  <c r="F24" i="77"/>
  <c r="C24" i="77" s="1"/>
  <c r="F22" i="69"/>
  <c r="C44" i="69" s="1"/>
  <c r="D41" i="69" s="1"/>
  <c r="F24" i="90"/>
  <c r="C24" i="90" s="1"/>
  <c r="F24" i="15"/>
  <c r="C24" i="15" s="1"/>
  <c r="E3" i="6"/>
  <c r="AY6" i="3"/>
  <c r="N16" i="1"/>
  <c r="L16" i="1"/>
  <c r="C34" i="11"/>
  <c r="K21" i="6"/>
  <c r="K22" i="6"/>
  <c r="K24" i="6"/>
  <c r="K26" i="6"/>
  <c r="M26" i="6" s="1"/>
  <c r="I26" i="6" s="1"/>
  <c r="S26" i="6" s="1"/>
  <c r="E31" i="6"/>
  <c r="K20" i="6"/>
  <c r="K25" i="6"/>
  <c r="M25" i="6" s="1"/>
  <c r="I25" i="6" s="1"/>
  <c r="S25" i="6" s="1"/>
  <c r="K19" i="6"/>
  <c r="K23" i="6"/>
  <c r="C26" i="11"/>
  <c r="D22" i="11" s="1"/>
  <c r="C23" i="11"/>
  <c r="C44" i="93"/>
  <c r="D41" i="93" s="1"/>
  <c r="C26" i="86"/>
  <c r="D22" i="86" s="1"/>
  <c r="C44" i="86"/>
  <c r="D41" i="86" s="1"/>
  <c r="C24" i="86"/>
  <c r="C16" i="77"/>
  <c r="C16" i="91"/>
  <c r="C17" i="67"/>
  <c r="C16" i="87"/>
  <c r="C16" i="79"/>
  <c r="C16" i="90"/>
  <c r="C16" i="15"/>
  <c r="C16" i="67"/>
  <c r="C14" i="67"/>
  <c r="D19" i="9"/>
  <c r="L46" i="90" l="1"/>
  <c r="C49" i="91"/>
  <c r="D21" i="9"/>
  <c r="D102" i="9"/>
  <c r="D22" i="9"/>
  <c r="G19" i="9"/>
  <c r="C15" i="67"/>
  <c r="C18" i="67"/>
  <c r="Q73" i="77"/>
  <c r="Q60" i="77"/>
  <c r="B3" i="70"/>
  <c r="C32" i="91"/>
  <c r="C33" i="91"/>
  <c r="Q66" i="91"/>
  <c r="Q57" i="91"/>
  <c r="Q66" i="90"/>
  <c r="Q57" i="90"/>
  <c r="Q60" i="87"/>
  <c r="Q73" i="87"/>
  <c r="Q73" i="90"/>
  <c r="Q60" i="90"/>
  <c r="N28" i="43"/>
  <c r="G20" i="43" s="1"/>
  <c r="P28" i="43"/>
  <c r="O28" i="43"/>
  <c r="M28" i="43"/>
  <c r="C32" i="87"/>
  <c r="C33" i="87"/>
  <c r="C33" i="90"/>
  <c r="C32" i="90"/>
  <c r="Q52" i="15"/>
  <c r="F1" i="15"/>
  <c r="Q57" i="77"/>
  <c r="Q66" i="77"/>
  <c r="F1" i="77"/>
  <c r="Q52" i="77"/>
  <c r="F1" i="67"/>
  <c r="Q52" i="67"/>
  <c r="F11" i="87"/>
  <c r="M11" i="87"/>
  <c r="J10" i="87" s="1"/>
  <c r="J5" i="87" s="1"/>
  <c r="J26" i="87" s="1"/>
  <c r="M11" i="91"/>
  <c r="J10" i="91" s="1"/>
  <c r="J5" i="91" s="1"/>
  <c r="J24" i="91" s="1"/>
  <c r="F11" i="79"/>
  <c r="M11" i="90"/>
  <c r="J10" i="90" s="1"/>
  <c r="J5" i="90" s="1"/>
  <c r="F11" i="90"/>
  <c r="M11" i="67"/>
  <c r="J10" i="67" s="1"/>
  <c r="J5" i="67" s="1"/>
  <c r="F11" i="15"/>
  <c r="C53" i="15" s="1"/>
  <c r="F11" i="91"/>
  <c r="M11" i="15"/>
  <c r="J10" i="15" s="1"/>
  <c r="J5" i="15" s="1"/>
  <c r="M11" i="79"/>
  <c r="J10" i="79" s="1"/>
  <c r="J5" i="79" s="1"/>
  <c r="F11" i="77"/>
  <c r="M11" i="77"/>
  <c r="J10" i="77" s="1"/>
  <c r="J5" i="77" s="1"/>
  <c r="F11" i="67"/>
  <c r="Q52" i="79"/>
  <c r="F1" i="79"/>
  <c r="Q73" i="91"/>
  <c r="Q60" i="91"/>
  <c r="Q74" i="67"/>
  <c r="Q61" i="67"/>
  <c r="Q61" i="79"/>
  <c r="Q74" i="79"/>
  <c r="J18" i="91"/>
  <c r="J19" i="91"/>
  <c r="C49" i="15"/>
  <c r="C48" i="15" s="1"/>
  <c r="Q57" i="87"/>
  <c r="Q66" i="87"/>
  <c r="F1" i="87"/>
  <c r="Q52" i="87"/>
  <c r="C49" i="87"/>
  <c r="C24" i="93"/>
  <c r="C33" i="77"/>
  <c r="C32" i="77"/>
  <c r="Q61" i="77"/>
  <c r="Q74" i="77"/>
  <c r="J19" i="15"/>
  <c r="J18" i="15"/>
  <c r="Q73" i="15"/>
  <c r="Q60" i="15"/>
  <c r="Q61" i="15"/>
  <c r="Q74" i="15"/>
  <c r="F1" i="91"/>
  <c r="Q52" i="91"/>
  <c r="J19" i="77"/>
  <c r="J18" i="77"/>
  <c r="Q52" i="90"/>
  <c r="F1" i="90"/>
  <c r="Q61" i="87"/>
  <c r="Q74" i="87"/>
  <c r="Q74" i="90"/>
  <c r="Q61" i="90"/>
  <c r="F24" i="91"/>
  <c r="C24" i="91" s="1"/>
  <c r="F22" i="68"/>
  <c r="F24" i="87"/>
  <c r="C24" i="87" s="1"/>
  <c r="F24" i="67"/>
  <c r="C24" i="67" s="1"/>
  <c r="Q66" i="15"/>
  <c r="Q57" i="15"/>
  <c r="C33" i="15"/>
  <c r="C32" i="15"/>
  <c r="C10" i="15"/>
  <c r="C5" i="15" s="1"/>
  <c r="C38" i="15" s="1"/>
  <c r="L46" i="77"/>
  <c r="Q57" i="79"/>
  <c r="Q66" i="79"/>
  <c r="Q74" i="91"/>
  <c r="Q61" i="91"/>
  <c r="Q73" i="67"/>
  <c r="Q60" i="67"/>
  <c r="Q60" i="79"/>
  <c r="Q73" i="79"/>
  <c r="C26" i="69"/>
  <c r="D22" i="69" s="1"/>
  <c r="C48" i="33"/>
  <c r="C49" i="33"/>
  <c r="C36" i="36"/>
  <c r="C37" i="36"/>
  <c r="B2" i="36" s="1"/>
  <c r="B3" i="36" s="1"/>
  <c r="AA7" i="34"/>
  <c r="R49" i="34" s="1"/>
  <c r="S7" i="34"/>
  <c r="E52" i="21"/>
  <c r="F52" i="21" s="1"/>
  <c r="E53" i="21"/>
  <c r="F53" i="21" s="1"/>
  <c r="O63" i="40"/>
  <c r="O65" i="40" s="1"/>
  <c r="F7" i="40" s="1"/>
  <c r="N65" i="40"/>
  <c r="AB7" i="34"/>
  <c r="T49" i="34" s="1"/>
  <c r="G49" i="34" s="1"/>
  <c r="U7" i="34"/>
  <c r="R43" i="37"/>
  <c r="E42" i="37"/>
  <c r="E53" i="33"/>
  <c r="F53" i="33" s="1"/>
  <c r="E52" i="33"/>
  <c r="F52" i="33" s="1"/>
  <c r="E40" i="36"/>
  <c r="F40" i="36" s="1"/>
  <c r="E41" i="36"/>
  <c r="F41" i="36" s="1"/>
  <c r="AC7" i="34"/>
  <c r="V49" i="34" s="1"/>
  <c r="I49" i="34" s="1"/>
  <c r="W7" i="34"/>
  <c r="C49" i="21"/>
  <c r="C48" i="21"/>
  <c r="I40" i="36"/>
  <c r="J40" i="36" s="1"/>
  <c r="I41" i="36"/>
  <c r="J41" i="36" s="1"/>
  <c r="G47" i="37"/>
  <c r="H47" i="37" s="1"/>
  <c r="G46" i="37"/>
  <c r="H46" i="37" s="1"/>
  <c r="I42" i="35"/>
  <c r="J42" i="35" s="1"/>
  <c r="R39" i="35"/>
  <c r="E38" i="35"/>
  <c r="G43" i="35"/>
  <c r="H43" i="35" s="1"/>
  <c r="G42" i="35"/>
  <c r="H42" i="35" s="1"/>
  <c r="C47" i="85"/>
  <c r="C48" i="85"/>
  <c r="E51" i="85"/>
  <c r="F51" i="85" s="1"/>
  <c r="E52" i="85"/>
  <c r="F52" i="85" s="1"/>
  <c r="I52" i="85"/>
  <c r="J52" i="85" s="1"/>
  <c r="J24" i="87"/>
  <c r="M23" i="6"/>
  <c r="I23" i="6" s="1"/>
  <c r="S10" i="1"/>
  <c r="S11" i="1"/>
  <c r="M24" i="6"/>
  <c r="I24" i="6" s="1"/>
  <c r="M21" i="6"/>
  <c r="I21" i="6" s="1"/>
  <c r="S21" i="6" s="1"/>
  <c r="S8" i="1"/>
  <c r="C38" i="11"/>
  <c r="C35" i="11"/>
  <c r="F50" i="86"/>
  <c r="F50" i="93"/>
  <c r="F50" i="11"/>
  <c r="F50" i="69"/>
  <c r="F50" i="68"/>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83" i="3"/>
  <c r="AY34" i="3"/>
  <c r="AY144" i="3"/>
  <c r="AY95" i="3"/>
  <c r="AY152" i="3"/>
  <c r="AY111" i="3"/>
  <c r="AY253" i="3"/>
  <c r="AY382" i="3"/>
  <c r="AY303" i="3"/>
  <c r="AY460" i="3"/>
  <c r="AY529" i="3"/>
  <c r="AY300" i="3"/>
  <c r="AY217" i="3"/>
  <c r="AY327" i="3"/>
  <c r="AY463" i="3"/>
  <c r="AY401" i="3"/>
  <c r="AY544" i="3"/>
  <c r="BE6" i="3"/>
  <c r="AY92" i="3"/>
  <c r="AY76" i="3"/>
  <c r="AY33" i="3"/>
  <c r="AY185" i="3"/>
  <c r="AY165" i="3"/>
  <c r="AY125" i="3"/>
  <c r="AY294" i="3"/>
  <c r="AY263" i="3"/>
  <c r="AY231" i="3"/>
  <c r="AY246" i="3"/>
  <c r="AY214" i="3"/>
  <c r="AY392" i="3"/>
  <c r="AY381" i="3"/>
  <c r="AY357" i="3"/>
  <c r="AY554" i="3"/>
  <c r="BJ6" i="3"/>
  <c r="AY104" i="3"/>
  <c r="AY41" i="3"/>
  <c r="AY24" i="3"/>
  <c r="AY197"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86" i="3"/>
  <c r="AY255" i="3"/>
  <c r="AY270" i="3"/>
  <c r="AY238" i="3"/>
  <c r="AY227" i="3"/>
  <c r="AY384" i="3"/>
  <c r="AY373" i="3"/>
  <c r="AY368" i="3"/>
  <c r="AY507" i="3"/>
  <c r="BB6" i="3"/>
  <c r="AY88" i="3"/>
  <c r="AY72" i="3"/>
  <c r="AY29" i="3"/>
  <c r="AY181" i="3"/>
  <c r="AY161" i="3"/>
  <c r="AY121" i="3"/>
  <c r="AY275" i="3"/>
  <c r="AY258" i="3"/>
  <c r="AY215"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82" i="3"/>
  <c r="AY191" i="3"/>
  <c r="AY132" i="3"/>
  <c r="AY31" i="3"/>
  <c r="AY292" i="3"/>
  <c r="AY147" i="3"/>
  <c r="AY220" i="3"/>
  <c r="AY350" i="3"/>
  <c r="AY486" i="3"/>
  <c r="AY425" i="3"/>
  <c r="AY199" i="3"/>
  <c r="AY244" i="3"/>
  <c r="AY355" i="3"/>
  <c r="AY481" i="3"/>
  <c r="AY404" i="3"/>
  <c r="AY562" i="3"/>
  <c r="BO6" i="3"/>
  <c r="AY89" i="3"/>
  <c r="AY53" i="3"/>
  <c r="AY36" i="3"/>
  <c r="AY182" i="3"/>
  <c r="AY146" i="3"/>
  <c r="AY126" i="3"/>
  <c r="AY87" i="3"/>
  <c r="AY207" i="3"/>
  <c r="AY42" i="3"/>
  <c r="AY168" i="3"/>
  <c r="AY366" i="3"/>
  <c r="AY441" i="3"/>
  <c r="AY260" i="3"/>
  <c r="AY310" i="3"/>
  <c r="AY549" i="3"/>
  <c r="AY97" i="3"/>
  <c r="AY44" i="3"/>
  <c r="AY154" i="3"/>
  <c r="AY283" i="3"/>
  <c r="AY247" i="3"/>
  <c r="AY230" i="3"/>
  <c r="AY397" i="3"/>
  <c r="AY360" i="3"/>
  <c r="AY109" i="3"/>
  <c r="AY56" i="3"/>
  <c r="AY66" i="3"/>
  <c r="AY115" i="3"/>
  <c r="AY276" i="3"/>
  <c r="AY225" i="3"/>
  <c r="AY470" i="3"/>
  <c r="AY180" i="3"/>
  <c r="AY358" i="3"/>
  <c r="AY433" i="3"/>
  <c r="AY541" i="3"/>
  <c r="AY45" i="3"/>
  <c r="AY201" i="3"/>
  <c r="AY118" i="3"/>
  <c r="AY271" i="3"/>
  <c r="AY254" i="3"/>
  <c r="AY211" i="3"/>
  <c r="AY365" i="3"/>
  <c r="BI6" i="3"/>
  <c r="AY57" i="3"/>
  <c r="AY186" i="3"/>
  <c r="AY130" i="3"/>
  <c r="AY243" i="3"/>
  <c r="AY393" i="3"/>
  <c r="AY259"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14" i="3"/>
  <c r="AY377" i="3"/>
  <c r="AY317" i="3"/>
  <c r="AY491" i="3"/>
  <c r="AY457" i="3"/>
  <c r="AY414" i="3"/>
  <c r="AY581" i="3"/>
  <c r="AY561" i="3"/>
  <c r="AY546" i="3"/>
  <c r="AY16" i="3"/>
  <c r="AY514" i="3"/>
  <c r="AY96" i="3"/>
  <c r="AY37" i="3"/>
  <c r="AY169" i="3"/>
  <c r="AY282" i="3"/>
  <c r="AY223" i="3"/>
  <c r="AY345" i="3"/>
  <c r="AY328" i="3"/>
  <c r="AY484" i="3"/>
  <c r="AY442" i="3"/>
  <c r="AY423" i="3"/>
  <c r="AY499" i="3"/>
  <c r="AY565"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51" i="3"/>
  <c r="AY124" i="3"/>
  <c r="AY281" i="3"/>
  <c r="AY236" i="3"/>
  <c r="AY473" i="3"/>
  <c r="AY26" i="3"/>
  <c r="AY372" i="3"/>
  <c r="AY420" i="3"/>
  <c r="AY533" i="3"/>
  <c r="AY61" i="3"/>
  <c r="AY190" i="3"/>
  <c r="AY133" i="3"/>
  <c r="AY278" i="3"/>
  <c r="AY262" i="3"/>
  <c r="AY219" i="3"/>
  <c r="AY374" i="3"/>
  <c r="BH6" i="3"/>
  <c r="AY73" i="3"/>
  <c r="AY202" i="3"/>
  <c r="AY176" i="3"/>
  <c r="AY188" i="3"/>
  <c r="AY297" i="3"/>
  <c r="AY335" i="3"/>
  <c r="AY409" i="3"/>
  <c r="AY228" i="3"/>
  <c r="AY465" i="3"/>
  <c r="BK6" i="3"/>
  <c r="AY108" i="3"/>
  <c r="AY28" i="3"/>
  <c r="AY138" i="3"/>
  <c r="AY302" i="3"/>
  <c r="AY239" i="3"/>
  <c r="AY222" i="3"/>
  <c r="AY389" i="3"/>
  <c r="BS6" i="3"/>
  <c r="AY93" i="3"/>
  <c r="AY40" i="3"/>
  <c r="AY150" i="3"/>
  <c r="AY279" i="3"/>
  <c r="AY226" i="3"/>
  <c r="AY145" i="3"/>
  <c r="AY388"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74" i="3"/>
  <c r="AY349" i="3"/>
  <c r="AY332" i="3"/>
  <c r="AY488" i="3"/>
  <c r="AY446" i="3"/>
  <c r="AY427" i="3"/>
  <c r="BM6" i="3"/>
  <c r="BF6" i="3"/>
  <c r="AY510" i="3"/>
  <c r="AY584" i="3"/>
  <c r="AY519" i="3"/>
  <c r="AY80" i="3"/>
  <c r="AY189" i="3"/>
  <c r="AY129" i="3"/>
  <c r="AY266" i="3"/>
  <c r="AY369" i="3"/>
  <c r="AY313" i="3"/>
  <c r="AY487" i="3"/>
  <c r="AY453" i="3"/>
  <c r="AY410" i="3"/>
  <c r="AY579" i="3"/>
  <c r="AY524"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S6" i="1"/>
  <c r="K27" i="6"/>
  <c r="M19" i="6"/>
  <c r="M20" i="6"/>
  <c r="I20" i="6" s="1"/>
  <c r="S20" i="6" s="1"/>
  <c r="S7" i="1"/>
  <c r="S9" i="1"/>
  <c r="M22" i="6"/>
  <c r="I22" i="6" s="1"/>
  <c r="S22" i="6" s="1"/>
  <c r="G40" i="6"/>
  <c r="D3" i="21"/>
  <c r="D37" i="11"/>
  <c r="C37" i="11" s="1"/>
  <c r="C33" i="11" s="1"/>
  <c r="D14" i="12"/>
  <c r="D19" i="11"/>
  <c r="C19" i="11" s="1"/>
  <c r="C17" i="4"/>
  <c r="B4" i="52" s="1"/>
  <c r="B43" i="72" s="1"/>
  <c r="E6" i="6"/>
  <c r="D3" i="37"/>
  <c r="D20" i="9"/>
  <c r="AE9" i="1"/>
  <c r="F41" i="15" s="1"/>
  <c r="AE11" i="1"/>
  <c r="F41" i="79" s="1"/>
  <c r="AE10" i="1"/>
  <c r="F41" i="87" s="1"/>
  <c r="AE8" i="1"/>
  <c r="C17" i="77"/>
  <c r="D10" i="68"/>
  <c r="C17" i="79"/>
  <c r="D10" i="93"/>
  <c r="C17" i="90"/>
  <c r="C17" i="15"/>
  <c r="D10" i="86"/>
  <c r="C17" i="87"/>
  <c r="C17" i="91"/>
  <c r="C19" i="67" l="1"/>
  <c r="AG8" i="1"/>
  <c r="J29" i="87"/>
  <c r="F69" i="87"/>
  <c r="F69" i="79"/>
  <c r="F69" i="15"/>
  <c r="G20" i="9"/>
  <c r="C170" i="89" s="1"/>
  <c r="C171" i="89" s="1"/>
  <c r="D103" i="9"/>
  <c r="C20" i="67"/>
  <c r="C26" i="67" s="1"/>
  <c r="C26" i="68"/>
  <c r="D22" i="68" s="1"/>
  <c r="C44" i="68"/>
  <c r="D41" i="68" s="1"/>
  <c r="C24" i="68"/>
  <c r="C66" i="15"/>
  <c r="C60" i="15"/>
  <c r="J24" i="77"/>
  <c r="J26" i="77"/>
  <c r="J29" i="77" s="1"/>
  <c r="J26" i="79"/>
  <c r="J29" i="79" s="1"/>
  <c r="J24" i="79"/>
  <c r="C53" i="91"/>
  <c r="C48" i="91" s="1"/>
  <c r="C10" i="91"/>
  <c r="C5" i="91" s="1"/>
  <c r="C38" i="91" s="1"/>
  <c r="J26" i="67"/>
  <c r="J29" i="67" s="1"/>
  <c r="J24" i="67"/>
  <c r="J26" i="90"/>
  <c r="J29" i="90" s="1"/>
  <c r="J24" i="90"/>
  <c r="C10" i="87"/>
  <c r="C5" i="87" s="1"/>
  <c r="C38" i="87" s="1"/>
  <c r="C53" i="87"/>
  <c r="C48" i="87" s="1"/>
  <c r="E41" i="43"/>
  <c r="C41" i="43" s="1"/>
  <c r="C20" i="43"/>
  <c r="G21" i="9"/>
  <c r="C32" i="9"/>
  <c r="C53" i="67"/>
  <c r="C48" i="67" s="1"/>
  <c r="C10" i="67"/>
  <c r="C5" i="67" s="1"/>
  <c r="C38" i="67" s="1"/>
  <c r="C53" i="77"/>
  <c r="C48" i="77" s="1"/>
  <c r="C10" i="77"/>
  <c r="C5" i="77" s="1"/>
  <c r="C38" i="77" s="1"/>
  <c r="J26" i="15"/>
  <c r="J29" i="15" s="1"/>
  <c r="J24" i="15"/>
  <c r="C53" i="90"/>
  <c r="C48" i="90" s="1"/>
  <c r="C10" i="90"/>
  <c r="C5" i="90" s="1"/>
  <c r="C38" i="90" s="1"/>
  <c r="C10" i="79"/>
  <c r="C5" i="79" s="1"/>
  <c r="C38" i="79" s="1"/>
  <c r="C53" i="79"/>
  <c r="C48" i="79" s="1"/>
  <c r="G53" i="34"/>
  <c r="H53" i="34" s="1"/>
  <c r="G54" i="34"/>
  <c r="H54" i="34" s="1"/>
  <c r="B2" i="21"/>
  <c r="B3" i="21" s="1"/>
  <c r="E46" i="37"/>
  <c r="F46" i="37" s="1"/>
  <c r="E47" i="37"/>
  <c r="F47" i="37" s="1"/>
  <c r="I47" i="37"/>
  <c r="J47" i="37" s="1"/>
  <c r="J7" i="40"/>
  <c r="H7" i="40"/>
  <c r="B2" i="33"/>
  <c r="B3" i="33"/>
  <c r="R24" i="31" s="1"/>
  <c r="I53" i="34"/>
  <c r="J53" i="34" s="1"/>
  <c r="C43" i="37"/>
  <c r="B2" i="37" s="1"/>
  <c r="B3" i="37" s="1"/>
  <c r="C42" i="37"/>
  <c r="AA7" i="40"/>
  <c r="R42" i="40" s="1"/>
  <c r="S7" i="40"/>
  <c r="R50" i="34"/>
  <c r="E49" i="34"/>
  <c r="E42" i="35"/>
  <c r="F42" i="35" s="1"/>
  <c r="E43" i="35"/>
  <c r="F43" i="35" s="1"/>
  <c r="I43" i="35"/>
  <c r="J43" i="35" s="1"/>
  <c r="C38" i="35"/>
  <c r="C39" i="35"/>
  <c r="B56" i="85"/>
  <c r="B60" i="85"/>
  <c r="F60" i="85" s="1"/>
  <c r="B65" i="85"/>
  <c r="F65" i="85" s="1"/>
  <c r="B58" i="85"/>
  <c r="F58" i="85" s="1"/>
  <c r="B63" i="85"/>
  <c r="F63" i="85" s="1"/>
  <c r="B59" i="85"/>
  <c r="F59" i="85" s="1"/>
  <c r="B64" i="85"/>
  <c r="F64" i="85" s="1"/>
  <c r="B57" i="85"/>
  <c r="F57" i="85" s="1"/>
  <c r="B61" i="85"/>
  <c r="F61" i="85" s="1"/>
  <c r="B62" i="85"/>
  <c r="F62" i="85" s="1"/>
  <c r="C10" i="86"/>
  <c r="C8" i="86" s="1"/>
  <c r="D19" i="86"/>
  <c r="D37" i="86" s="1"/>
  <c r="C37" i="86" s="1"/>
  <c r="C10" i="93"/>
  <c r="C8" i="93" s="1"/>
  <c r="D19" i="93"/>
  <c r="D37" i="93" s="1"/>
  <c r="C37" i="93" s="1"/>
  <c r="C10" i="68"/>
  <c r="C8" i="68" s="1"/>
  <c r="D19" i="68"/>
  <c r="D37" i="68" s="1"/>
  <c r="C37" i="68" s="1"/>
  <c r="C39" i="11"/>
  <c r="C43" i="11" s="1"/>
  <c r="C42" i="11"/>
  <c r="D10" i="11"/>
  <c r="C10" i="11" s="1"/>
  <c r="D20" i="12"/>
  <c r="C20" i="12" s="1"/>
  <c r="C18" i="12" s="1"/>
  <c r="D10" i="69"/>
  <c r="C28" i="11"/>
  <c r="C27" i="11" s="1"/>
  <c r="C20" i="11"/>
  <c r="C25" i="11" s="1"/>
  <c r="C24" i="11"/>
  <c r="E9" i="92"/>
  <c r="T9" i="1"/>
  <c r="AQ9" i="1"/>
  <c r="AR9" i="1"/>
  <c r="D23" i="6"/>
  <c r="H23" i="6"/>
  <c r="H21" i="6"/>
  <c r="D22" i="6"/>
  <c r="D21" i="6"/>
  <c r="R21" i="6" s="1"/>
  <c r="R8" i="1" s="1"/>
  <c r="H22" i="6"/>
  <c r="D24" i="6"/>
  <c r="H24" i="6"/>
  <c r="F40" i="6"/>
  <c r="D25" i="6"/>
  <c r="D20" i="6"/>
  <c r="D12" i="6"/>
  <c r="D13" i="6"/>
  <c r="E61" i="40"/>
  <c r="C18" i="4"/>
  <c r="D14" i="6"/>
  <c r="D9" i="6"/>
  <c r="D29" i="6"/>
  <c r="H26" i="6"/>
  <c r="D15" i="6"/>
  <c r="D5" i="6"/>
  <c r="D11" i="6"/>
  <c r="D28" i="6"/>
  <c r="D30" i="6" s="1"/>
  <c r="D19" i="6"/>
  <c r="D26" i="6"/>
  <c r="R26" i="6" s="1"/>
  <c r="D8" i="6"/>
  <c r="D6" i="6"/>
  <c r="D10" i="6"/>
  <c r="H25" i="6"/>
  <c r="H20" i="6"/>
  <c r="T11" i="1"/>
  <c r="AQ11" i="1"/>
  <c r="AR11" i="1"/>
  <c r="T10" i="1"/>
  <c r="AQ10" i="1"/>
  <c r="AR10" i="1"/>
  <c r="D17" i="12"/>
  <c r="C17" i="12" s="1"/>
  <c r="C14" i="12"/>
  <c r="C16" i="12" s="1"/>
  <c r="T7" i="1"/>
  <c r="AR7" i="1"/>
  <c r="AQ7" i="1"/>
  <c r="M27" i="6"/>
  <c r="I19" i="6"/>
  <c r="H19" i="6" s="1"/>
  <c r="H27" i="6" s="1"/>
  <c r="AQ6" i="1"/>
  <c r="S16" i="1"/>
  <c r="T6" i="1"/>
  <c r="AR6" i="1"/>
  <c r="T8" i="1"/>
  <c r="E8" i="92"/>
  <c r="E2" i="92" s="1"/>
  <c r="AQ8" i="1"/>
  <c r="AR8" i="1"/>
  <c r="S24" i="6"/>
  <c r="L18" i="80"/>
  <c r="L18" i="88"/>
  <c r="S23" i="6"/>
  <c r="M27" i="91"/>
  <c r="C34" i="93"/>
  <c r="C14" i="15"/>
  <c r="F35" i="91"/>
  <c r="C14" i="87"/>
  <c r="C14" i="77"/>
  <c r="C14" i="91"/>
  <c r="C34" i="68"/>
  <c r="M21" i="91"/>
  <c r="C34" i="86"/>
  <c r="C14" i="90"/>
  <c r="C14" i="79"/>
  <c r="C23" i="67" l="1"/>
  <c r="C29" i="67" s="1"/>
  <c r="C60" i="90"/>
  <c r="C66" i="90"/>
  <c r="C66" i="77"/>
  <c r="C60" i="77"/>
  <c r="C60" i="67"/>
  <c r="C66" i="67"/>
  <c r="C39" i="43"/>
  <c r="C38" i="43"/>
  <c r="C60" i="91"/>
  <c r="C66" i="91"/>
  <c r="C66" i="79"/>
  <c r="C60" i="79"/>
  <c r="H118" i="9"/>
  <c r="C35" i="9"/>
  <c r="T5" i="43"/>
  <c r="V5" i="43" s="1"/>
  <c r="T8" i="43"/>
  <c r="V8" i="43" s="1"/>
  <c r="T9" i="43"/>
  <c r="V9" i="43" s="1"/>
  <c r="C37" i="43"/>
  <c r="C29" i="43"/>
  <c r="T4" i="43"/>
  <c r="V4" i="43" s="1"/>
  <c r="T15" i="43"/>
  <c r="V15" i="43" s="1"/>
  <c r="T6" i="43"/>
  <c r="V6" i="43" s="1"/>
  <c r="T3" i="43"/>
  <c r="V3" i="43" s="1"/>
  <c r="T10" i="43"/>
  <c r="V10" i="43" s="1"/>
  <c r="C34" i="43"/>
  <c r="T7" i="43"/>
  <c r="V7" i="43" s="1"/>
  <c r="T11" i="43"/>
  <c r="V11" i="43" s="1"/>
  <c r="T14" i="43"/>
  <c r="V14" i="43" s="1"/>
  <c r="C36" i="43"/>
  <c r="T16" i="43"/>
  <c r="V16" i="43" s="1"/>
  <c r="T12" i="43"/>
  <c r="V12" i="43" s="1"/>
  <c r="C35" i="43"/>
  <c r="T13" i="43"/>
  <c r="V13" i="43" s="1"/>
  <c r="C33" i="43"/>
  <c r="T2" i="43"/>
  <c r="V2" i="43" s="1"/>
  <c r="C60" i="87"/>
  <c r="C66" i="87"/>
  <c r="C50" i="34"/>
  <c r="C49" i="34"/>
  <c r="E42" i="40"/>
  <c r="R43" i="40"/>
  <c r="W7" i="40"/>
  <c r="AC7" i="40"/>
  <c r="V42" i="40" s="1"/>
  <c r="I42" i="40" s="1"/>
  <c r="E53" i="34"/>
  <c r="F53" i="34" s="1"/>
  <c r="E54" i="34"/>
  <c r="F54" i="34" s="1"/>
  <c r="I54" i="34"/>
  <c r="J54" i="34" s="1"/>
  <c r="R25" i="31"/>
  <c r="R26" i="31"/>
  <c r="R28" i="31"/>
  <c r="R30" i="31"/>
  <c r="R33" i="31"/>
  <c r="J3" i="84"/>
  <c r="R27" i="31"/>
  <c r="S24" i="31"/>
  <c r="R31" i="31"/>
  <c r="R29" i="31"/>
  <c r="R32" i="31"/>
  <c r="U7" i="40"/>
  <c r="AB7" i="40"/>
  <c r="T42" i="40" s="1"/>
  <c r="G42" i="40" s="1"/>
  <c r="B2" i="35"/>
  <c r="B3" i="35"/>
  <c r="C6" i="86"/>
  <c r="C7" i="86" s="1"/>
  <c r="C6" i="93"/>
  <c r="C7" i="93" s="1"/>
  <c r="F56" i="85"/>
  <c r="F66" i="85" s="1"/>
  <c r="B2" i="85" s="1"/>
  <c r="B3" i="85" s="1"/>
  <c r="C6" i="68"/>
  <c r="C7" i="68" s="1"/>
  <c r="C22" i="11"/>
  <c r="C31" i="11" s="1"/>
  <c r="C41" i="11"/>
  <c r="C18" i="91"/>
  <c r="C15" i="91"/>
  <c r="C15" i="77"/>
  <c r="C18" i="77"/>
  <c r="C35" i="68"/>
  <c r="C38" i="68"/>
  <c r="C15" i="87"/>
  <c r="C18" i="87"/>
  <c r="C18" i="15"/>
  <c r="C15" i="15"/>
  <c r="C35" i="93"/>
  <c r="C38" i="93"/>
  <c r="C18" i="90"/>
  <c r="C15" i="90"/>
  <c r="C38" i="86"/>
  <c r="C35" i="86"/>
  <c r="C15" i="79"/>
  <c r="C18" i="79"/>
  <c r="C34" i="91"/>
  <c r="C31" i="91" s="1"/>
  <c r="F63" i="91"/>
  <c r="C62" i="91" s="1"/>
  <c r="J20" i="91"/>
  <c r="J17" i="91" s="1"/>
  <c r="T16" i="1"/>
  <c r="C21" i="12"/>
  <c r="D16" i="6"/>
  <c r="R19" i="6"/>
  <c r="D27" i="6"/>
  <c r="D31" i="6" s="1"/>
  <c r="R25" i="6"/>
  <c r="R22" i="6"/>
  <c r="R9" i="1" s="1"/>
  <c r="I27" i="6"/>
  <c r="S19" i="6"/>
  <c r="S27" i="6" s="1"/>
  <c r="A7" i="51"/>
  <c r="B7" i="72" s="1"/>
  <c r="C4" i="52"/>
  <c r="B45" i="72" s="1"/>
  <c r="A10" i="51"/>
  <c r="B9" i="72" s="1"/>
  <c r="R20" i="6"/>
  <c r="R7" i="1" s="1"/>
  <c r="R24" i="6"/>
  <c r="R11" i="1" s="1"/>
  <c r="M19" i="80"/>
  <c r="C118" i="80" s="1"/>
  <c r="C17" i="74" s="1"/>
  <c r="L19" i="80"/>
  <c r="R23" i="6"/>
  <c r="R10" i="1" s="1"/>
  <c r="L19" i="88"/>
  <c r="M19" i="88"/>
  <c r="C118" i="88" s="1"/>
  <c r="C16" i="74" s="1"/>
  <c r="C10" i="69"/>
  <c r="C8" i="69" s="1"/>
  <c r="C5" i="69" s="1"/>
  <c r="D19" i="69"/>
  <c r="C46" i="11"/>
  <c r="C45" i="11" s="1"/>
  <c r="M21" i="87"/>
  <c r="C19" i="88"/>
  <c r="M21" i="90"/>
  <c r="C20" i="88"/>
  <c r="M21" i="15"/>
  <c r="F35" i="79"/>
  <c r="F35" i="90"/>
  <c r="F35" i="15"/>
  <c r="F35" i="87"/>
  <c r="M21" i="79"/>
  <c r="J14" i="67" l="1"/>
  <c r="C57" i="67"/>
  <c r="Q49" i="67"/>
  <c r="J59" i="67"/>
  <c r="J60" i="67" s="1"/>
  <c r="Q48" i="67" s="1"/>
  <c r="C33" i="67"/>
  <c r="C31" i="67" s="1"/>
  <c r="C13" i="67"/>
  <c r="J19" i="67"/>
  <c r="J17" i="67" s="1"/>
  <c r="C36" i="67"/>
  <c r="E36" i="43"/>
  <c r="G36" i="43"/>
  <c r="I36" i="43" s="1"/>
  <c r="E34" i="43"/>
  <c r="G34" i="43"/>
  <c r="I34" i="43" s="1"/>
  <c r="E29" i="43"/>
  <c r="C30" i="43"/>
  <c r="E30" i="43" s="1"/>
  <c r="H4" i="52"/>
  <c r="C104" i="9"/>
  <c r="H119" i="9"/>
  <c r="H5" i="52" s="1"/>
  <c r="D14" i="74"/>
  <c r="H101" i="9"/>
  <c r="I118" i="9"/>
  <c r="E39" i="43"/>
  <c r="G39" i="43"/>
  <c r="I39" i="43" s="1"/>
  <c r="G33" i="43"/>
  <c r="I33" i="43" s="1"/>
  <c r="E33" i="43"/>
  <c r="E35" i="43"/>
  <c r="G35" i="43"/>
  <c r="I35" i="43" s="1"/>
  <c r="E37" i="43"/>
  <c r="G37" i="43"/>
  <c r="I37" i="43" s="1"/>
  <c r="F118" i="9"/>
  <c r="C34" i="9"/>
  <c r="D118" i="9" s="1"/>
  <c r="G38" i="43"/>
  <c r="I38" i="43" s="1"/>
  <c r="E38" i="43"/>
  <c r="J8" i="84"/>
  <c r="S29" i="31"/>
  <c r="I8" i="84" s="1"/>
  <c r="I3" i="84"/>
  <c r="I15" i="84" s="1"/>
  <c r="J15" i="84" s="1"/>
  <c r="S22" i="31"/>
  <c r="S30" i="31"/>
  <c r="I9" i="84" s="1"/>
  <c r="J9" i="84"/>
  <c r="S26" i="31"/>
  <c r="I5" i="84" s="1"/>
  <c r="J5" i="84"/>
  <c r="I47" i="40"/>
  <c r="J47" i="40" s="1"/>
  <c r="I46" i="40"/>
  <c r="J46" i="40" s="1"/>
  <c r="C42" i="40"/>
  <c r="C43" i="40"/>
  <c r="G47" i="40"/>
  <c r="H47" i="40" s="1"/>
  <c r="G46" i="40"/>
  <c r="H46" i="40" s="1"/>
  <c r="J11" i="84"/>
  <c r="S32" i="31"/>
  <c r="I11" i="84" s="1"/>
  <c r="J10" i="84"/>
  <c r="S31" i="31"/>
  <c r="I10" i="84" s="1"/>
  <c r="S27" i="31"/>
  <c r="I6" i="84" s="1"/>
  <c r="J6" i="84"/>
  <c r="S33" i="31"/>
  <c r="I12" i="84" s="1"/>
  <c r="J12" i="84"/>
  <c r="S28" i="31"/>
  <c r="I7" i="84" s="1"/>
  <c r="J7" i="84"/>
  <c r="S25" i="31"/>
  <c r="I4" i="84" s="1"/>
  <c r="J4" i="84"/>
  <c r="E46" i="40"/>
  <c r="F46" i="40" s="1"/>
  <c r="E47" i="40"/>
  <c r="F47" i="40" s="1"/>
  <c r="B3" i="34"/>
  <c r="R24" i="82" s="1"/>
  <c r="B2" i="34"/>
  <c r="C49" i="11"/>
  <c r="C51" i="11" s="1"/>
  <c r="C103" i="88"/>
  <c r="C102" i="88"/>
  <c r="C21" i="88"/>
  <c r="C5" i="93"/>
  <c r="C5" i="86"/>
  <c r="C5" i="68"/>
  <c r="C19" i="91"/>
  <c r="C19" i="79"/>
  <c r="C33" i="86"/>
  <c r="C39" i="86" s="1"/>
  <c r="C43" i="86" s="1"/>
  <c r="C19" i="90"/>
  <c r="C33" i="93"/>
  <c r="C39" i="93" s="1"/>
  <c r="C43" i="93" s="1"/>
  <c r="C19" i="15"/>
  <c r="C33" i="68"/>
  <c r="C42" i="68" s="1"/>
  <c r="C19" i="77"/>
  <c r="C19" i="87"/>
  <c r="C20" i="87" s="1"/>
  <c r="C23" i="87" s="1"/>
  <c r="F63" i="79"/>
  <c r="C62" i="79" s="1"/>
  <c r="C34" i="79"/>
  <c r="J20" i="79"/>
  <c r="C34" i="87"/>
  <c r="C31" i="87" s="1"/>
  <c r="F63" i="87"/>
  <c r="C62" i="87" s="1"/>
  <c r="J20" i="87"/>
  <c r="J17" i="87" s="1"/>
  <c r="J20" i="90"/>
  <c r="J17" i="90" s="1"/>
  <c r="F63" i="90"/>
  <c r="C62" i="90" s="1"/>
  <c r="C34" i="90"/>
  <c r="C31" i="90" s="1"/>
  <c r="C34" i="15"/>
  <c r="C31" i="15" s="1"/>
  <c r="F63" i="15"/>
  <c r="C62" i="15" s="1"/>
  <c r="F44" i="91"/>
  <c r="J20" i="15"/>
  <c r="J17" i="15" s="1"/>
  <c r="C52" i="11"/>
  <c r="B2" i="11" s="1"/>
  <c r="B3" i="11" s="1"/>
  <c r="C20" i="90"/>
  <c r="C26" i="90" s="1"/>
  <c r="C20" i="77"/>
  <c r="C26" i="77" s="1"/>
  <c r="C23" i="69"/>
  <c r="R6" i="1"/>
  <c r="R27" i="6"/>
  <c r="C22" i="12"/>
  <c r="C30" i="12" s="1"/>
  <c r="C28" i="12" s="1"/>
  <c r="C20" i="79"/>
  <c r="C23" i="79" s="1"/>
  <c r="D37" i="69"/>
  <c r="C37" i="69" s="1"/>
  <c r="C33" i="69" s="1"/>
  <c r="C19" i="69"/>
  <c r="C24" i="69" s="1"/>
  <c r="I6" i="6"/>
  <c r="I7" i="6" s="1"/>
  <c r="I5" i="6"/>
  <c r="C42" i="86"/>
  <c r="C20" i="15"/>
  <c r="C26" i="15" s="1"/>
  <c r="C39" i="68"/>
  <c r="C43" i="68" s="1"/>
  <c r="C20" i="91"/>
  <c r="C26" i="91" s="1"/>
  <c r="F35" i="77"/>
  <c r="M21" i="77"/>
  <c r="L46" i="67" l="1"/>
  <c r="Q70" i="67"/>
  <c r="C56" i="67"/>
  <c r="C65" i="67" s="1"/>
  <c r="C75" i="67"/>
  <c r="C37" i="67"/>
  <c r="C30" i="67" s="1"/>
  <c r="C39" i="67" s="1"/>
  <c r="C61" i="67"/>
  <c r="C59" i="67" s="1"/>
  <c r="C64" i="67"/>
  <c r="J13" i="67"/>
  <c r="J23" i="67" s="1"/>
  <c r="J22" i="67"/>
  <c r="D4" i="52"/>
  <c r="B47" i="72" s="1"/>
  <c r="D119" i="9"/>
  <c r="D5" i="52" s="1"/>
  <c r="B49" i="72" s="1"/>
  <c r="H102" i="9"/>
  <c r="D7" i="53" s="1"/>
  <c r="B21" i="72" s="1"/>
  <c r="I4" i="52"/>
  <c r="C105" i="9"/>
  <c r="F14" i="74"/>
  <c r="E14" i="74"/>
  <c r="C27" i="43"/>
  <c r="F4" i="52"/>
  <c r="B51" i="72" s="1"/>
  <c r="F119" i="9"/>
  <c r="F5" i="52" s="1"/>
  <c r="B53" i="72" s="1"/>
  <c r="G118" i="9"/>
  <c r="G4" i="52" s="1"/>
  <c r="B52" i="72" s="1"/>
  <c r="H107" i="9"/>
  <c r="D5" i="53"/>
  <c r="C26" i="43"/>
  <c r="B55" i="40"/>
  <c r="F55" i="40" s="1"/>
  <c r="B59" i="40"/>
  <c r="F59" i="40" s="1"/>
  <c r="B53" i="40"/>
  <c r="F53" i="40" s="1"/>
  <c r="B52" i="40"/>
  <c r="F52" i="40" s="1"/>
  <c r="B60" i="40"/>
  <c r="F60" i="40" s="1"/>
  <c r="B56" i="40"/>
  <c r="F56" i="40" s="1"/>
  <c r="B51" i="40"/>
  <c r="F51" i="40" s="1"/>
  <c r="B57" i="40"/>
  <c r="F57" i="40" s="1"/>
  <c r="B54" i="40"/>
  <c r="F54" i="40" s="1"/>
  <c r="B58" i="40"/>
  <c r="F58" i="40" s="1"/>
  <c r="F61" i="40"/>
  <c r="B2" i="40" s="1"/>
  <c r="B3" i="40" s="1"/>
  <c r="B20" i="31"/>
  <c r="R22" i="31"/>
  <c r="B21" i="31" s="1"/>
  <c r="R28" i="82"/>
  <c r="R32" i="82"/>
  <c r="R35" i="82"/>
  <c r="R39" i="82"/>
  <c r="R43" i="82"/>
  <c r="R47" i="82"/>
  <c r="R51" i="82"/>
  <c r="R55" i="82"/>
  <c r="R59" i="82"/>
  <c r="R63" i="82"/>
  <c r="S63" i="82" s="1"/>
  <c r="R67" i="82"/>
  <c r="S67" i="82" s="1"/>
  <c r="R72" i="82"/>
  <c r="S72" i="82" s="1"/>
  <c r="R76" i="82"/>
  <c r="S76" i="82" s="1"/>
  <c r="R80" i="82"/>
  <c r="S80" i="82" s="1"/>
  <c r="R84" i="82"/>
  <c r="S84" i="82" s="1"/>
  <c r="R88" i="82"/>
  <c r="S88" i="82" s="1"/>
  <c r="R92" i="82"/>
  <c r="S92" i="82" s="1"/>
  <c r="R96" i="82"/>
  <c r="S96" i="82" s="1"/>
  <c r="R100" i="82"/>
  <c r="S100" i="82" s="1"/>
  <c r="R101" i="82"/>
  <c r="S101" i="82" s="1"/>
  <c r="R104" i="82"/>
  <c r="S104" i="82" s="1"/>
  <c r="R105" i="82"/>
  <c r="S105" i="82" s="1"/>
  <c r="R108" i="82"/>
  <c r="S108" i="82" s="1"/>
  <c r="R109" i="82"/>
  <c r="S109" i="82" s="1"/>
  <c r="R112" i="82"/>
  <c r="S112" i="82" s="1"/>
  <c r="R113" i="82"/>
  <c r="S113" i="82" s="1"/>
  <c r="R116" i="82"/>
  <c r="S116" i="82" s="1"/>
  <c r="R117" i="82"/>
  <c r="S117" i="82" s="1"/>
  <c r="R120" i="82"/>
  <c r="S120" i="82" s="1"/>
  <c r="R121" i="82"/>
  <c r="S121" i="82" s="1"/>
  <c r="S24" i="82"/>
  <c r="R26" i="82"/>
  <c r="R30" i="82"/>
  <c r="R33" i="82"/>
  <c r="R37" i="82"/>
  <c r="R41" i="82"/>
  <c r="R45" i="82"/>
  <c r="R49" i="82"/>
  <c r="R53" i="82"/>
  <c r="R57" i="82"/>
  <c r="R61" i="82"/>
  <c r="S61" i="82" s="1"/>
  <c r="R65" i="82"/>
  <c r="S65" i="82" s="1"/>
  <c r="R70" i="82"/>
  <c r="S70" i="82" s="1"/>
  <c r="R74" i="82"/>
  <c r="S74" i="82" s="1"/>
  <c r="R78" i="82"/>
  <c r="S78" i="82" s="1"/>
  <c r="R82" i="82"/>
  <c r="S82" i="82" s="1"/>
  <c r="R86" i="82"/>
  <c r="S86" i="82" s="1"/>
  <c r="R90" i="82"/>
  <c r="S90" i="82" s="1"/>
  <c r="R94" i="82"/>
  <c r="S94" i="82" s="1"/>
  <c r="R98" i="82"/>
  <c r="S98" i="82" s="1"/>
  <c r="R99" i="82"/>
  <c r="S99" i="82" s="1"/>
  <c r="R102" i="82"/>
  <c r="S102" i="82" s="1"/>
  <c r="R103" i="82"/>
  <c r="S103" i="82" s="1"/>
  <c r="R106" i="82"/>
  <c r="S106" i="82" s="1"/>
  <c r="R107" i="82"/>
  <c r="S107" i="82" s="1"/>
  <c r="R110" i="82"/>
  <c r="S110" i="82" s="1"/>
  <c r="R111" i="82"/>
  <c r="S111" i="82" s="1"/>
  <c r="R114" i="82"/>
  <c r="S114" i="82" s="1"/>
  <c r="R115" i="82"/>
  <c r="S115" i="82" s="1"/>
  <c r="R118" i="82"/>
  <c r="S118" i="82" s="1"/>
  <c r="R119" i="82"/>
  <c r="S119" i="82" s="1"/>
  <c r="R122" i="82"/>
  <c r="S122" i="82" s="1"/>
  <c r="J16" i="84"/>
  <c r="R25" i="82"/>
  <c r="R29" i="82"/>
  <c r="R34" i="82"/>
  <c r="R38" i="82"/>
  <c r="R42" i="82"/>
  <c r="R46" i="82"/>
  <c r="R50" i="82"/>
  <c r="R54" i="82"/>
  <c r="R58" i="82"/>
  <c r="R62" i="82"/>
  <c r="S62" i="82" s="1"/>
  <c r="R66" i="82"/>
  <c r="S66" i="82" s="1"/>
  <c r="R69" i="82"/>
  <c r="S69" i="82" s="1"/>
  <c r="R73" i="82"/>
  <c r="S73" i="82" s="1"/>
  <c r="R77" i="82"/>
  <c r="S77" i="82" s="1"/>
  <c r="R81" i="82"/>
  <c r="S81" i="82" s="1"/>
  <c r="R85" i="82"/>
  <c r="S85" i="82" s="1"/>
  <c r="R89" i="82"/>
  <c r="S89" i="82" s="1"/>
  <c r="R93" i="82"/>
  <c r="S93" i="82" s="1"/>
  <c r="R97" i="82"/>
  <c r="S97" i="82" s="1"/>
  <c r="R27" i="82"/>
  <c r="R31" i="82"/>
  <c r="R36" i="82"/>
  <c r="R40" i="82"/>
  <c r="R44" i="82"/>
  <c r="R48" i="82"/>
  <c r="R52" i="82"/>
  <c r="R56" i="82"/>
  <c r="R60" i="82"/>
  <c r="R64" i="82"/>
  <c r="S64" i="82" s="1"/>
  <c r="R68" i="82"/>
  <c r="S68" i="82" s="1"/>
  <c r="R71" i="82"/>
  <c r="S71" i="82" s="1"/>
  <c r="R75" i="82"/>
  <c r="S75" i="82" s="1"/>
  <c r="R79" i="82"/>
  <c r="S79" i="82" s="1"/>
  <c r="R83" i="82"/>
  <c r="S83" i="82" s="1"/>
  <c r="R87" i="82"/>
  <c r="S87" i="82" s="1"/>
  <c r="R91" i="82"/>
  <c r="S91" i="82" s="1"/>
  <c r="R95" i="82"/>
  <c r="S95" i="82" s="1"/>
  <c r="C40" i="67"/>
  <c r="C46" i="68"/>
  <c r="C45" i="68" s="1"/>
  <c r="C42" i="93"/>
  <c r="C80" i="67"/>
  <c r="C79" i="67" s="1"/>
  <c r="C46" i="86"/>
  <c r="C45" i="86" s="1"/>
  <c r="C23" i="86"/>
  <c r="C20" i="86"/>
  <c r="C20" i="68"/>
  <c r="C25" i="68" s="1"/>
  <c r="C23" i="68"/>
  <c r="C20" i="93"/>
  <c r="C23" i="93"/>
  <c r="C23" i="77"/>
  <c r="C29" i="77" s="1"/>
  <c r="C36" i="77" s="1"/>
  <c r="C23" i="90"/>
  <c r="C29" i="90" s="1"/>
  <c r="C26" i="87"/>
  <c r="C29" i="87" s="1"/>
  <c r="C23" i="15"/>
  <c r="C29" i="15" s="1"/>
  <c r="C41" i="93"/>
  <c r="C46" i="93"/>
  <c r="C45" i="93" s="1"/>
  <c r="J20" i="77"/>
  <c r="J17" i="77" s="1"/>
  <c r="C34" i="77"/>
  <c r="C31" i="77" s="1"/>
  <c r="F63" i="77"/>
  <c r="C62" i="77" s="1"/>
  <c r="C23" i="91"/>
  <c r="C29" i="91" s="1"/>
  <c r="C41" i="68"/>
  <c r="C49" i="68" s="1"/>
  <c r="C51" i="68" s="1"/>
  <c r="C41" i="86"/>
  <c r="C49" i="86" s="1"/>
  <c r="C51" i="86" s="1"/>
  <c r="C26" i="79"/>
  <c r="C29" i="79" s="1"/>
  <c r="C27" i="12"/>
  <c r="C25" i="12" s="1"/>
  <c r="C32" i="12" s="1"/>
  <c r="B2" i="12" s="1"/>
  <c r="B3" i="12" s="1"/>
  <c r="C20" i="69"/>
  <c r="C25" i="69" s="1"/>
  <c r="C22" i="69" s="1"/>
  <c r="C56" i="11"/>
  <c r="C57" i="11" s="1"/>
  <c r="C39" i="69"/>
  <c r="C42" i="69"/>
  <c r="R16" i="1"/>
  <c r="Q49" i="77"/>
  <c r="D2" i="67"/>
  <c r="C43" i="67"/>
  <c r="Q47" i="67"/>
  <c r="Q53" i="67" s="1"/>
  <c r="Q65" i="67"/>
  <c r="Q56" i="67"/>
  <c r="C83" i="67"/>
  <c r="C82" i="67" s="1"/>
  <c r="L51" i="67"/>
  <c r="E6" i="76"/>
  <c r="C58" i="67" l="1"/>
  <c r="C67" i="67" s="1"/>
  <c r="C68" i="67" s="1"/>
  <c r="Q67" i="67"/>
  <c r="L57" i="67"/>
  <c r="L60" i="67" s="1"/>
  <c r="Q57" i="67" s="1"/>
  <c r="Q62" i="67" s="1"/>
  <c r="J16" i="67"/>
  <c r="J25" i="67" s="1"/>
  <c r="Q69" i="67"/>
  <c r="Q68" i="67" s="1"/>
  <c r="E2" i="76"/>
  <c r="D6" i="53"/>
  <c r="B22" i="72" s="1"/>
  <c r="B20" i="72"/>
  <c r="E118" i="9"/>
  <c r="E4" i="52" s="1"/>
  <c r="B48" i="72" s="1"/>
  <c r="B2" i="43"/>
  <c r="H108" i="9"/>
  <c r="D15" i="53" s="1"/>
  <c r="B31" i="72" s="1"/>
  <c r="D13" i="53"/>
  <c r="D122" i="9"/>
  <c r="J52" i="84"/>
  <c r="S60" i="82"/>
  <c r="I52" i="84" s="1"/>
  <c r="J44" i="84"/>
  <c r="S52" i="82"/>
  <c r="I44" i="84" s="1"/>
  <c r="J36" i="84"/>
  <c r="S44" i="82"/>
  <c r="I36" i="84" s="1"/>
  <c r="J28" i="84"/>
  <c r="S36" i="82"/>
  <c r="I28" i="84" s="1"/>
  <c r="J19" i="84"/>
  <c r="S27" i="82"/>
  <c r="I19" i="84" s="1"/>
  <c r="J46" i="84"/>
  <c r="S54" i="82"/>
  <c r="I46" i="84" s="1"/>
  <c r="J38" i="84"/>
  <c r="S46" i="82"/>
  <c r="I38" i="84" s="1"/>
  <c r="J30" i="84"/>
  <c r="S38" i="82"/>
  <c r="I30" i="84" s="1"/>
  <c r="J21" i="84"/>
  <c r="S29" i="82"/>
  <c r="I21" i="84" s="1"/>
  <c r="S53" i="82"/>
  <c r="I45" i="84" s="1"/>
  <c r="J45" i="84"/>
  <c r="S45" i="82"/>
  <c r="I37" i="84" s="1"/>
  <c r="J37" i="84"/>
  <c r="S37" i="82"/>
  <c r="I29" i="84" s="1"/>
  <c r="J29" i="84"/>
  <c r="S30" i="82"/>
  <c r="I22" i="84" s="1"/>
  <c r="J22" i="84"/>
  <c r="I16" i="84"/>
  <c r="S59" i="82"/>
  <c r="I51" i="84" s="1"/>
  <c r="J51" i="84"/>
  <c r="S51" i="82"/>
  <c r="I43" i="84" s="1"/>
  <c r="J43" i="84"/>
  <c r="S43" i="82"/>
  <c r="I35" i="84" s="1"/>
  <c r="J35" i="84"/>
  <c r="S35" i="82"/>
  <c r="I27" i="84" s="1"/>
  <c r="J27" i="84"/>
  <c r="S28" i="82"/>
  <c r="I20" i="84" s="1"/>
  <c r="J20" i="84"/>
  <c r="J48" i="84"/>
  <c r="S56" i="82"/>
  <c r="I48" i="84" s="1"/>
  <c r="J40" i="84"/>
  <c r="S48" i="82"/>
  <c r="I40" i="84" s="1"/>
  <c r="J32" i="84"/>
  <c r="S40" i="82"/>
  <c r="I32" i="84" s="1"/>
  <c r="J23" i="84"/>
  <c r="S31" i="82"/>
  <c r="I23" i="84" s="1"/>
  <c r="J50" i="84"/>
  <c r="S58" i="82"/>
  <c r="I50" i="84" s="1"/>
  <c r="J42" i="84"/>
  <c r="S50" i="82"/>
  <c r="I42" i="84" s="1"/>
  <c r="J34" i="84"/>
  <c r="S42" i="82"/>
  <c r="I34" i="84" s="1"/>
  <c r="J26" i="84"/>
  <c r="S34" i="82"/>
  <c r="I26" i="84" s="1"/>
  <c r="J17" i="84"/>
  <c r="S25" i="82"/>
  <c r="I17" i="84" s="1"/>
  <c r="S57" i="82"/>
  <c r="I49" i="84" s="1"/>
  <c r="J49" i="84"/>
  <c r="S49" i="82"/>
  <c r="I41" i="84" s="1"/>
  <c r="J41" i="84"/>
  <c r="S41" i="82"/>
  <c r="I33" i="84" s="1"/>
  <c r="J33" i="84"/>
  <c r="S33" i="82"/>
  <c r="I25" i="84" s="1"/>
  <c r="J25" i="84"/>
  <c r="S26" i="82"/>
  <c r="I18" i="84" s="1"/>
  <c r="J18" i="84"/>
  <c r="S55" i="82"/>
  <c r="I47" i="84" s="1"/>
  <c r="J47" i="84"/>
  <c r="S47" i="82"/>
  <c r="I39" i="84" s="1"/>
  <c r="J39" i="84"/>
  <c r="S39" i="82"/>
  <c r="I31" i="84" s="1"/>
  <c r="J31" i="84"/>
  <c r="S32" i="82"/>
  <c r="I24" i="84" s="1"/>
  <c r="J24" i="84"/>
  <c r="C28" i="69"/>
  <c r="C27" i="69" s="1"/>
  <c r="C31" i="69" s="1"/>
  <c r="C22" i="68"/>
  <c r="C25" i="93"/>
  <c r="C22" i="93" s="1"/>
  <c r="C28" i="93"/>
  <c r="C27" i="93" s="1"/>
  <c r="C28" i="68"/>
  <c r="C27" i="68" s="1"/>
  <c r="C25" i="86"/>
  <c r="C22" i="86" s="1"/>
  <c r="C28" i="86"/>
  <c r="C27" i="86" s="1"/>
  <c r="Q49" i="87"/>
  <c r="C36" i="87"/>
  <c r="J14" i="77"/>
  <c r="J22" i="77" s="1"/>
  <c r="C57" i="87"/>
  <c r="C61" i="87" s="1"/>
  <c r="C59" i="87" s="1"/>
  <c r="C13" i="15"/>
  <c r="C56" i="15" s="1"/>
  <c r="C65" i="15" s="1"/>
  <c r="C36" i="15"/>
  <c r="J14" i="15"/>
  <c r="J13" i="15" s="1"/>
  <c r="J23" i="15" s="1"/>
  <c r="C57" i="15"/>
  <c r="C61" i="15" s="1"/>
  <c r="C59" i="15" s="1"/>
  <c r="Q49" i="15"/>
  <c r="C57" i="77"/>
  <c r="C61" i="77" s="1"/>
  <c r="C59" i="77" s="1"/>
  <c r="C13" i="77"/>
  <c r="Q70" i="77" s="1"/>
  <c r="J14" i="87"/>
  <c r="J13" i="87" s="1"/>
  <c r="J23" i="87" s="1"/>
  <c r="C13" i="87"/>
  <c r="C37" i="87" s="1"/>
  <c r="C49" i="93"/>
  <c r="C51" i="93" s="1"/>
  <c r="J14" i="90"/>
  <c r="C13" i="90"/>
  <c r="C36" i="90"/>
  <c r="C57" i="90"/>
  <c r="Q49" i="90"/>
  <c r="J13" i="77"/>
  <c r="J23" i="77" s="1"/>
  <c r="C33" i="79"/>
  <c r="C31" i="79" s="1"/>
  <c r="C36" i="79"/>
  <c r="J19" i="79"/>
  <c r="J17" i="79" s="1"/>
  <c r="C57" i="79"/>
  <c r="C13" i="79"/>
  <c r="J14" i="79"/>
  <c r="Q49" i="79"/>
  <c r="J14" i="91"/>
  <c r="C13" i="91"/>
  <c r="C36" i="91"/>
  <c r="C57" i="91"/>
  <c r="Q49" i="91"/>
  <c r="C37" i="77"/>
  <c r="C30" i="77" s="1"/>
  <c r="C39" i="77" s="1"/>
  <c r="C75" i="77"/>
  <c r="C46" i="69"/>
  <c r="C45" i="69" s="1"/>
  <c r="C43" i="69"/>
  <c r="C41" i="69" s="1"/>
  <c r="J22" i="15"/>
  <c r="Q70" i="15"/>
  <c r="C37" i="15"/>
  <c r="C30" i="15" s="1"/>
  <c r="C39" i="15" s="1"/>
  <c r="Q70" i="87"/>
  <c r="Q66" i="67"/>
  <c r="Q75" i="67" s="1"/>
  <c r="B2" i="67"/>
  <c r="B3" i="67"/>
  <c r="B6" i="76"/>
  <c r="L51" i="77"/>
  <c r="L51" i="15"/>
  <c r="J22" i="87" l="1"/>
  <c r="C64" i="15"/>
  <c r="C71" i="67"/>
  <c r="C45" i="67"/>
  <c r="C46" i="67" s="1"/>
  <c r="C64" i="77"/>
  <c r="C64" i="87"/>
  <c r="B2" i="76"/>
  <c r="B3" i="76" s="1"/>
  <c r="D123" i="9"/>
  <c r="D9" i="52" s="1"/>
  <c r="G14" i="74"/>
  <c r="D8" i="52"/>
  <c r="D14" i="53"/>
  <c r="B32" i="72" s="1"/>
  <c r="B30" i="72"/>
  <c r="B3" i="43"/>
  <c r="C30" i="87"/>
  <c r="C39" i="87" s="1"/>
  <c r="C31" i="68"/>
  <c r="C52" i="68" s="1"/>
  <c r="B2" i="68" s="1"/>
  <c r="I53" i="84"/>
  <c r="J53" i="84" s="1"/>
  <c r="S22" i="82"/>
  <c r="R22" i="82" s="1"/>
  <c r="B21" i="82" s="1"/>
  <c r="C31" i="93"/>
  <c r="C52" i="93" s="1"/>
  <c r="J16" i="77"/>
  <c r="J25" i="77" s="1"/>
  <c r="C75" i="15"/>
  <c r="C80" i="15" s="1"/>
  <c r="C79" i="15" s="1"/>
  <c r="C56" i="77"/>
  <c r="C65" i="77" s="1"/>
  <c r="C58" i="77" s="1"/>
  <c r="C67" i="77" s="1"/>
  <c r="C68" i="77" s="1"/>
  <c r="C71" i="77" s="1"/>
  <c r="C31" i="86"/>
  <c r="C52" i="86" s="1"/>
  <c r="B2" i="86" s="1"/>
  <c r="C56" i="87"/>
  <c r="C65" i="87" s="1"/>
  <c r="C58" i="87" s="1"/>
  <c r="C67" i="87" s="1"/>
  <c r="C68" i="87" s="1"/>
  <c r="C75" i="87"/>
  <c r="C80" i="87" s="1"/>
  <c r="C79" i="87" s="1"/>
  <c r="J16" i="15"/>
  <c r="J25" i="15" s="1"/>
  <c r="C49" i="69"/>
  <c r="C51" i="69" s="1"/>
  <c r="C52" i="69" s="1"/>
  <c r="B2" i="69" s="1"/>
  <c r="B3" i="69" s="1"/>
  <c r="C57" i="68"/>
  <c r="C56" i="68" s="1"/>
  <c r="Q67" i="15"/>
  <c r="Q67" i="77"/>
  <c r="C40" i="15"/>
  <c r="Q69" i="15"/>
  <c r="Q68" i="15" s="1"/>
  <c r="Q69" i="77"/>
  <c r="Q68" i="77" s="1"/>
  <c r="C40" i="77"/>
  <c r="Q69" i="87"/>
  <c r="Q68" i="87" s="1"/>
  <c r="C40" i="87"/>
  <c r="J22" i="91"/>
  <c r="J13" i="91"/>
  <c r="J23" i="91" s="1"/>
  <c r="J22" i="79"/>
  <c r="J13" i="79"/>
  <c r="J23" i="79" s="1"/>
  <c r="C64" i="79"/>
  <c r="C61" i="79"/>
  <c r="C59" i="79" s="1"/>
  <c r="C58" i="15"/>
  <c r="C67" i="15" s="1"/>
  <c r="C68" i="15" s="1"/>
  <c r="C64" i="90"/>
  <c r="C61" i="90"/>
  <c r="C59" i="90" s="1"/>
  <c r="C56" i="90"/>
  <c r="C65" i="90" s="1"/>
  <c r="C37" i="90"/>
  <c r="C30" i="90" s="1"/>
  <c r="C39" i="90" s="1"/>
  <c r="C75" i="90"/>
  <c r="Q70" i="90"/>
  <c r="C80" i="77"/>
  <c r="C79" i="77" s="1"/>
  <c r="J16" i="87"/>
  <c r="J25" i="87" s="1"/>
  <c r="C61" i="91"/>
  <c r="C59" i="91" s="1"/>
  <c r="C64" i="91"/>
  <c r="C37" i="91"/>
  <c r="C30" i="91" s="1"/>
  <c r="C39" i="91" s="1"/>
  <c r="C56" i="91"/>
  <c r="C65" i="91" s="1"/>
  <c r="C75" i="91"/>
  <c r="Q70" i="91"/>
  <c r="C37" i="79"/>
  <c r="C30" i="79" s="1"/>
  <c r="C39" i="79" s="1"/>
  <c r="C56" i="79"/>
  <c r="C65" i="79" s="1"/>
  <c r="Q70" i="79"/>
  <c r="C75" i="79"/>
  <c r="J22" i="90"/>
  <c r="J13" i="90"/>
  <c r="J23" i="90" s="1"/>
  <c r="B3" i="68"/>
  <c r="L51" i="87"/>
  <c r="L51" i="90"/>
  <c r="C20" i="78"/>
  <c r="C19" i="80"/>
  <c r="B3" i="86"/>
  <c r="L51" i="79"/>
  <c r="L51" i="91"/>
  <c r="Q67" i="87" l="1"/>
  <c r="B20" i="82"/>
  <c r="C103" i="78"/>
  <c r="C57" i="86"/>
  <c r="C56" i="86" s="1"/>
  <c r="B2" i="93"/>
  <c r="C57" i="93"/>
  <c r="C56" i="93" s="1"/>
  <c r="C21" i="80"/>
  <c r="C102" i="80"/>
  <c r="C46" i="77"/>
  <c r="C80" i="79"/>
  <c r="C79" i="79" s="1"/>
  <c r="C58" i="90"/>
  <c r="C67" i="90" s="1"/>
  <c r="C68" i="90" s="1"/>
  <c r="C71" i="90" s="1"/>
  <c r="J16" i="79"/>
  <c r="J25" i="79" s="1"/>
  <c r="J16" i="91"/>
  <c r="J25" i="91" s="1"/>
  <c r="J26" i="91" s="1"/>
  <c r="J29" i="91" s="1"/>
  <c r="J16" i="90"/>
  <c r="J25" i="90" s="1"/>
  <c r="C58" i="91"/>
  <c r="C67" i="91" s="1"/>
  <c r="C68" i="91" s="1"/>
  <c r="C71" i="91" s="1"/>
  <c r="C57" i="69"/>
  <c r="C56" i="69" s="1"/>
  <c r="Q67" i="91"/>
  <c r="Q67" i="79"/>
  <c r="Q67" i="90"/>
  <c r="C40" i="91"/>
  <c r="Q69" i="91"/>
  <c r="Q68" i="91" s="1"/>
  <c r="Q69" i="79"/>
  <c r="Q68" i="79" s="1"/>
  <c r="C40" i="79"/>
  <c r="C80" i="90"/>
  <c r="C79" i="90" s="1"/>
  <c r="C58" i="79"/>
  <c r="C67" i="79" s="1"/>
  <c r="C68" i="79" s="1"/>
  <c r="Q56" i="15"/>
  <c r="Q62" i="15" s="1"/>
  <c r="Q47" i="15"/>
  <c r="Q53" i="15" s="1"/>
  <c r="K16" i="84"/>
  <c r="B2" i="15"/>
  <c r="C43" i="15"/>
  <c r="Q65" i="15"/>
  <c r="Q75" i="15" s="1"/>
  <c r="C83" i="15"/>
  <c r="C82" i="15" s="1"/>
  <c r="C80" i="91"/>
  <c r="C79" i="91" s="1"/>
  <c r="Q69" i="90"/>
  <c r="Q68" i="90" s="1"/>
  <c r="C40" i="90"/>
  <c r="C46" i="15"/>
  <c r="C71" i="15"/>
  <c r="C71" i="87"/>
  <c r="C46" i="87"/>
  <c r="B2" i="87"/>
  <c r="Q65" i="87"/>
  <c r="Q75" i="87" s="1"/>
  <c r="Q47" i="87"/>
  <c r="Q53" i="87" s="1"/>
  <c r="C43" i="87"/>
  <c r="Q56" i="87"/>
  <c r="Q62" i="87" s="1"/>
  <c r="C83" i="87"/>
  <c r="C82" i="87" s="1"/>
  <c r="Q47" i="77"/>
  <c r="Q53" i="77" s="1"/>
  <c r="Q65" i="77"/>
  <c r="Q75" i="77" s="1"/>
  <c r="K3" i="84"/>
  <c r="C43" i="77"/>
  <c r="B2" i="77"/>
  <c r="B3" i="77" s="1"/>
  <c r="Q56" i="77"/>
  <c r="Q62" i="77" s="1"/>
  <c r="C83" i="77"/>
  <c r="C82" i="77" s="1"/>
  <c r="AO10" i="1"/>
  <c r="C19" i="78"/>
  <c r="AO9" i="1"/>
  <c r="C20" i="80"/>
  <c r="D19" i="88"/>
  <c r="B3" i="93"/>
  <c r="C21" i="78" l="1"/>
  <c r="C102" i="78"/>
  <c r="C46" i="90"/>
  <c r="C103" i="80"/>
  <c r="D102" i="88"/>
  <c r="D22" i="88"/>
  <c r="D21" i="88"/>
  <c r="G19" i="88"/>
  <c r="B9" i="92"/>
  <c r="G13" i="84"/>
  <c r="G14" i="84"/>
  <c r="G6" i="84"/>
  <c r="G7" i="84"/>
  <c r="G11" i="84"/>
  <c r="G4" i="84"/>
  <c r="G3" i="84"/>
  <c r="G10" i="84"/>
  <c r="G12" i="84"/>
  <c r="G5" i="84"/>
  <c r="G8" i="84"/>
  <c r="G9" i="84"/>
  <c r="B3" i="87"/>
  <c r="G18" i="84"/>
  <c r="G29" i="84"/>
  <c r="G21" i="84"/>
  <c r="G39" i="84"/>
  <c r="G38" i="84"/>
  <c r="G47" i="84"/>
  <c r="G33" i="84"/>
  <c r="G49" i="84"/>
  <c r="G41" i="84"/>
  <c r="G46" i="84"/>
  <c r="G26" i="84"/>
  <c r="G43" i="84"/>
  <c r="G45" i="84"/>
  <c r="G20" i="84"/>
  <c r="G40" i="84"/>
  <c r="G42" i="84"/>
  <c r="G19" i="84"/>
  <c r="G27" i="84"/>
  <c r="G31" i="84"/>
  <c r="G23" i="84"/>
  <c r="G51" i="84"/>
  <c r="G35" i="84"/>
  <c r="G24" i="84"/>
  <c r="G22" i="84"/>
  <c r="G16" i="84"/>
  <c r="G44" i="84"/>
  <c r="G52" i="84"/>
  <c r="G32" i="84"/>
  <c r="G37" i="84"/>
  <c r="G17" i="84"/>
  <c r="G36" i="84"/>
  <c r="G30" i="84"/>
  <c r="G28" i="84"/>
  <c r="G25" i="84"/>
  <c r="G34" i="84"/>
  <c r="G50" i="84"/>
  <c r="G48" i="84"/>
  <c r="C46" i="91"/>
  <c r="Q47" i="91"/>
  <c r="Q53" i="91" s="1"/>
  <c r="Q56" i="91"/>
  <c r="Q62" i="91" s="1"/>
  <c r="B2" i="91"/>
  <c r="Q65" i="91"/>
  <c r="Q75" i="91" s="1"/>
  <c r="C43" i="91"/>
  <c r="C83" i="91"/>
  <c r="C82" i="91" s="1"/>
  <c r="Q47" i="90"/>
  <c r="Q53" i="90" s="1"/>
  <c r="Q56" i="90"/>
  <c r="Q62" i="90" s="1"/>
  <c r="C43" i="90"/>
  <c r="B2" i="90"/>
  <c r="B3" i="90" s="1"/>
  <c r="Q65" i="90"/>
  <c r="Q75" i="90" s="1"/>
  <c r="C83" i="90"/>
  <c r="C82" i="90" s="1"/>
  <c r="B3" i="15"/>
  <c r="C46" i="79"/>
  <c r="C71" i="79"/>
  <c r="B2" i="79"/>
  <c r="C43" i="79"/>
  <c r="Q56" i="79"/>
  <c r="Q62" i="79" s="1"/>
  <c r="Q47" i="79"/>
  <c r="Q53" i="79" s="1"/>
  <c r="Q65" i="79"/>
  <c r="Q75" i="79" s="1"/>
  <c r="C83" i="79"/>
  <c r="C82" i="79" s="1"/>
  <c r="K54" i="84"/>
  <c r="D19" i="80"/>
  <c r="AO11" i="1"/>
  <c r="AO8" i="1"/>
  <c r="D35" i="88"/>
  <c r="D20" i="88"/>
  <c r="D34" i="88"/>
  <c r="D21" i="80" l="1"/>
  <c r="D22" i="80"/>
  <c r="D102" i="80"/>
  <c r="G19" i="80"/>
  <c r="G20" i="88"/>
  <c r="D103" i="88"/>
  <c r="B8" i="92"/>
  <c r="B2" i="92" s="1"/>
  <c r="B3" i="79"/>
  <c r="H50" i="84"/>
  <c r="F50" i="84" s="1"/>
  <c r="E50" i="84"/>
  <c r="H25" i="84"/>
  <c r="F25" i="84" s="1"/>
  <c r="E25" i="84"/>
  <c r="H30" i="84"/>
  <c r="F30" i="84" s="1"/>
  <c r="E30" i="84"/>
  <c r="H17" i="84"/>
  <c r="F17" i="84" s="1"/>
  <c r="E17" i="84"/>
  <c r="H32" i="84"/>
  <c r="F32" i="84" s="1"/>
  <c r="E32" i="84"/>
  <c r="H44" i="84"/>
  <c r="F44" i="84" s="1"/>
  <c r="E44" i="84"/>
  <c r="E22" i="84"/>
  <c r="H22" i="84"/>
  <c r="F22" i="84" s="1"/>
  <c r="E35" i="84"/>
  <c r="H35" i="84"/>
  <c r="F35" i="84" s="1"/>
  <c r="E23" i="84"/>
  <c r="H23" i="84"/>
  <c r="F23" i="84" s="1"/>
  <c r="E27" i="84"/>
  <c r="H27" i="84"/>
  <c r="F27" i="84" s="1"/>
  <c r="E42" i="84"/>
  <c r="H42" i="84"/>
  <c r="F42" i="84" s="1"/>
  <c r="E20" i="84"/>
  <c r="H20" i="84"/>
  <c r="F20" i="84" s="1"/>
  <c r="E43" i="84"/>
  <c r="H43" i="84"/>
  <c r="F43" i="84" s="1"/>
  <c r="H46" i="84"/>
  <c r="F46" i="84" s="1"/>
  <c r="E46" i="84"/>
  <c r="E49" i="84"/>
  <c r="H49" i="84"/>
  <c r="F49" i="84" s="1"/>
  <c r="E47" i="84"/>
  <c r="H47" i="84"/>
  <c r="F47" i="84" s="1"/>
  <c r="H39" i="84"/>
  <c r="F39" i="84" s="1"/>
  <c r="E39" i="84"/>
  <c r="E29" i="84"/>
  <c r="H29" i="84"/>
  <c r="F29" i="84" s="1"/>
  <c r="E8" i="84"/>
  <c r="H8" i="84"/>
  <c r="F8" i="84" s="1"/>
  <c r="H12" i="84"/>
  <c r="F12" i="84" s="1"/>
  <c r="E12" i="84"/>
  <c r="E3" i="84"/>
  <c r="E15" i="84" s="1"/>
  <c r="G15" i="84"/>
  <c r="H3" i="84"/>
  <c r="F3" i="84" s="1"/>
  <c r="E11" i="84"/>
  <c r="H11" i="84"/>
  <c r="F11" i="84" s="1"/>
  <c r="H6" i="84"/>
  <c r="F6" i="84" s="1"/>
  <c r="E6" i="84"/>
  <c r="H13" i="84"/>
  <c r="F13" i="84" s="1"/>
  <c r="E13" i="84"/>
  <c r="G21" i="88"/>
  <c r="C32" i="88"/>
  <c r="B3" i="91"/>
  <c r="H48" i="84"/>
  <c r="F48" i="84" s="1"/>
  <c r="E48" i="84"/>
  <c r="H34" i="84"/>
  <c r="F34" i="84" s="1"/>
  <c r="E34" i="84"/>
  <c r="E28" i="84"/>
  <c r="H28" i="84"/>
  <c r="F28" i="84" s="1"/>
  <c r="E36" i="84"/>
  <c r="H36" i="84"/>
  <c r="F36" i="84" s="1"/>
  <c r="H37" i="84"/>
  <c r="F37" i="84" s="1"/>
  <c r="E37" i="84"/>
  <c r="H52" i="84"/>
  <c r="F52" i="84" s="1"/>
  <c r="E52" i="84"/>
  <c r="E16" i="84"/>
  <c r="G53" i="84"/>
  <c r="H53" i="84" s="1"/>
  <c r="F53" i="84" s="1"/>
  <c r="H16" i="84"/>
  <c r="F16" i="84" s="1"/>
  <c r="E24" i="84"/>
  <c r="H24" i="84"/>
  <c r="F24" i="84" s="1"/>
  <c r="E51" i="84"/>
  <c r="H51" i="84"/>
  <c r="F51" i="84" s="1"/>
  <c r="E31" i="84"/>
  <c r="H31" i="84"/>
  <c r="F31" i="84" s="1"/>
  <c r="E19" i="84"/>
  <c r="H19" i="84"/>
  <c r="F19" i="84" s="1"/>
  <c r="E40" i="84"/>
  <c r="H40" i="84"/>
  <c r="F40" i="84" s="1"/>
  <c r="E45" i="84"/>
  <c r="H45" i="84"/>
  <c r="F45" i="84" s="1"/>
  <c r="E26" i="84"/>
  <c r="H26" i="84"/>
  <c r="F26" i="84" s="1"/>
  <c r="E41" i="84"/>
  <c r="H41" i="84"/>
  <c r="F41" i="84" s="1"/>
  <c r="H33" i="84"/>
  <c r="F33" i="84" s="1"/>
  <c r="E33" i="84"/>
  <c r="H38" i="84"/>
  <c r="F38" i="84" s="1"/>
  <c r="E38" i="84"/>
  <c r="E21" i="84"/>
  <c r="H21" i="84"/>
  <c r="F21" i="84" s="1"/>
  <c r="H18" i="84"/>
  <c r="F18" i="84" s="1"/>
  <c r="E18" i="84"/>
  <c r="E9" i="84"/>
  <c r="H9" i="84"/>
  <c r="F9" i="84" s="1"/>
  <c r="H5" i="84"/>
  <c r="F5" i="84" s="1"/>
  <c r="E5" i="84"/>
  <c r="H10" i="84"/>
  <c r="F10" i="84" s="1"/>
  <c r="E10" i="84"/>
  <c r="E4" i="84"/>
  <c r="H4" i="84"/>
  <c r="F4" i="84" s="1"/>
  <c r="E7" i="84"/>
  <c r="H7" i="84"/>
  <c r="F7" i="84" s="1"/>
  <c r="H14" i="84"/>
  <c r="F14" i="84" s="1"/>
  <c r="E14" i="84"/>
  <c r="D20" i="80"/>
  <c r="D34" i="80"/>
  <c r="D35" i="80"/>
  <c r="D19" i="78"/>
  <c r="D103" i="80" l="1"/>
  <c r="G20" i="80"/>
  <c r="J54" i="84" s="1"/>
  <c r="D22" i="78"/>
  <c r="D21" i="78"/>
  <c r="G19" i="78"/>
  <c r="D102" i="78"/>
  <c r="K15" i="84"/>
  <c r="H15" i="84"/>
  <c r="F15" i="84" s="1"/>
  <c r="G21" i="80"/>
  <c r="C32" i="80"/>
  <c r="E53" i="84"/>
  <c r="K53" i="84" s="1"/>
  <c r="C35" i="88"/>
  <c r="F118" i="88" s="1"/>
  <c r="H118" i="88"/>
  <c r="C34" i="88"/>
  <c r="D118" i="88" s="1"/>
  <c r="D119" i="88" s="1"/>
  <c r="B3" i="92"/>
  <c r="D20" i="78"/>
  <c r="D103" i="78" l="1"/>
  <c r="G20" i="78"/>
  <c r="H119" i="88"/>
  <c r="H101" i="88"/>
  <c r="I118" i="88"/>
  <c r="D16" i="74"/>
  <c r="C104" i="88"/>
  <c r="H118" i="80"/>
  <c r="C35" i="80"/>
  <c r="F118" i="80" s="1"/>
  <c r="I54" i="84"/>
  <c r="J55" i="84"/>
  <c r="J56" i="84" s="1"/>
  <c r="G118" i="88"/>
  <c r="F119" i="88"/>
  <c r="C32" i="78"/>
  <c r="G21" i="78"/>
  <c r="C34" i="80" l="1"/>
  <c r="D118" i="80" s="1"/>
  <c r="D119" i="80" s="1"/>
  <c r="H101" i="80"/>
  <c r="H119" i="80"/>
  <c r="D17" i="74"/>
  <c r="I118" i="80"/>
  <c r="C104" i="80"/>
  <c r="F16" i="74"/>
  <c r="G16" i="74"/>
  <c r="E16" i="74"/>
  <c r="H107" i="88"/>
  <c r="D45" i="88"/>
  <c r="M48" i="88"/>
  <c r="H118" i="78"/>
  <c r="C35" i="78"/>
  <c r="F118" i="78" s="1"/>
  <c r="G54" i="84"/>
  <c r="I55" i="84"/>
  <c r="G118" i="80"/>
  <c r="F119" i="80"/>
  <c r="C105" i="88"/>
  <c r="H102" i="88"/>
  <c r="E118" i="88"/>
  <c r="C34" i="78" l="1"/>
  <c r="D118" i="78" s="1"/>
  <c r="D119" i="78" s="1"/>
  <c r="H54" i="84"/>
  <c r="E54" i="84"/>
  <c r="G118" i="78"/>
  <c r="F119" i="78"/>
  <c r="H108" i="88"/>
  <c r="D122" i="88"/>
  <c r="D123" i="88" s="1"/>
  <c r="M49" i="88"/>
  <c r="F17" i="74"/>
  <c r="G17" i="74"/>
  <c r="E17" i="74"/>
  <c r="M48" i="80"/>
  <c r="H107" i="80"/>
  <c r="D45" i="80"/>
  <c r="G55" i="84"/>
  <c r="G56" i="84" s="1"/>
  <c r="I56" i="84"/>
  <c r="I57" i="84" s="1"/>
  <c r="I58" i="84" s="1"/>
  <c r="H101" i="78"/>
  <c r="H119" i="78"/>
  <c r="I118" i="78"/>
  <c r="C104" i="78"/>
  <c r="D15" i="74"/>
  <c r="D52" i="88"/>
  <c r="D55" i="88"/>
  <c r="M53" i="88" s="1"/>
  <c r="C93" i="88"/>
  <c r="C86" i="88" s="1"/>
  <c r="C85" i="88"/>
  <c r="C78" i="88"/>
  <c r="C73" i="88" s="1"/>
  <c r="C72" i="88"/>
  <c r="D53" i="88"/>
  <c r="C64" i="88"/>
  <c r="C63" i="88" s="1"/>
  <c r="C67" i="88" s="1"/>
  <c r="C68" i="88" s="1"/>
  <c r="D54" i="88" s="1"/>
  <c r="C105" i="80"/>
  <c r="E118" i="80"/>
  <c r="H102" i="80"/>
  <c r="E55" i="84" l="1"/>
  <c r="E56" i="84" s="1"/>
  <c r="E57" i="84" s="1"/>
  <c r="E58" i="84" s="1"/>
  <c r="G57" i="84"/>
  <c r="G58" i="84" s="1"/>
  <c r="K56" i="84"/>
  <c r="C79" i="88"/>
  <c r="C95" i="88"/>
  <c r="F15" i="74"/>
  <c r="B5" i="74"/>
  <c r="E15" i="74"/>
  <c r="G15" i="74"/>
  <c r="B6" i="74" s="1"/>
  <c r="C105" i="78"/>
  <c r="E118" i="78"/>
  <c r="H102" i="78"/>
  <c r="M48" i="78"/>
  <c r="H107" i="78"/>
  <c r="D45" i="78"/>
  <c r="C93" i="80"/>
  <c r="C86" i="80" s="1"/>
  <c r="C64" i="80"/>
  <c r="C63" i="80" s="1"/>
  <c r="C67" i="80" s="1"/>
  <c r="C68" i="80" s="1"/>
  <c r="D54" i="80" s="1"/>
  <c r="D55" i="80"/>
  <c r="M53" i="80" s="1"/>
  <c r="C72" i="80"/>
  <c r="C85" i="80"/>
  <c r="C95" i="80" s="1"/>
  <c r="C78" i="80"/>
  <c r="C73" i="80" s="1"/>
  <c r="D52" i="80"/>
  <c r="D53" i="80"/>
  <c r="L65" i="88"/>
  <c r="M65" i="88" s="1"/>
  <c r="L63" i="88"/>
  <c r="M63" i="88" s="1"/>
  <c r="L64" i="88"/>
  <c r="M64" i="88" s="1"/>
  <c r="L68" i="88"/>
  <c r="M68" i="88" s="1"/>
  <c r="L66" i="88"/>
  <c r="M66" i="88" s="1"/>
  <c r="L67" i="88"/>
  <c r="M67" i="88" s="1"/>
  <c r="F54" i="84"/>
  <c r="H55" i="84"/>
  <c r="D122" i="80"/>
  <c r="D123" i="80" s="1"/>
  <c r="M49" i="80"/>
  <c r="H108" i="80"/>
  <c r="L66" i="80" l="1"/>
  <c r="M66" i="80" s="1"/>
  <c r="L64" i="80"/>
  <c r="M64" i="80" s="1"/>
  <c r="L68" i="80"/>
  <c r="M68" i="80" s="1"/>
  <c r="L65" i="80"/>
  <c r="M65" i="80" s="1"/>
  <c r="L67" i="80"/>
  <c r="M67" i="80" s="1"/>
  <c r="L63" i="80"/>
  <c r="M63" i="80" s="1"/>
  <c r="F55" i="84"/>
  <c r="F56" i="84" s="1"/>
  <c r="H56" i="84"/>
  <c r="C96" i="80"/>
  <c r="E96" i="80" s="1"/>
  <c r="E97" i="80" s="1"/>
  <c r="D122" i="78"/>
  <c r="D123" i="78" s="1"/>
  <c r="H108" i="78"/>
  <c r="M49" i="78"/>
  <c r="C96" i="88"/>
  <c r="E96" i="88" s="1"/>
  <c r="E97" i="88" s="1"/>
  <c r="M69" i="88"/>
  <c r="N69" i="88" s="1"/>
  <c r="C79" i="80"/>
  <c r="C78" i="78"/>
  <c r="C73" i="78" s="1"/>
  <c r="C64" i="78"/>
  <c r="C63" i="78" s="1"/>
  <c r="C67" i="78" s="1"/>
  <c r="C68" i="78" s="1"/>
  <c r="D54" i="78" s="1"/>
  <c r="C72" i="78"/>
  <c r="C79" i="78" s="1"/>
  <c r="C85" i="78"/>
  <c r="D53" i="78"/>
  <c r="C93" i="78"/>
  <c r="C86" i="78" s="1"/>
  <c r="D55" i="78"/>
  <c r="M53" i="78" s="1"/>
  <c r="D52" i="78"/>
  <c r="M48" i="9"/>
  <c r="M49" i="9" s="1"/>
  <c r="D6" i="74"/>
  <c r="D45" i="9"/>
  <c r="C6" i="74"/>
  <c r="D5" i="74"/>
  <c r="C5" i="74"/>
  <c r="C80" i="88"/>
  <c r="E80" i="88" s="1"/>
  <c r="E81" i="88" s="1"/>
  <c r="C81" i="88" l="1"/>
  <c r="C95" i="78"/>
  <c r="C80" i="80"/>
  <c r="E80" i="80" s="1"/>
  <c r="E81" i="80" s="1"/>
  <c r="L68" i="78"/>
  <c r="M68" i="78" s="1"/>
  <c r="L67" i="78"/>
  <c r="M67" i="78" s="1"/>
  <c r="L64" i="78"/>
  <c r="M64" i="78" s="1"/>
  <c r="L66" i="78"/>
  <c r="M66" i="78" s="1"/>
  <c r="L65" i="78"/>
  <c r="M65" i="78" s="1"/>
  <c r="L63" i="78"/>
  <c r="M63" i="78" s="1"/>
  <c r="M69" i="80"/>
  <c r="N69" i="80" s="1"/>
  <c r="C78" i="9"/>
  <c r="C73" i="9" s="1"/>
  <c r="C64" i="9"/>
  <c r="C63" i="9" s="1"/>
  <c r="C67" i="9" s="1"/>
  <c r="C68" i="9" s="1"/>
  <c r="D54" i="9" s="1"/>
  <c r="C93" i="9"/>
  <c r="C86" i="9" s="1"/>
  <c r="C85" i="9"/>
  <c r="D52" i="9"/>
  <c r="D55" i="9"/>
  <c r="M53" i="9" s="1"/>
  <c r="D53" i="9"/>
  <c r="D48" i="9" s="1"/>
  <c r="M52" i="9" s="1"/>
  <c r="C72" i="9"/>
  <c r="L64" i="9"/>
  <c r="M64" i="9" s="1"/>
  <c r="L68" i="9"/>
  <c r="M68" i="9" s="1"/>
  <c r="L66" i="9"/>
  <c r="M66" i="9" s="1"/>
  <c r="L67" i="9"/>
  <c r="M67" i="9" s="1"/>
  <c r="L65" i="9"/>
  <c r="M65" i="9" s="1"/>
  <c r="L63" i="9"/>
  <c r="M63" i="9" s="1"/>
  <c r="M69" i="9" s="1"/>
  <c r="N69" i="9" s="1"/>
  <c r="C80" i="78"/>
  <c r="E80" i="78" s="1"/>
  <c r="E81" i="78" s="1"/>
  <c r="C97" i="88"/>
  <c r="D58" i="88" s="1"/>
  <c r="D56" i="88" s="1"/>
  <c r="M54" i="88" s="1"/>
  <c r="N57" i="88" s="1"/>
  <c r="C97" i="80"/>
  <c r="D58" i="80" s="1"/>
  <c r="D56" i="80" s="1"/>
  <c r="M54" i="80" s="1"/>
  <c r="N57" i="80" s="1"/>
  <c r="C79" i="9" l="1"/>
  <c r="C80" i="9" s="1"/>
  <c r="E80" i="9" s="1"/>
  <c r="E81" i="9" s="1"/>
  <c r="C95" i="9"/>
  <c r="C96" i="9" s="1"/>
  <c r="E96" i="9" s="1"/>
  <c r="E97" i="9" s="1"/>
  <c r="C81" i="80"/>
  <c r="P57" i="88"/>
  <c r="N58" i="88"/>
  <c r="N59" i="88"/>
  <c r="C81" i="9"/>
  <c r="C97" i="9"/>
  <c r="D58" i="9" s="1"/>
  <c r="D56" i="9" s="1"/>
  <c r="M54" i="9" s="1"/>
  <c r="N57" i="9" s="1"/>
  <c r="P57" i="80"/>
  <c r="N58" i="80"/>
  <c r="N59" i="80"/>
  <c r="C81" i="78"/>
  <c r="M69" i="78"/>
  <c r="N69" i="78" s="1"/>
  <c r="C96" i="78"/>
  <c r="E96" i="78" s="1"/>
  <c r="E97" i="78" s="1"/>
  <c r="C97" i="78" l="1"/>
  <c r="D58" i="78" s="1"/>
  <c r="D56" i="78" s="1"/>
  <c r="M54" i="78" s="1"/>
  <c r="N57" i="78" s="1"/>
  <c r="N58" i="78" s="1"/>
  <c r="P57" i="9"/>
  <c r="N58" i="9"/>
  <c r="N59" i="9"/>
  <c r="N60" i="80"/>
  <c r="N61" i="80"/>
  <c r="P57" i="78"/>
  <c r="N61" i="88"/>
  <c r="N60" i="88"/>
  <c r="N59" i="78" l="1"/>
  <c r="N61" i="78" s="1"/>
  <c r="N61" i="9"/>
  <c r="N60" i="9"/>
  <c r="N60" i="78" l="1"/>
  <c r="C173" i="94" l="1"/>
  <c r="C174" i="9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<sst xmlns="http://schemas.openxmlformats.org/spreadsheetml/2006/main" count="14709" uniqueCount="3787">
  <si>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</si>
  <si>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</si>
  <si>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</si>
  <si>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</si>
  <si>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</si>
  <si>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</si>
  <si>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</si>
  <si>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</si>
  <si>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</si>
  <si>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</si>
  <si>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</si>
  <si>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</si>
  <si>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</si>
  <si>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</si>
  <si>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</si>
  <si>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</si>
  <si>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</si>
  <si>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</si>
  <si>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</si>
  <si>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</si>
  <si>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</si>
  <si>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</si>
  <si>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</si>
  <si>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</si>
  <si>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</si>
  <si>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</si>
  <si>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</si>
  <si>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</si>
  <si>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</si>
  <si>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</si>
  <si>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</si>
  <si>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</si>
  <si>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</si>
  <si>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</si>
  <si>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</si>
  <si>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</si>
  <si>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</si>
  <si>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</si>
  <si>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</si>
  <si>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</si>
  <si>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</si>
  <si>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</si>
  <si>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</si>
  <si>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</si>
  <si>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</si>
  <si>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</si>
  <si>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</si>
  <si>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</si>
  <si>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</si>
  <si>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</si>
  <si>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</si>
  <si>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</si>
  <si>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</si>
  <si>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</si>
  <si>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</si>
  <si>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</si>
  <si>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</si>
  <si>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</si>
  <si>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</si>
  <si>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</si>
  <si>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</si>
  <si>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</si>
  <si>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</si>
  <si>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</si>
  <si>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</si>
  <si>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</si>
  <si>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</si>
  <si>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</si>
  <si>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</si>
  <si>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</si>
  <si>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</si>
  <si>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</si>
  <si>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</si>
  <si>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</si>
  <si>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</si>
  <si>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</si>
  <si>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</si>
  <si>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</si>
  <si>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</si>
  <si>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</si>
  <si>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</si>
  <si>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</si>
  <si>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</si>
  <si>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</si>
  <si>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</si>
  <si>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</si>
  <si>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</si>
  <si>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</si>
  <si>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</si>
  <si>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</si>
  <si>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</si>
  <si>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</si>
  <si>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</si>
  <si>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</si>
  <si>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</si>
  <si>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</si>
  <si>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</si>
  <si>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</si>
  <si>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</si>
  <si>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</si>
  <si>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</si>
  <si>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</si>
  <si>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</si>
  <si>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</si>
  <si>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</si>
  <si>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</si>
  <si>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</si>
  <si>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</si>
  <si>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</si>
  <si>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</si>
  <si>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</si>
  <si>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</si>
  <si>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</si>
  <si>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</si>
  <si>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</si>
  <si>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</si>
  <si>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</si>
  <si>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</si>
  <si>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</si>
  <si>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</si>
  <si>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</si>
  <si>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</si>
  <si>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</si>
  <si>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</si>
  <si>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</si>
  <si>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</si>
  <si>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</si>
  <si>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</si>
  <si>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</si>
  <si>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</si>
  <si>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</si>
  <si>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</si>
  <si>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</si>
  <si>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</si>
  <si>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</si>
  <si>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</si>
  <si>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</si>
  <si>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</si>
  <si>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</si>
  <si>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</si>
  <si>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</si>
  <si>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</si>
  <si>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</si>
  <si>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</si>
  <si>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</si>
  <si>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</si>
  <si>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</si>
  <si>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</si>
  <si>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</si>
  <si>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</si>
  <si>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</si>
  <si>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</si>
  <si>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</si>
  <si>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</si>
  <si>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</si>
  <si>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</si>
  <si>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</si>
  <si>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</si>
  <si>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</si>
  <si>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</si>
  <si>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</si>
  <si>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</si>
  <si>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</si>
  <si>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</si>
  <si>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</si>
  <si>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</si>
  <si>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</si>
  <si>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</si>
  <si>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</si>
  <si>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</si>
  <si>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</si>
  <si>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</si>
  <si>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</si>
  <si>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</si>
  <si>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</si>
  <si>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</si>
  <si>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</si>
  <si>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</si>
  <si>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</si>
  <si>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</si>
  <si>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</si>
  <si>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</si>
  <si>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</si>
  <si>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</si>
  <si>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</si>
  <si>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</si>
  <si>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</si>
  <si>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</si>
  <si>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</si>
  <si>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</si>
  <si>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</si>
  <si>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</si>
  <si>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</si>
  <si>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</si>
  <si>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</si>
  <si>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</si>
  <si>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</si>
  <si>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</si>
  <si>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</si>
  <si>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</si>
  <si>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</si>
  <si>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</si>
  <si>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</si>
  <si>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</si>
  <si>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</si>
  <si>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</si>
  <si>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</si>
  <si>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</si>
  <si>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</si>
  <si>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</si>
  <si>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</si>
  <si>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</si>
  <si>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</si>
  <si>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</si>
  <si>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</si>
  <si>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</si>
  <si>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</si>
  <si>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</si>
  <si>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</si>
  <si>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</si>
  <si>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</si>
  <si>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</si>
  <si>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</si>
  <si>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</si>
  <si>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</si>
  <si>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</si>
  <si>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</si>
  <si>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</si>
  <si>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</si>
  <si>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</si>
  <si>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</si>
  <si>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</si>
  <si>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</si>
  <si>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</si>
  <si>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</si>
  <si>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</si>
  <si>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</si>
  <si>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</si>
  <si>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</si>
  <si>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</si>
  <si>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</si>
  <si>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</si>
  <si>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</si>
  <si>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</si>
  <si>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</si>
  <si>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</si>
  <si>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</si>
  <si>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</si>
  <si>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</si>
  <si>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</si>
  <si>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</si>
  <si>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</si>
  <si>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</si>
  <si>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</si>
  <si>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</si>
  <si>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</si>
  <si>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</si>
  <si>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</si>
  <si>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</si>
  <si>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</si>
  <si>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</si>
  <si>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</si>
  <si>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</si>
  <si>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</si>
  <si>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</si>
  <si>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</si>
  <si>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</si>
  <si>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</si>
  <si>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</si>
  <si>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</si>
  <si>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</si>
  <si>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</si>
  <si>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</si>
  <si>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</si>
  <si>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</si>
  <si>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</si>
  <si>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</si>
  <si>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</si>
  <si>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</si>
  <si>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</si>
  <si>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</si>
  <si>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</si>
  <si>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</si>
  <si>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</si>
  <si>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</si>
  <si>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</si>
  <si>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</si>
  <si>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</si>
  <si>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</si>
  <si>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</si>
  <si>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</si>
  <si>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</si>
  <si>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</si>
  <si>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</si>
  <si>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</si>
  <si>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</si>
  <si>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</si>
  <si>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</si>
  <si>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</si>
  <si>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</si>
  <si>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</si>
  <si>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</si>
  <si>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</si>
  <si>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</si>
  <si>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</si>
  <si>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</si>
  <si>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</si>
  <si>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</si>
  <si>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</si>
  <si>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</si>
  <si>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</si>
  <si>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</si>
  <si>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</si>
  <si>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</si>
  <si>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</si>
  <si>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</si>
  <si>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</si>
  <si>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</si>
  <si>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</si>
  <si>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</si>
  <si>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</si>
  <si>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</si>
  <si>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</si>
  <si>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</si>
  <si>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</si>
  <si>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</si>
  <si>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</si>
  <si>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</si>
  <si>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</si>
  <si>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</si>
  <si>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</si>
  <si>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</si>
  <si>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</si>
  <si>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</si>
  <si>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</si>
  <si>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</si>
  <si>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</si>
  <si>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</si>
  <si>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</si>
  <si>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</si>
  <si>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</si>
  <si>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</si>
  <si>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</si>
  <si>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</si>
  <si>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</si>
  <si>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</si>
  <si>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</si>
  <si>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</si>
  <si>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</si>
  <si>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</si>
  <si>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</si>
  <si>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</si>
  <si>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</si>
  <si>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</si>
  <si>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</si>
  <si>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</si>
  <si>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</si>
  <si>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</si>
  <si>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</si>
  <si>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</si>
  <si>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</si>
  <si>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</si>
  <si>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</si>
  <si>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</si>
  <si>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</si>
  <si>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</si>
  <si>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</si>
  <si>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</si>
  <si>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</si>
  <si>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</si>
  <si>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</si>
  <si>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</si>
  <si>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</si>
  <si>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</si>
  <si>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</si>
  <si>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</si>
  <si>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</si>
  <si>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</si>
  <si>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</si>
  <si>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</si>
  <si>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</si>
  <si>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</si>
  <si>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</si>
  <si>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</si>
  <si>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</si>
  <si>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</si>
  <si>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</si>
  <si>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</si>
  <si>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</si>
  <si>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</si>
  <si>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</si>
  <si>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</si>
  <si>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</si>
  <si>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</si>
  <si>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</si>
  <si>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</si>
  <si>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</si>
  <si>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</si>
  <si>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</si>
  <si>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</si>
  <si>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</si>
  <si>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</si>
  <si>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</si>
  <si>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</si>
  <si>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</si>
  <si>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</si>
  <si>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</si>
  <si>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</si>
  <si>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</si>
  <si>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</si>
  <si>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</si>
  <si>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</si>
  <si>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</si>
  <si>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</si>
  <si>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</si>
  <si>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</si>
  <si>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</si>
  <si>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</si>
  <si>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</si>
  <si>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</si>
  <si>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</si>
  <si>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</si>
  <si>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</si>
  <si>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</si>
  <si>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</si>
  <si>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</si>
  <si>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</si>
  <si>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</si>
  <si>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</si>
  <si>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</si>
  <si>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</si>
  <si>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</si>
  <si>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</si>
  <si>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</si>
  <si>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</si>
  <si>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</si>
  <si>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</si>
  <si>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</si>
  <si>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</si>
  <si>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</si>
  <si>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</si>
  <si>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</si>
  <si>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</si>
  <si>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</si>
  <si>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</si>
  <si>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</si>
  <si>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</si>
  <si>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</si>
  <si>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</si>
  <si>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</si>
  <si>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</si>
  <si>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</si>
  <si>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</si>
  <si>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</si>
  <si>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</si>
  <si>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</si>
  <si>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</si>
  <si>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</si>
  <si>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</si>
  <si>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</si>
  <si>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</si>
  <si>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</si>
  <si>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</si>
  <si>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</si>
  <si>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</si>
  <si>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</si>
  <si>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</si>
  <si>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</si>
  <si>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</si>
  <si>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</si>
  <si>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</si>
  <si>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</si>
  <si>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</si>
  <si>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</si>
  <si>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</si>
  <si>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</si>
  <si>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</si>
  <si>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</si>
  <si>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</si>
  <si>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</si>
  <si>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</si>
  <si>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</si>
  <si>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</si>
  <si>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</si>
  <si>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</si>
  <si>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</si>
  <si>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</si>
  <si>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</si>
  <si>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</si>
  <si>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</si>
  <si>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</si>
  <si>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</si>
  <si>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</si>
  <si>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</si>
  <si>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</si>
  <si>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</si>
  <si>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</si>
  <si>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</si>
  <si>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</si>
  <si>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</si>
  <si>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</si>
  <si>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</si>
  <si>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</si>
  <si>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</si>
  <si>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</si>
  <si>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</si>
  <si>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</si>
  <si>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</si>
  <si>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</si>
  <si>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</si>
  <si>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</si>
  <si>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</si>
  <si>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</si>
  <si>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</si>
  <si>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</si>
  <si>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</si>
  <si>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</si>
  <si>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</si>
  <si>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</si>
  <si>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</si>
  <si>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</si>
  <si>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</si>
  <si>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</si>
  <si>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</si>
  <si>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</si>
  <si>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</si>
  <si>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</si>
  <si>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</si>
  <si>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</si>
  <si>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</si>
  <si>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</si>
  <si>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</si>
  <si>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</si>
  <si>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</si>
  <si>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</si>
  <si>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</si>
  <si>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</si>
  <si>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</si>
  <si>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</si>
  <si>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</si>
  <si>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</si>
  <si>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</si>
  <si>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</si>
  <si>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</si>
  <si>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</si>
  <si>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</si>
  <si>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</si>
  <si>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</si>
  <si>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</si>
  <si>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</si>
  <si>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</si>
  <si>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</si>
  <si>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</si>
  <si>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</si>
  <si>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</si>
  <si>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</si>
  <si>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</si>
  <si>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</si>
  <si>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</si>
  <si>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</si>
  <si>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</si>
  <si>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</si>
  <si>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</si>
  <si>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</si>
  <si>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</si>
  <si>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</si>
  <si>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</si>
  <si>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</si>
  <si>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</si>
  <si>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</si>
  <si>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</si>
  <si>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</si>
  <si>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</si>
  <si>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</si>
  <si>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</si>
  <si>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</si>
  <si>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</si>
  <si>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</si>
  <si>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</si>
  <si>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</si>
  <si>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</si>
  <si>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</si>
  <si>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</si>
  <si>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</si>
  <si>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</si>
  <si>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</si>
  <si>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</si>
  <si>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</si>
  <si>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</si>
  <si>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</si>
  <si>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</si>
  <si>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</si>
  <si>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</si>
  <si>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</si>
  <si>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</si>
  <si>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</si>
  <si>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</si>
  <si>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</si>
  <si>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</si>
  <si>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</si>
  <si>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</si>
  <si>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</si>
  <si>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</si>
  <si>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</si>
  <si>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</si>
  <si>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</si>
  <si>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</si>
  <si>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</si>
  <si>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</si>
  <si>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</si>
  <si>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</si>
  <si>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</si>
  <si>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</si>
  <si>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</si>
  <si>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</si>
  <si>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</si>
  <si>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</si>
  <si>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</si>
  <si>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</si>
  <si>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</si>
  <si>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</si>
  <si>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</si>
  <si>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</si>
  <si>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</si>
  <si>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</si>
  <si>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</si>
  <si>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</si>
  <si>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</si>
  <si>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</si>
  <si>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</si>
  <si>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</si>
  <si>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</si>
  <si>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</si>
  <si>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</si>
  <si>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</si>
  <si>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</si>
  <si>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</si>
  <si>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</si>
  <si>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</si>
  <si>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</si>
  <si>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</si>
  <si>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</si>
  <si>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</si>
  <si>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</si>
  <si>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</si>
  <si>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</si>
  <si>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</si>
  <si>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</si>
  <si>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</si>
  <si>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</si>
  <si>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</si>
  <si>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</si>
  <si>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</si>
  <si>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</si>
  <si>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</si>
  <si>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</si>
  <si>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</si>
  <si>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</si>
  <si>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</si>
  <si>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</si>
  <si>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</si>
  <si>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</si>
  <si>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</si>
  <si>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</si>
  <si>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</si>
  <si>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</si>
  <si>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</si>
  <si>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</si>
  <si>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</si>
  <si>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</si>
  <si>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</si>
  <si>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</si>
  <si>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</si>
  <si>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</si>
  <si>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</si>
  <si>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</si>
  <si>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</si>
  <si>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</si>
  <si>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</si>
  <si>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</si>
  <si>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</si>
  <si>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</si>
  <si>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</si>
  <si>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</si>
  <si>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</si>
  <si>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</si>
  <si>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</si>
  <si>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</si>
  <si>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</si>
  <si>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</si>
  <si>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</si>
  <si>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</si>
  <si>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</si>
  <si>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</si>
  <si>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</si>
  <si>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</si>
  <si>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</si>
  <si>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</si>
  <si>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</si>
  <si>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</si>
  <si>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</si>
  <si>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</si>
  <si>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</si>
  <si>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</si>
  <si>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</si>
  <si>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</si>
  <si>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</si>
  <si>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</si>
  <si>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</si>
  <si>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</si>
  <si>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</si>
  <si>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</si>
  <si>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</si>
  <si>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</si>
  <si>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</si>
  <si>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</si>
  <si>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</si>
  <si>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</si>
  <si>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</si>
  <si>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</si>
  <si>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</si>
  <si>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</si>
  <si>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</si>
  <si>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</si>
  <si>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</si>
  <si>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</si>
  <si>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</si>
  <si>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</si>
  <si>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</si>
  <si>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</si>
  <si>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</si>
  <si>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</si>
  <si>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</si>
  <si>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</si>
  <si>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</si>
  <si>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</si>
  <si>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</si>
  <si>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</si>
  <si>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</si>
  <si>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</si>
  <si>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</si>
  <si>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</si>
  <si>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</si>
  <si>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</si>
  <si>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</si>
  <si>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</si>
  <si>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</si>
  <si>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</si>
  <si>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</si>
  <si>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</si>
  <si>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</si>
  <si>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</si>
  <si>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</si>
  <si>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</si>
  <si>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</si>
  <si>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</si>
  <si>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</si>
  <si>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</si>
  <si>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</si>
  <si>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</si>
  <si>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</si>
  <si>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</si>
  <si>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</si>
  <si>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</si>
  <si>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</si>
  <si>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</si>
  <si>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</si>
  <si>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</si>
  <si>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</si>
  <si>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</si>
  <si>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</si>
  <si>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</si>
  <si>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</si>
  <si>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</si>
  <si>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</si>
  <si>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</si>
  <si>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</si>
  <si>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</si>
  <si>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</si>
  <si>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</si>
  <si>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</si>
  <si>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</si>
  <si>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</si>
  <si>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</si>
  <si>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</si>
  <si>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</si>
  <si>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</si>
  <si>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</si>
  <si>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</si>
  <si>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</si>
  <si>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</si>
  <si>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</si>
  <si>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</si>
  <si>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</si>
  <si>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</si>
  <si>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</si>
  <si>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</si>
  <si>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</si>
  <si>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</si>
  <si>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</si>
  <si>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</si>
  <si>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</si>
  <si>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</si>
  <si>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</si>
  <si>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</si>
  <si>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</si>
  <si>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</si>
  <si>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</si>
  <si>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</si>
  <si>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</si>
  <si>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</si>
  <si>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</si>
  <si>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</si>
  <si>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</si>
  <si>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</si>
  <si>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</si>
  <si>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</si>
  <si>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</si>
  <si>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</si>
  <si>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</si>
  <si>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</si>
  <si>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</si>
  <si>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</si>
  <si>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</si>
  <si>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</si>
  <si>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</si>
  <si>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</si>
  <si>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</si>
  <si>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</si>
  <si>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</si>
  <si>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</si>
  <si>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</si>
  <si>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</si>
  <si>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</si>
  <si>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</si>
  <si>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</si>
  <si>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</si>
  <si>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</si>
  <si>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</si>
  <si>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</si>
  <si>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</si>
  <si>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</si>
  <si>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</si>
  <si>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</si>
  <si>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</si>
  <si>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</si>
  <si>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</si>
  <si>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</si>
  <si>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</si>
  <si>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</si>
  <si>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</si>
  <si>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</si>
  <si>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</si>
  <si>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</si>
  <si>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</si>
  <si>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</si>
  <si>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</si>
  <si>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</si>
  <si>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</si>
  <si>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</si>
  <si>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</si>
  <si>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</si>
  <si>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</si>
  <si>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</si>
  <si>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</si>
  <si>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</si>
  <si>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</si>
  <si>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</si>
  <si>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</si>
  <si>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</si>
  <si>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</si>
  <si>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</si>
  <si>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</si>
  <si>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</si>
  <si>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</si>
  <si>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</si>
  <si>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</si>
  <si>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</si>
  <si>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</si>
  <si>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</si>
  <si>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</si>
  <si>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</si>
  <si>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</si>
  <si>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</si>
  <si>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</si>
  <si>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</si>
  <si>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</si>
  <si>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</si>
  <si>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</si>
  <si>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</si>
  <si>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</si>
  <si>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</si>
  <si>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</si>
  <si>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</si>
  <si>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</si>
  <si>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</si>
  <si>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</si>
  <si>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</si>
  <si>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</si>
  <si>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</si>
  <si>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</si>
  <si>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</si>
  <si>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</si>
  <si>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</si>
  <si>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</si>
  <si>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</si>
  <si>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</si>
  <si>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</si>
  <si>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</si>
  <si>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</si>
  <si>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</si>
  <si>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</si>
  <si>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</si>
  <si>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</si>
  <si>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</si>
  <si>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</si>
  <si>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</si>
  <si>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</si>
  <si>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</si>
  <si>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</si>
  <si>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</si>
  <si>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</si>
  <si>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</si>
  <si>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</si>
  <si>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</si>
  <si>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</si>
  <si>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</si>
  <si>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</si>
  <si>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</si>
  <si>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</si>
  <si>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</si>
  <si>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</si>
  <si>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</si>
  <si>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</si>
  <si>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</si>
  <si>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</si>
  <si>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</si>
  <si>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</si>
  <si>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</si>
  <si>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</si>
  <si>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</si>
  <si>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</si>
  <si>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</si>
  <si>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</si>
  <si>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</si>
  <si>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</si>
  <si>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</si>
  <si>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</si>
  <si>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</si>
  <si>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</si>
  <si>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</si>
  <si>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</si>
  <si>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</si>
  <si>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</si>
  <si>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</si>
  <si>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</si>
  <si>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</si>
  <si>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</si>
  <si>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</si>
  <si>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</si>
  <si>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</si>
  <si>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</si>
  <si>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</si>
  <si>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</si>
  <si>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</si>
  <si>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</si>
  <si>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</si>
  <si>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</si>
  <si>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</si>
  <si>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</si>
  <si>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</si>
  <si>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</si>
  <si>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</si>
  <si>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</si>
  <si>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</si>
  <si>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</si>
  <si>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</si>
  <si>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</si>
  <si>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</si>
  <si>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</si>
  <si>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</si>
  <si>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</si>
  <si>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</si>
  <si>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</si>
  <si>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</si>
  <si>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</si>
  <si>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</si>
  <si>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</si>
  <si>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</si>
  <si>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</si>
  <si>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</si>
  <si>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</si>
  <si>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</si>
  <si>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</si>
  <si>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</si>
  <si>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</si>
  <si>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</si>
  <si>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</si>
  <si>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</si>
  <si>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</si>
  <si>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</si>
  <si>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</si>
  <si>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</si>
  <si>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</si>
  <si>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</si>
  <si>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</si>
  <si>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</si>
  <si>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</si>
  <si>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</si>
  <si>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</si>
  <si>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</si>
  <si>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</si>
  <si>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</si>
  <si>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</si>
  <si>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</si>
  <si>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</si>
  <si>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</si>
  <si>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</si>
  <si>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</si>
  <si>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</si>
  <si>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</si>
  <si>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</si>
  <si>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</si>
  <si>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</si>
  <si>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</si>
  <si>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</si>
  <si>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</si>
  <si>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</si>
  <si>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</si>
  <si>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</si>
  <si>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</si>
  <si>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</si>
  <si>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</si>
  <si>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</si>
  <si>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</si>
  <si>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</si>
  <si>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</si>
  <si>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</si>
  <si>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</si>
  <si>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</si>
  <si>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</si>
  <si>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</si>
  <si>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</si>
  <si>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</si>
  <si>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</si>
  <si>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</si>
  <si>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</si>
  <si>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</si>
  <si>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</si>
  <si>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</si>
  <si>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</si>
  <si>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</si>
  <si>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</si>
  <si>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</si>
  <si>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</si>
  <si>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</si>
  <si>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</si>
  <si>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</si>
  <si>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</si>
  <si>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</si>
  <si>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</si>
  <si>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</si>
  <si>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</si>
  <si>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</si>
  <si>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</si>
  <si>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</si>
  <si>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</si>
  <si>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</si>
  <si>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</si>
  <si>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</si>
  <si>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</si>
  <si>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</si>
  <si>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</si>
  <si>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</si>
  <si>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</si>
  <si>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</si>
  <si>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</si>
  <si>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</si>
  <si>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</si>
  <si>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</si>
  <si>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</si>
  <si>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</si>
  <si>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</si>
  <si>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</si>
  <si>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</si>
  <si>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</si>
  <si>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</si>
  <si>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</si>
  <si>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</si>
  <si>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</si>
  <si>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</si>
  <si>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</si>
  <si>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</si>
  <si>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</si>
  <si>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</si>
  <si>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</si>
  <si>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</si>
  <si>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</si>
  <si>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</si>
  <si>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</si>
  <si>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</si>
  <si>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</si>
  <si>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</si>
  <si>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</si>
  <si>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</si>
  <si>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</si>
  <si>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</si>
  <si>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</si>
  <si>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</si>
  <si>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</si>
  <si>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</si>
  <si>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</si>
  <si>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</si>
  <si>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</si>
  <si>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</si>
  <si>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</si>
  <si>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</si>
  <si>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</si>
  <si>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</si>
  <si>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</si>
  <si>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</si>
  <si>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</si>
  <si>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</si>
  <si>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</si>
  <si>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</si>
  <si>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</si>
  <si>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</si>
  <si>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</si>
  <si>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</si>
  <si>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</si>
  <si>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</si>
  <si>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</si>
  <si>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</si>
  <si>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</si>
  <si>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</si>
  <si>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</si>
  <si>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</si>
  <si>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</si>
  <si>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</si>
  <si>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</si>
  <si>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</si>
  <si>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</si>
  <si>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</si>
  <si>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</si>
  <si>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</si>
  <si>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</si>
  <si>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</si>
  <si>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</si>
  <si>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</si>
  <si>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</si>
  <si>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</si>
  <si>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</si>
  <si>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</si>
  <si>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</si>
  <si>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</si>
  <si>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</si>
  <si>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</si>
  <si>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</si>
  <si>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</si>
  <si>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</si>
  <si>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</si>
  <si>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</si>
  <si>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</si>
  <si>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</si>
  <si>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</si>
  <si>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</si>
  <si>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</si>
  <si>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</si>
  <si>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</si>
  <si>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</si>
  <si>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</si>
  <si>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</si>
  <si>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</si>
  <si>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</si>
  <si>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</si>
  <si>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</si>
  <si>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</si>
  <si>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</si>
  <si>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</si>
  <si>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</si>
  <si>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</si>
  <si>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</si>
  <si>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</si>
  <si>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</si>
  <si>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</si>
  <si>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</si>
  <si>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</si>
  <si>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</si>
  <si>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</si>
  <si>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</si>
  <si>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</si>
  <si>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</si>
  <si>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</si>
  <si>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</si>
  <si>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</si>
  <si>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</si>
  <si>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</si>
  <si>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</si>
  <si>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</si>
  <si>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</si>
  <si>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</si>
  <si>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</si>
  <si>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</si>
  <si>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</si>
  <si>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</si>
  <si>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</si>
  <si>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</si>
  <si>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</si>
  <si>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</si>
  <si>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</si>
  <si>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</si>
  <si>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</si>
  <si>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</si>
  <si>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</si>
  <si>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</si>
  <si>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</si>
  <si>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</si>
  <si>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</si>
  <si>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</si>
  <si>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</si>
  <si>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</si>
  <si>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</si>
  <si>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</si>
  <si>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</si>
  <si>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</si>
  <si>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</si>
  <si>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</si>
  <si>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</si>
  <si>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</si>
  <si>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</si>
  <si>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</si>
  <si>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</si>
  <si>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</si>
  <si>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</si>
  <si>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</si>
  <si>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</si>
  <si>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</si>
  <si>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</si>
  <si>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</si>
  <si>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</si>
  <si>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</si>
  <si>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</si>
  <si>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</si>
  <si>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</si>
  <si>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</si>
  <si>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</si>
  <si>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</si>
  <si>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</si>
  <si>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</si>
  <si>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</si>
  <si>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</si>
  <si>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</si>
  <si>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</si>
  <si>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</si>
  <si>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</si>
  <si>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</si>
  <si>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</si>
  <si>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</si>
  <si>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</si>
  <si>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</si>
  <si>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</si>
  <si>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</si>
  <si>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</si>
  <si>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</si>
  <si>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</si>
  <si>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</si>
  <si>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</si>
  <si>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</si>
  <si>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</si>
  <si>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</si>
  <si>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</si>
  <si>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</si>
  <si>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</si>
  <si>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</si>
  <si>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</si>
  <si>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</si>
  <si>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</si>
  <si>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</si>
  <si>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</si>
  <si>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</si>
  <si>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</si>
  <si>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</si>
  <si>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</si>
  <si>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</si>
  <si>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</si>
  <si>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</si>
  <si>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</si>
  <si>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</si>
  <si>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</si>
  <si>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</si>
  <si>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</si>
  <si>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</si>
  <si>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</si>
  <si>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</si>
  <si>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</si>
  <si>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</si>
  <si>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</si>
  <si>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</si>
  <si>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</si>
  <si>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</si>
  <si>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</si>
  <si>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</si>
  <si>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</si>
  <si>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</si>
  <si>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</si>
  <si>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</si>
  <si>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</si>
  <si>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</si>
  <si>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</si>
  <si>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</si>
  <si>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</si>
  <si>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</si>
  <si>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</si>
  <si>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</si>
  <si>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</si>
  <si>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</si>
  <si>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</si>
  <si>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</si>
  <si>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</si>
  <si>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</si>
  <si>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</si>
  <si>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</si>
  <si>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</si>
  <si>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</si>
  <si>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</si>
  <si>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</si>
  <si>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</si>
  <si>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</si>
  <si>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</si>
  <si>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</si>
  <si>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</si>
  <si>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</si>
  <si>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</si>
  <si>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</si>
  <si>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</si>
  <si>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</si>
  <si>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</si>
  <si>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</si>
  <si>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</si>
  <si>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</si>
  <si>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</si>
  <si>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</si>
  <si>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</si>
  <si>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</si>
  <si>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</si>
  <si>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</si>
  <si>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</si>
  <si>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</si>
  <si>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</si>
  <si>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</si>
  <si>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</si>
  <si>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</si>
  <si>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</si>
  <si>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</si>
  <si>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</si>
  <si>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</si>
  <si>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</si>
  <si>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</si>
  <si>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</si>
  <si>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</si>
  <si>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</si>
  <si>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</si>
  <si>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</si>
  <si>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</si>
  <si>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</si>
  <si>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</si>
  <si>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</si>
  <si>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</si>
  <si>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</si>
  <si>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</si>
  <si>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</si>
  <si>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</si>
  <si>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</si>
  <si>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</si>
  <si>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</si>
  <si>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</si>
  <si>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</si>
  <si>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</si>
  <si>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</si>
  <si>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</si>
  <si>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</si>
  <si>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</si>
  <si>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</si>
  <si>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</si>
  <si>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</si>
  <si>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</si>
  <si>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</si>
  <si>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</si>
  <si>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</si>
  <si>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</si>
  <si>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</si>
  <si>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</si>
  <si>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</si>
  <si>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</si>
  <si>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</si>
  <si>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</si>
  <si>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</si>
  <si>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</si>
  <si>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</si>
  <si>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</si>
  <si>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</si>
  <si>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</si>
  <si>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</si>
  <si>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</si>
  <si>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</si>
  <si>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</si>
  <si>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</si>
  <si>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</si>
  <si>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</si>
  <si>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</si>
  <si>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</si>
  <si>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</si>
  <si>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</si>
  <si>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</si>
  <si>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</si>
  <si>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</si>
  <si>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</si>
  <si>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</si>
  <si>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</si>
  <si>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</si>
  <si>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</si>
  <si>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</si>
  <si>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</si>
  <si>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</si>
  <si>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</si>
  <si>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</si>
  <si>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</si>
  <si>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</si>
  <si>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</si>
  <si>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</si>
  <si>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</si>
  <si>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</si>
  <si>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</si>
  <si>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</si>
  <si>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</si>
  <si>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</si>
  <si>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</si>
  <si>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</si>
  <si>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</si>
  <si>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</si>
  <si>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</si>
  <si>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</si>
  <si>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</si>
  <si>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</si>
  <si>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</si>
  <si>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</si>
  <si>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</si>
  <si>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</si>
  <si>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</si>
  <si>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</si>
  <si>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</si>
  <si>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</si>
  <si>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</si>
  <si>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</si>
  <si>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</si>
  <si>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</si>
  <si>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</si>
  <si>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</si>
  <si>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</si>
  <si>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</si>
  <si>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</si>
  <si>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</si>
  <si>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</si>
  <si>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</si>
  <si>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</si>
  <si>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</si>
  <si>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</si>
  <si>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</si>
  <si>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</si>
  <si>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</si>
  <si>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</si>
  <si>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</si>
  <si>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</si>
  <si>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</si>
  <si>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</si>
  <si>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</si>
  <si>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</si>
  <si>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</si>
  <si>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</si>
  <si>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</si>
  <si>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</si>
  <si>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</si>
  <si>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</si>
  <si>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</si>
  <si>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</si>
  <si>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</si>
  <si>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</si>
  <si>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</si>
  <si>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</si>
  <si>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</si>
  <si>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</si>
  <si>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</si>
  <si>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</si>
  <si>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</si>
  <si>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</si>
  <si>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</si>
  <si>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</si>
  <si>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</si>
  <si>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</si>
  <si>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</si>
  <si>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</si>
  <si>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</si>
  <si>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</si>
  <si>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</si>
  <si>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</si>
  <si>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</si>
  <si>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</si>
  <si>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</si>
  <si>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</si>
  <si>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</si>
  <si>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</si>
  <si>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</si>
  <si>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</si>
  <si>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</si>
  <si>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</si>
  <si>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</si>
  <si>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</si>
  <si>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</si>
  <si>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</si>
  <si>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</si>
  <si>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</si>
  <si>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</si>
  <si>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</si>
  <si>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</si>
  <si>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</si>
  <si>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</si>
  <si>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</si>
  <si>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</si>
  <si>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</si>
  <si>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</si>
  <si>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</si>
  <si>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</si>
  <si>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</si>
  <si>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</si>
  <si>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</si>
  <si>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</si>
  <si>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</si>
  <si>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</si>
  <si>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</si>
  <si>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</si>
  <si>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</si>
  <si>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</si>
  <si>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</si>
  <si>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</si>
  <si>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</si>
  <si>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</si>
  <si>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</si>
  <si>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</si>
  <si>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</si>
  <si>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</si>
  <si>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</si>
  <si>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</si>
  <si>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</si>
  <si>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</si>
  <si>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</si>
  <si>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</si>
  <si>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</si>
  <si>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</si>
  <si>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</si>
  <si>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</si>
  <si>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</si>
  <si>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</si>
  <si>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</si>
  <si>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</si>
  <si>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</si>
  <si>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</si>
  <si>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</si>
  <si>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</si>
  <si>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</si>
  <si>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</si>
  <si>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</si>
  <si>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</si>
  <si>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</si>
  <si>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</si>
  <si>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</si>
  <si>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</si>
  <si>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</si>
  <si>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</si>
  <si>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</si>
  <si>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</si>
  <si>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</si>
  <si>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</si>
  <si>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</si>
  <si>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</si>
  <si>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</si>
  <si>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</si>
  <si>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</si>
  <si>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</si>
  <si>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</si>
  <si>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</si>
  <si>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</si>
  <si>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</si>
  <si>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</si>
  <si>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</si>
  <si>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</si>
  <si>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</si>
  <si>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</si>
  <si>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</si>
  <si>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</si>
  <si>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</si>
  <si>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</si>
  <si>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</si>
  <si>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</si>
  <si>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</si>
  <si>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</si>
  <si>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</si>
  <si>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</si>
  <si>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</si>
  <si>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</si>
  <si>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</si>
  <si>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</si>
  <si>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</si>
  <si>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</si>
  <si>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</si>
  <si>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</si>
  <si>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</si>
  <si>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</si>
  <si>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</si>
  <si>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</si>
  <si>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</si>
  <si>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</si>
  <si>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</si>
  <si>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</si>
  <si>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</si>
  <si>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</si>
  <si>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</si>
  <si>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</si>
  <si>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</si>
  <si>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</si>
  <si>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</si>
  <si>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</si>
  <si>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</si>
  <si>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</si>
  <si>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</si>
  <si>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</si>
  <si>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</si>
  <si>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</si>
  <si>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</si>
  <si>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</si>
  <si>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</si>
  <si>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</si>
  <si>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</si>
  <si>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</si>
  <si>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</si>
  <si>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</si>
  <si>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</si>
  <si>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</si>
  <si>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</si>
  <si>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</si>
  <si>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</si>
  <si>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</si>
  <si>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</si>
  <si>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</si>
  <si>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</si>
  <si>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</si>
  <si>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</si>
  <si>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</si>
  <si>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</si>
  <si>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</si>
  <si>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</si>
  <si>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</si>
  <si>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</si>
  <si>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</si>
  <si>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</si>
  <si>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</si>
  <si>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</si>
  <si>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</si>
  <si>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</si>
  <si>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</si>
  <si>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</si>
  <si>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</si>
  <si>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</si>
  <si>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</si>
  <si>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</si>
  <si>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</si>
  <si>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</si>
  <si>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</si>
  <si>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</si>
  <si>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</si>
  <si>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</si>
  <si>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</si>
  <si>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</si>
  <si>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</si>
  <si>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</si>
  <si>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</si>
  <si>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</si>
  <si>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</si>
  <si>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</si>
  <si>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</si>
  <si>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</si>
  <si>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</si>
  <si>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</si>
  <si>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</si>
  <si>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</si>
  <si>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</si>
  <si>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</si>
  <si>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</si>
  <si>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</si>
  <si>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</si>
  <si>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</si>
  <si>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</si>
  <si>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</si>
  <si>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</si>
  <si>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</si>
  <si>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</si>
  <si>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</si>
  <si>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</si>
  <si>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</si>
  <si>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</si>
  <si>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</si>
  <si>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</si>
  <si>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</si>
  <si>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</si>
  <si>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</si>
  <si>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</si>
  <si>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</si>
  <si>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</si>
  <si>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</si>
  <si>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</si>
  <si>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</si>
  <si>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</si>
  <si>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</si>
  <si>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</si>
  <si>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</si>
  <si>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</si>
  <si>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</si>
  <si>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</si>
  <si>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</si>
  <si>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</si>
  <si>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</si>
  <si>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</si>
  <si>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</si>
  <si>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</si>
  <si>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</si>
  <si>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</si>
  <si>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</si>
  <si>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</si>
  <si>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</si>
  <si>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</si>
  <si>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</si>
  <si>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</si>
  <si>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</si>
  <si>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</si>
  <si>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</si>
  <si>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</si>
  <si>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</si>
  <si>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</si>
  <si>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</si>
  <si>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</si>
  <si>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</si>
  <si>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</si>
  <si>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</si>
  <si>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</si>
  <si>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</si>
  <si>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</si>
  <si>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</si>
  <si>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</si>
  <si>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</si>
  <si>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</si>
  <si>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</si>
  <si>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</si>
  <si>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</si>
  <si>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</si>
  <si>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</si>
  <si>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</si>
  <si>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</si>
  <si>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</si>
  <si>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</si>
  <si>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</si>
  <si>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</si>
  <si>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</si>
  <si>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</si>
  <si>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</si>
  <si>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</si>
  <si>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</si>
  <si>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</si>
  <si>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</si>
  <si>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</si>
  <si>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</si>
  <si>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</si>
  <si>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</si>
  <si>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</si>
  <si>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</si>
  <si>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</si>
  <si>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</si>
  <si>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</si>
  <si>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</si>
  <si>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</si>
  <si>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</si>
  <si>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</si>
  <si>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</si>
  <si>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</si>
  <si>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</si>
  <si>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</si>
  <si>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</si>
  <si>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</si>
  <si>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</si>
  <si>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</si>
  <si>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</si>
  <si>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</si>
  <si>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</si>
  <si>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</si>
  <si>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</si>
  <si>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</si>
  <si>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</si>
  <si>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</si>
  <si>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</si>
  <si>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</si>
  <si>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</si>
  <si>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</si>
  <si>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</si>
  <si>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</si>
  <si>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</si>
  <si>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</si>
  <si>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</si>
  <si>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</si>
  <si>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</si>
  <si>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</si>
  <si>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</si>
  <si>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</si>
  <si>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</si>
  <si>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</si>
  <si>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</si>
  <si>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</si>
  <si>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</si>
  <si>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</si>
  <si>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</si>
  <si>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</si>
  <si>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</si>
  <si>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</si>
  <si>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</si>
  <si>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</si>
  <si>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</si>
  <si>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</si>
  <si>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</si>
  <si>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</si>
  <si>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</si>
  <si>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</si>
  <si>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</si>
  <si>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</si>
  <si>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</si>
  <si>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</si>
  <si>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</si>
  <si>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</si>
  <si>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</si>
  <si>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</si>
  <si>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</si>
  <si>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</si>
  <si>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</si>
  <si>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</si>
  <si>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</si>
  <si>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</si>
  <si>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</si>
  <si>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</si>
  <si>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</si>
  <si>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</si>
  <si>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</si>
  <si>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</si>
  <si>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</si>
  <si>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</si>
  <si>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</si>
  <si>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</si>
  <si>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</si>
  <si>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</si>
  <si>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</si>
  <si>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</si>
  <si>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</si>
  <si>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</si>
  <si>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</si>
  <si>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</si>
  <si>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</si>
  <si>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</si>
  <si>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</si>
  <si>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</si>
  <si>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</si>
  <si>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</si>
  <si>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</si>
  <si>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</si>
  <si>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</si>
  <si>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</si>
  <si>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</si>
  <si>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</si>
  <si>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</si>
  <si>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</si>
  <si>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</si>
  <si>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</si>
  <si>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</si>
  <si>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</si>
  <si>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</si>
  <si>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</si>
  <si>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</si>
  <si>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</si>
  <si>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</si>
  <si>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</si>
  <si>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</si>
  <si>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</si>
  <si>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</si>
  <si>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</si>
  <si>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</si>
  <si>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</si>
  <si>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</si>
  <si>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</si>
  <si>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</si>
  <si>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</si>
  <si>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</si>
  <si>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</si>
  <si>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</si>
  <si>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</si>
  <si>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</si>
  <si>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</si>
  <si>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</si>
  <si>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</si>
  <si>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</si>
  <si>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</si>
  <si>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</si>
  <si>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</si>
  <si>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</si>
  <si>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</si>
  <si>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</si>
  <si>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</si>
  <si>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</si>
  <si>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</si>
  <si>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</si>
  <si>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</si>
  <si>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</si>
  <si>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</si>
  <si>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</si>
  <si>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</si>
  <si>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</si>
  <si>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</si>
  <si>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</si>
  <si>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</si>
  <si>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</si>
  <si>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</si>
  <si>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</si>
  <si>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</si>
  <si>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</si>
  <si>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</si>
  <si>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</si>
  <si>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</si>
  <si>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</si>
  <si>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</si>
  <si>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</si>
  <si>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</si>
  <si>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</si>
  <si>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</si>
  <si>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</si>
  <si>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</si>
  <si>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</si>
  <si>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</si>
  <si>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</si>
  <si>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</si>
  <si>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</si>
  <si>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</si>
  <si>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</si>
  <si>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</si>
  <si>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</si>
  <si>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</si>
  <si>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</si>
  <si>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</si>
  <si>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</si>
  <si>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</si>
  <si>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</si>
  <si>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</si>
  <si>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</si>
  <si>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</si>
  <si>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</si>
  <si>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</si>
  <si>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</si>
  <si>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</si>
  <si>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</si>
  <si>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</si>
  <si>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</si>
  <si>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</si>
  <si>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</si>
  <si>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</si>
  <si>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</si>
  <si>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</si>
  <si>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</si>
  <si>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</si>
  <si>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</si>
  <si>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</si>
  <si>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</si>
  <si>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</si>
  <si>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</si>
  <si>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</si>
  <si>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</si>
  <si>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</si>
  <si>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</si>
  <si>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</si>
  <si>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</si>
  <si>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</si>
  <si>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</si>
  <si>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</si>
  <si>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</si>
  <si>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</si>
  <si>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</si>
  <si>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</si>
  <si>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</si>
  <si>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</si>
  <si>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</si>
  <si>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</si>
  <si>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</si>
  <si>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</si>
  <si>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</si>
  <si>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</si>
  <si>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</si>
  <si>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</si>
  <si>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</si>
  <si>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</si>
  <si>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</si>
  <si>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</si>
  <si>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</si>
  <si>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</si>
  <si>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</si>
  <si>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</si>
  <si>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</si>
  <si>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</si>
  <si>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</si>
  <si>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</si>
  <si>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</si>
  <si>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</si>
  <si>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</si>
  <si>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</si>
  <si>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</si>
  <si>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</si>
  <si>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</si>
  <si>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</si>
  <si>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</si>
  <si>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</si>
  <si>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</si>
  <si>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</si>
  <si>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</si>
  <si>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</si>
  <si>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</si>
  <si>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</si>
  <si>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</si>
  <si>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</si>
  <si>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</si>
  <si>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</si>
  <si>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</si>
  <si>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</si>
  <si>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</si>
  <si>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</si>
  <si>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</si>
  <si>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</si>
  <si>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</si>
  <si>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</si>
  <si>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</si>
  <si>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</si>
  <si>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</si>
  <si>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</si>
  <si>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</si>
  <si>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</si>
  <si>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</si>
  <si>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</si>
  <si>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</si>
  <si>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</si>
  <si>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</si>
  <si>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</si>
  <si>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</si>
  <si>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</si>
  <si>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</si>
  <si>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</si>
  <si>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</si>
  <si>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</si>
  <si>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</si>
  <si>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</si>
  <si>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</si>
  <si>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</si>
  <si>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</si>
  <si>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</si>
  <si>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</si>
  <si>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</si>
  <si>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</si>
  <si>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</si>
  <si>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</si>
  <si>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</si>
  <si>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</si>
  <si>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</si>
  <si>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</si>
  <si>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</si>
  <si>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</si>
  <si>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</si>
  <si>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</si>
  <si>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</si>
  <si>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</si>
  <si>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</si>
  <si>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</si>
  <si>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</si>
  <si>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</si>
  <si>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</si>
  <si>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</si>
  <si>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</si>
  <si>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</si>
  <si>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</si>
  <si>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</si>
  <si>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</si>
  <si>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</si>
  <si>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</si>
  <si>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</si>
  <si>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</si>
  <si>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</si>
  <si>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</si>
  <si>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</si>
  <si>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</si>
  <si>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</si>
  <si>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</si>
  <si>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</si>
  <si>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</si>
  <si>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</si>
  <si>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</si>
  <si>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</si>
  <si>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</si>
  <si>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</si>
  <si>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</si>
  <si>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</si>
  <si>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</si>
  <si>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</si>
  <si>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</si>
  <si>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</si>
  <si>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</si>
  <si>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</si>
  <si>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</si>
  <si>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</si>
  <si>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</si>
  <si>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</si>
  <si>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</si>
  <si>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</si>
  <si>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</si>
  <si>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</si>
  <si>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</si>
  <si>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</si>
  <si>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</si>
  <si>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</si>
  <si>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</si>
  <si>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</si>
  <si>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</si>
  <si>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</si>
  <si>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</si>
  <si>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</si>
  <si>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</si>
  <si>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</si>
  <si>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</si>
  <si>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</si>
  <si>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</si>
  <si>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</si>
  <si>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</si>
  <si>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</si>
  <si>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</si>
  <si>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</si>
  <si>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</si>
  <si>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</si>
  <si>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</si>
  <si>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</si>
  <si>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</si>
  <si>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</si>
  <si>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</si>
  <si>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</si>
  <si>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</si>
  <si>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</si>
  <si>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</si>
  <si>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</si>
  <si>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</si>
  <si>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</si>
  <si>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</si>
  <si>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</si>
  <si>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</si>
  <si>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</si>
  <si>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</si>
  <si>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</si>
  <si>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</si>
  <si>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</si>
  <si>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</si>
  <si>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</si>
  <si>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</si>
  <si>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</si>
  <si>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</si>
  <si>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</si>
  <si>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</si>
  <si>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</si>
  <si>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</si>
  <si>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</si>
  <si>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</si>
  <si>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</si>
  <si>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</si>
  <si>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</si>
  <si>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</si>
  <si>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</si>
  <si>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</si>
  <si>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</si>
  <si>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</si>
  <si>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</si>
  <si>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</si>
  <si>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</si>
  <si>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</si>
  <si>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</si>
  <si>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</si>
  <si>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</si>
  <si>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</si>
  <si>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</si>
  <si>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</si>
  <si>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</si>
  <si>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</si>
  <si>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</si>
  <si>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</si>
  <si>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</si>
  <si>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</si>
  <si>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</si>
  <si>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</si>
  <si>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</si>
  <si>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</si>
  <si>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</si>
  <si>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</si>
  <si>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</si>
  <si>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</si>
  <si>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</si>
  <si>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</si>
  <si>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</si>
  <si>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</si>
  <si>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</si>
  <si>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</si>
  <si>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</si>
  <si>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</si>
  <si>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</si>
  <si>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</si>
  <si>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</si>
  <si>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</si>
  <si>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</si>
  <si>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</si>
  <si>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</si>
  <si>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</si>
  <si>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</si>
  <si>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</si>
  <si>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</si>
  <si>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</si>
  <si>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</si>
  <si>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</si>
  <si>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</si>
  <si>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</si>
  <si>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</si>
  <si>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</si>
  <si>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</si>
  <si>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</si>
  <si>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</si>
  <si>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</si>
  <si>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</si>
  <si>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</si>
  <si>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</si>
  <si>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</si>
  <si>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</si>
  <si>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</si>
  <si>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</si>
  <si>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</si>
  <si>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</si>
  <si>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</si>
  <si>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</si>
  <si>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</si>
  <si>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</si>
  <si>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</si>
  <si>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</si>
  <si>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</si>
  <si>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</si>
  <si>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</si>
  <si>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</si>
  <si>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</si>
  <si>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</si>
  <si>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</si>
  <si>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</si>
  <si>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</si>
  <si>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</si>
  <si>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</si>
  <si>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</si>
  <si>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</si>
  <si>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</si>
  <si>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</si>
  <si>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</si>
  <si>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</si>
  <si>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</si>
  <si>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</si>
  <si>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</si>
  <si>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</si>
  <si>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</si>
  <si>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</si>
  <si>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</si>
  <si>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</si>
  <si>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</si>
  <si>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</si>
  <si>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</si>
  <si>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</si>
  <si>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</si>
  <si>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</si>
  <si>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</si>
  <si>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</si>
  <si>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</si>
  <si>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</si>
  <si>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</si>
  <si>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</si>
  <si>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</si>
  <si>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</si>
  <si>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</si>
  <si>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</si>
  <si>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</si>
  <si>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</si>
  <si>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</si>
  <si>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</si>
  <si>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</si>
  <si>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</si>
  <si>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</si>
  <si>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</si>
  <si>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</si>
  <si>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</si>
  <si>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</si>
  <si>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</si>
  <si>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</si>
  <si>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</si>
  <si>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</si>
  <si>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</si>
  <si>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</si>
  <si>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</si>
  <si>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</si>
  <si>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</si>
  <si>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</si>
  <si>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</si>
  <si>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</si>
  <si>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</si>
  <si>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</si>
  <si>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</si>
  <si>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</si>
  <si>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</si>
  <si>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</si>
  <si>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</si>
  <si>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</si>
  <si>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</si>
  <si>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</si>
  <si>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</si>
  <si>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</si>
  <si>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</si>
  <si>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</si>
  <si>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</si>
  <si>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</si>
  <si>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</si>
  <si>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</si>
  <si>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</si>
  <si>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</si>
  <si>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</si>
  <si>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</si>
  <si>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</si>
  <si>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</si>
  <si>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</si>
  <si>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</si>
  <si>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</si>
  <si>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</si>
  <si>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</si>
  <si>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</si>
  <si>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</si>
  <si>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</si>
  <si>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</si>
  <si>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</si>
  <si>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</si>
  <si>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</si>
  <si>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</si>
  <si>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</si>
  <si>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</si>
  <si>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</si>
  <si>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</si>
  <si>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</si>
  <si>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</si>
  <si>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</si>
  <si>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</si>
  <si>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</si>
  <si>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</si>
  <si>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</si>
  <si>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</si>
  <si>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</si>
  <si>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</si>
  <si>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</si>
  <si>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</si>
  <si>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</si>
  <si>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</si>
  <si>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</si>
  <si>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</si>
  <si>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</si>
  <si>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</si>
  <si>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</si>
  <si>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</si>
  <si>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</si>
  <si>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</si>
  <si>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</si>
  <si>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</si>
  <si>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</si>
  <si>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</si>
  <si>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</si>
  <si>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</si>
  <si>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</si>
  <si>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</si>
  <si>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</si>
  <si>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</si>
  <si>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</si>
  <si>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</si>
  <si>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</si>
  <si>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</si>
  <si>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</si>
  <si>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</si>
  <si>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</si>
  <si>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</si>
  <si>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</si>
  <si>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</si>
  <si>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</si>
  <si>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</si>
  <si>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</si>
  <si>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</si>
  <si>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</si>
  <si>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</si>
  <si>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</si>
  <si>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</si>
  <si>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</si>
  <si>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</si>
  <si>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</si>
  <si>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</si>
  <si>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</si>
  <si>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</si>
  <si>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</si>
  <si>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</si>
  <si>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</si>
  <si>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</si>
  <si>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</si>
  <si>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</si>
  <si>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</si>
  <si>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</si>
  <si>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</si>
  <si>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</si>
  <si>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</si>
  <si>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</si>
  <si>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</si>
  <si>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</si>
  <si>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</si>
  <si>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</si>
  <si>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</si>
  <si>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</si>
  <si>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</si>
  <si>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</si>
  <si>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</si>
  <si>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</si>
  <si>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</si>
  <si>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</si>
  <si>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</si>
  <si>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</si>
  <si>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</si>
  <si>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</si>
  <si>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</si>
  <si>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</si>
  <si>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</si>
  <si>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</si>
  <si>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</si>
  <si>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</si>
  <si>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</si>
  <si>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</si>
  <si>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</si>
  <si>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</si>
  <si>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</si>
  <si>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</si>
  <si>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</si>
  <si>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</si>
  <si>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</si>
  <si>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</si>
  <si>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</si>
  <si>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</si>
  <si>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</si>
  <si>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</si>
  <si>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</si>
  <si>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</si>
  <si>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</si>
  <si>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</si>
  <si>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</si>
  <si>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</si>
  <si>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</si>
  <si>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</si>
  <si>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</si>
  <si>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</si>
  <si>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</si>
  <si>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</si>
  <si>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</si>
  <si>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</si>
  <si>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</si>
  <si>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</si>
  <si>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</si>
  <si>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</si>
  <si>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</si>
  <si>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</si>
  <si>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</si>
  <si>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</si>
  <si>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</si>
  <si>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</si>
  <si>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</si>
  <si>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</si>
  <si>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</si>
  <si>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</si>
  <si>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</si>
  <si>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</si>
  <si>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</si>
  <si>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</si>
  <si>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</si>
  <si>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</si>
  <si>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</si>
  <si>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</si>
  <si>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</si>
  <si>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</si>
  <si>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</si>
  <si>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</si>
  <si>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</si>
  <si>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</si>
  <si>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</si>
  <si>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</si>
  <si>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</si>
  <si>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</si>
  <si>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</si>
  <si>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</si>
  <si>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</si>
  <si>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</si>
  <si>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</si>
  <si>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</si>
  <si>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</si>
  <si>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</si>
  <si>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</si>
  <si>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</si>
  <si>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</si>
  <si>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</si>
  <si>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</si>
  <si>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</si>
  <si>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</si>
  <si>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</si>
  <si>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</si>
  <si>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</si>
  <si>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</si>
  <si>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</si>
  <si>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</si>
  <si>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</si>
  <si>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</si>
  <si>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</si>
  <si>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</si>
  <si>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</si>
  <si>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</si>
  <si>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</si>
  <si>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</si>
  <si>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</si>
  <si>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</si>
  <si>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</si>
  <si>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</si>
  <si>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</si>
  <si>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</si>
  <si>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</si>
  <si>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</si>
  <si>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</si>
  <si>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</si>
  <si>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</si>
  <si>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</si>
  <si>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</si>
  <si>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</si>
  <si>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</si>
  <si>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</si>
  <si>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</si>
  <si>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</si>
  <si>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</si>
  <si>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</si>
  <si>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</si>
  <si>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</si>
  <si>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</si>
  <si>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</si>
  <si>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</si>
  <si>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</si>
  <si>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</si>
  <si>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</si>
  <si>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</si>
  <si>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</si>
  <si>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</si>
  <si>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</si>
  <si>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</si>
  <si>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</si>
  <si>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</si>
  <si>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</si>
  <si>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</si>
  <si>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</si>
  <si>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</si>
  <si>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</si>
  <si>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</si>
  <si>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</si>
  <si>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</si>
  <si>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</si>
  <si>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</si>
  <si>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</si>
  <si>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</si>
  <si>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</si>
  <si>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</si>
  <si>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</si>
  <si>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</si>
  <si>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</si>
  <si>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</si>
  <si>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</si>
  <si>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</si>
  <si>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</si>
  <si>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</si>
  <si>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</si>
  <si>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</si>
  <si>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</si>
  <si>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</si>
  <si>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</si>
  <si>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</si>
  <si>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</si>
  <si>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</si>
  <si>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</si>
  <si>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</si>
  <si>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</si>
  <si>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</si>
  <si>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</si>
  <si>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</si>
  <si>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</si>
  <si>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</si>
  <si>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</si>
  <si>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</si>
  <si>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</si>
  <si>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</si>
  <si>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</si>
  <si>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</si>
  <si>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</si>
  <si>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</si>
  <si>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</si>
  <si>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</si>
  <si>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</si>
  <si>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</si>
  <si>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</si>
  <si>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</si>
  <si>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</si>
  <si>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</si>
  <si>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</si>
  <si>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</si>
  <si>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</si>
  <si>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</si>
  <si>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</si>
  <si>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</si>
  <si>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</si>
  <si>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</si>
  <si>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</si>
  <si>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</si>
  <si>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</si>
  <si>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</si>
  <si>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</si>
  <si>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</si>
  <si>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</si>
  <si>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</si>
  <si>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</si>
  <si>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</si>
  <si>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</si>
  <si>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</si>
  <si>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</si>
  <si>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</si>
  <si>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</si>
  <si>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</si>
  <si>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</si>
  <si>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</si>
  <si>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</si>
  <si>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</si>
  <si>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</si>
  <si>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</si>
  <si>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</si>
  <si>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</si>
  <si>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</si>
  <si>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</si>
  <si>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</si>
  <si>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</si>
  <si>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</si>
  <si>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</si>
  <si>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</si>
  <si>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</si>
  <si>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</si>
  <si>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</si>
  <si>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</si>
  <si>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</si>
  <si>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</si>
  <si>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</si>
  <si>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</si>
  <si>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</si>
  <si>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</si>
  <si>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</si>
  <si>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</si>
  <si>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</si>
  <si>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</si>
  <si>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</si>
  <si>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</si>
  <si>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</si>
  <si>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</si>
  <si>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</si>
  <si>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</si>
  <si>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</si>
  <si>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</si>
  <si>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</si>
  <si>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</si>
  <si>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</si>
  <si>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</si>
  <si>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</si>
  <si>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</si>
  <si>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</si>
  <si>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</si>
  <si>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</si>
  <si>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</si>
  <si>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</si>
  <si>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</si>
  <si>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</si>
  <si>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</si>
  <si>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</si>
  <si>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</si>
  <si>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</si>
  <si>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</si>
  <si>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</si>
  <si>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</si>
  <si>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</si>
  <si>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</si>
  <si>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</si>
  <si>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</si>
  <si>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</si>
  <si>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</si>
  <si>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</si>
  <si>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</si>
  <si>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</si>
  <si>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</si>
  <si>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</si>
  <si>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</si>
  <si>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</si>
  <si>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</si>
  <si>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</si>
  <si>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</si>
  <si>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</si>
  <si>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</si>
  <si>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</si>
  <si>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</si>
  <si>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</si>
  <si>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</si>
  <si>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</si>
  <si>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</si>
  <si>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</si>
  <si>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</si>
  <si>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</si>
  <si>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</si>
  <si>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</si>
  <si>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</si>
  <si>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</si>
  <si>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</si>
  <si>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</si>
  <si>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</si>
  <si>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</si>
  <si>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</si>
  <si>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</si>
  <si>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</si>
  <si>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</si>
  <si>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</si>
  <si>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</si>
  <si>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</si>
  <si>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</si>
  <si>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</si>
  <si>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</si>
  <si>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</si>
  <si>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</si>
  <si>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</si>
  <si>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</si>
  <si>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</si>
  <si>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</si>
  <si>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</si>
  <si>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</si>
  <si>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</si>
  <si>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</si>
  <si>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</si>
  <si>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</si>
  <si>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</si>
  <si>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</si>
  <si>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</si>
  <si>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</si>
  <si>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</si>
  <si>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</si>
  <si>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</si>
  <si>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</si>
  <si>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</si>
  <si>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</si>
  <si>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</si>
  <si>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</si>
  <si>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</si>
  <si>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</si>
  <si>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</si>
  <si>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</si>
  <si>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</si>
  <si>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</si>
  <si>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</si>
  <si>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</si>
  <si>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</si>
  <si>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</si>
  <si>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</si>
  <si>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</si>
  <si>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</si>
  <si>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</si>
  <si>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</si>
  <si>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</si>
  <si>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</si>
  <si>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</si>
  <si>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</si>
  <si>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</si>
  <si>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</si>
  <si>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</si>
  <si>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</si>
  <si>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</si>
  <si>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</si>
  <si>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</si>
  <si>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</si>
  <si>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</si>
  <si>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</si>
  <si>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</si>
  <si>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</si>
  <si>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</si>
  <si>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</si>
  <si>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</si>
  <si>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</si>
  <si>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</si>
  <si>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</si>
  <si>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</si>
  <si>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</si>
  <si>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</si>
  <si>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</si>
  <si>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</si>
  <si>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</si>
  <si>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</si>
  <si>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</si>
  <si>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</si>
  <si>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</si>
  <si>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</si>
  <si>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</si>
  <si>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</si>
  <si>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</si>
  <si>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</si>
  <si>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</si>
  <si>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</si>
  <si>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</si>
  <si>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</si>
  <si>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</si>
  <si>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</si>
  <si>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</si>
  <si>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</si>
  <si>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</si>
  <si>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</si>
  <si>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</si>
  <si>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</si>
  <si>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</si>
  <si>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</si>
  <si>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</si>
  <si>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</si>
  <si>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</si>
  <si>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</si>
  <si>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</si>
  <si>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</si>
  <si>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</si>
  <si>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</si>
  <si>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</si>
  <si>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</si>
  <si>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</si>
  <si>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</si>
  <si>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</si>
  <si>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</si>
  <si>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</si>
  <si>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</si>
  <si>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</si>
  <si>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</si>
  <si>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</si>
  <si>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</si>
  <si>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</si>
  <si>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</si>
  <si>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</si>
  <si>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</si>
  <si>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</si>
  <si>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</si>
  <si>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</si>
  <si>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</si>
  <si>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</si>
  <si>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</si>
  <si>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</si>
  <si>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</si>
  <si>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</si>
  <si>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</si>
  <si>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</si>
  <si>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</si>
  <si>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</si>
  <si>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</si>
  <si>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</si>
  <si>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</si>
  <si>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</si>
  <si>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</si>
  <si>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</si>
  <si>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</si>
  <si>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</si>
  <si>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</si>
  <si>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</si>
  <si>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</si>
  <si>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</si>
  <si>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</si>
  <si>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</si>
  <si>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</si>
  <si>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</si>
  <si>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</si>
  <si>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</si>
  <si>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</si>
  <si>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</si>
  <si>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</si>
  <si>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</si>
  <si>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</si>
  <si>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</si>
  <si>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</si>
  <si>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</si>
  <si>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</si>
  <si>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</si>
  <si>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</si>
  <si>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</si>
  <si>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</si>
  <si>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</si>
  <si>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</si>
  <si>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</si>
  <si>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</si>
  <si>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</si>
  <si>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</si>
  <si>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</si>
  <si>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</si>
  <si>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</si>
  <si>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</si>
  <si>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</si>
  <si>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</si>
  <si>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</si>
  <si>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</si>
  <si>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</si>
  <si>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</si>
  <si>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</si>
  <si>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</si>
  <si>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</si>
  <si>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</si>
  <si>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</si>
  <si>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</si>
  <si>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</si>
  <si>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</si>
  <si>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</si>
  <si>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</si>
  <si>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</si>
  <si>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</si>
  <si>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</si>
  <si>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</si>
  <si>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</si>
  <si>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</si>
  <si>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</si>
  <si>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</si>
  <si>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</si>
  <si>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</si>
  <si>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</si>
  <si>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</si>
  <si>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</si>
  <si>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</si>
  <si>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</si>
  <si>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</si>
  <si>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</si>
  <si>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</si>
  <si>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</si>
  <si>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</si>
  <si>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</si>
  <si>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</si>
  <si>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</si>
  <si>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</si>
  <si>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</si>
  <si>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</si>
  <si>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</si>
  <si>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</si>
  <si>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</si>
  <si>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</si>
  <si>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</si>
  <si>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</si>
  <si>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</si>
  <si>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</si>
  <si>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</si>
  <si>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</si>
  <si>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</si>
  <si>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</si>
  <si>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</si>
  <si>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</si>
  <si>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</si>
  <si>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</si>
  <si>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</si>
  <si>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</si>
  <si>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</si>
  <si>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</si>
  <si>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</si>
  <si>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</si>
  <si>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</si>
  <si>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</si>
  <si>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</si>
  <si>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</si>
  <si>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</si>
  <si>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</si>
  <si>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</si>
  <si>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</si>
  <si>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</si>
  <si>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</si>
  <si>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</si>
  <si>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</si>
  <si>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</si>
  <si>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</si>
  <si>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</si>
  <si>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</si>
  <si>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</si>
  <si>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</si>
  <si>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</si>
  <si>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</si>
  <si>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</si>
  <si>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</si>
  <si>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</si>
  <si>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</si>
  <si>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</si>
  <si>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</si>
  <si>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</si>
  <si>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</si>
  <si>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</si>
  <si>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</si>
  <si>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</si>
  <si>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</si>
  <si>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</si>
  <si>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</si>
  <si>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</si>
  <si>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</si>
  <si>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</si>
  <si>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</si>
  <si>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</si>
  <si>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</si>
  <si>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</si>
  <si>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</si>
  <si>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</si>
  <si>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</si>
  <si>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</si>
  <si>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</si>
  <si>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</si>
  <si>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</si>
  <si>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</si>
  <si>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</si>
  <si>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</si>
  <si>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</si>
  <si>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</si>
  <si>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</si>
  <si>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</si>
  <si>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</si>
  <si>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</si>
  <si>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</si>
  <si>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</si>
  <si>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</si>
  <si>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</si>
  <si>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</si>
  <si>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</si>
  <si>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</si>
  <si>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</si>
  <si>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</si>
  <si>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</si>
  <si>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</si>
  <si>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</si>
  <si>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</si>
  <si>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</si>
  <si>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</si>
  <si>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</si>
  <si>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</si>
  <si>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</si>
  <si>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</si>
  <si>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</si>
  <si>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</si>
  <si>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</si>
  <si>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</si>
  <si>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</si>
  <si>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</si>
  <si>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</si>
  <si>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</si>
  <si>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</si>
  <si>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</si>
  <si>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</si>
  <si>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</si>
  <si>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</si>
  <si>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</si>
  <si>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</si>
  <si>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</si>
  <si>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</si>
  <si>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</si>
  <si>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</si>
  <si>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</si>
  <si>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</si>
  <si>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</si>
  <si>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</si>
  <si>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</si>
  <si>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</si>
  <si>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</si>
  <si>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</si>
  <si>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</si>
  <si>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</si>
  <si>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</si>
  <si>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</si>
  <si>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</si>
  <si>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</si>
  <si>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</si>
  <si>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</si>
  <si>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</si>
  <si>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</si>
  <si>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</si>
  <si>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</si>
  <si>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</si>
  <si>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</si>
  <si>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</si>
  <si>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</si>
  <si>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</si>
  <si>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</si>
  <si>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</si>
  <si>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</si>
  <si>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</si>
  <si>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</si>
  <si>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</si>
  <si>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</si>
  <si>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</si>
  <si>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</si>
  <si>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</si>
  <si>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</si>
  <si>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</si>
  <si>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</si>
  <si>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</si>
  <si>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</si>
  <si>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</si>
  <si>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</si>
  <si>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</si>
  <si>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</si>
  <si>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</si>
  <si>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</si>
  <si>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</si>
  <si>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</si>
  <si>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</si>
  <si>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</si>
  <si>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</si>
  <si>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</si>
  <si>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</si>
  <si>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</si>
  <si>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</si>
  <si>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</si>
  <si>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</si>
  <si>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</si>
  <si>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</si>
  <si>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</si>
  <si>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</si>
  <si>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</si>
  <si>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</si>
  <si>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</si>
  <si>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</si>
  <si>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</si>
  <si>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</si>
  <si>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</si>
  <si>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</si>
  <si>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</si>
  <si>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</si>
  <si>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</si>
  <si>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</si>
  <si>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</si>
  <si>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</si>
  <si>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</si>
  <si>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</si>
  <si>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</si>
  <si>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</si>
  <si>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</si>
  <si>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</si>
  <si>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</si>
  <si>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</si>
  <si>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</si>
  <si>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</si>
  <si>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</si>
  <si>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</si>
  <si>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</si>
  <si>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</si>
  <si>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</si>
  <si>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</si>
  <si>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</si>
  <si>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</si>
  <si>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</si>
  <si>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</si>
  <si>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</si>
  <si>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</si>
  <si>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</si>
  <si>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</si>
  <si>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</si>
  <si>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</si>
  <si>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</si>
  <si>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</si>
  <si>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</si>
  <si>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</si>
  <si>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</si>
  <si>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</si>
  <si>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</si>
  <si>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</si>
  <si>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</si>
  <si>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</si>
  <si>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</si>
  <si>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</si>
  <si>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</si>
  <si>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</si>
  <si>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</si>
  <si>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</si>
  <si>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</si>
  <si>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</si>
  <si>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</si>
  <si>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</si>
  <si>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</si>
  <si>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</si>
  <si>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</si>
  <si>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</si>
  <si>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</si>
  <si>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</si>
  <si>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</si>
  <si>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</si>
  <si>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</si>
  <si>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</si>
  <si>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</si>
  <si>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</si>
  <si>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</si>
  <si>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</si>
  <si>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</si>
  <si>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</si>
  <si>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</si>
  <si>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</si>
  <si>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</si>
  <si>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</si>
  <si>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</si>
  <si>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</si>
  <si>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</si>
  <si>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</si>
  <si>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</si>
  <si>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</si>
  <si>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</si>
  <si>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</si>
  <si>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</si>
  <si>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</si>
  <si>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</si>
  <si>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</si>
  <si>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</si>
  <si>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</si>
  <si>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</si>
  <si>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</si>
  <si>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</si>
  <si>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</si>
  <si>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</si>
  <si>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</si>
  <si>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</si>
  <si>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</si>
  <si>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</si>
  <si>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</si>
  <si>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</si>
  <si>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</si>
  <si>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</si>
  <si>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</si>
  <si>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</si>
  <si>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</si>
  <si>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</si>
  <si>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</si>
  <si>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</si>
  <si>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</si>
  <si>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</si>
  <si>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</si>
  <si>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</si>
  <si>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</si>
  <si>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</si>
  <si>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</si>
  <si>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</si>
  <si>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</si>
  <si>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</si>
  <si>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</si>
  <si>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</si>
  <si>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</si>
  <si>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</si>
  <si>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</si>
  <si>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</si>
  <si>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</si>
  <si>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</si>
  <si>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</si>
  <si>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</si>
  <si>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</si>
  <si>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</si>
  <si>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</si>
  <si>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</si>
  <si>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</si>
  <si>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</si>
  <si>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</si>
  <si>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</si>
  <si>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</si>
  <si>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</si>
  <si>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</si>
  <si>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</si>
  <si>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</si>
  <si>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</si>
  <si>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</si>
  <si>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</si>
  <si>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</si>
  <si>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</si>
  <si>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</si>
  <si>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</si>
  <si>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</si>
  <si>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</si>
  <si>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</si>
  <si>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</si>
  <si>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</si>
  <si>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</si>
  <si>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</si>
  <si>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</si>
  <si>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</si>
  <si>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</si>
  <si>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</si>
  <si>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</si>
  <si>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</si>
  <si>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</si>
  <si>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</si>
  <si>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</si>
  <si>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</si>
  <si>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</si>
  <si>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</si>
  <si>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</si>
  <si>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</si>
  <si>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</si>
  <si>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</si>
  <si>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</si>
  <si>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</si>
  <si>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</si>
  <si>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</si>
  <si>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</si>
  <si>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</si>
  <si>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</si>
  <si>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</si>
  <si>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</si>
  <si>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</si>
  <si>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</si>
  <si>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</si>
  <si>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</si>
  <si>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</si>
  <si>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</si>
  <si>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</si>
  <si>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</si>
  <si>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</si>
  <si>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</si>
  <si>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</si>
  <si>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</si>
  <si>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</si>
  <si>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</si>
  <si>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</si>
  <si>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</si>
  <si>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</si>
  <si>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</si>
  <si>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</si>
  <si>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</si>
  <si>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</si>
  <si>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</si>
  <si>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</si>
  <si>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</si>
  <si>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</si>
  <si>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</si>
  <si>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</si>
  <si>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</si>
  <si>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</si>
  <si>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</si>
  <si>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</si>
  <si>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</si>
  <si>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</si>
  <si>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</si>
  <si>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</si>
  <si>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</si>
  <si>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</si>
  <si>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</si>
  <si>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</si>
  <si>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</si>
  <si>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</si>
  <si>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</si>
  <si>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</si>
  <si>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</si>
  <si>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</si>
  <si>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</si>
  <si>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</si>
  <si>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</si>
  <si>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</si>
  <si>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</si>
  <si>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</si>
  <si>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</si>
  <si>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</si>
  <si>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</si>
  <si>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</si>
  <si>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</si>
  <si>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</si>
  <si>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</si>
  <si>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</si>
  <si>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</si>
  <si>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</si>
  <si>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</si>
  <si>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</si>
  <si>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</si>
  <si>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</si>
  <si>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</si>
  <si>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</si>
  <si>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</si>
  <si>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</si>
  <si>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</si>
  <si>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</si>
  <si>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</si>
  <si>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</si>
  <si>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</si>
  <si>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</si>
  <si>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</si>
  <si>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</si>
  <si>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</si>
  <si>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</si>
  <si>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</si>
  <si>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</si>
  <si>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</si>
  <si>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</si>
  <si>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</si>
  <si>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</si>
  <si>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</si>
  <si>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</si>
  <si>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</si>
  <si>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</si>
  <si>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</si>
  <si>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</si>
  <si>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</si>
  <si>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</si>
  <si>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</si>
  <si>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</si>
  <si>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</si>
  <si>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</si>
  <si>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</si>
  <si>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</si>
  <si>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</si>
  <si>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</si>
  <si>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</si>
  <si>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</si>
  <si>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</si>
  <si>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</si>
  <si>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</si>
  <si>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</si>
  <si>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</si>
  <si>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</si>
  <si>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</si>
  <si>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</si>
  <si>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</si>
  <si>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</si>
  <si>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</si>
  <si>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</si>
  <si>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</si>
  <si>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</si>
  <si>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</si>
  <si>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</si>
  <si>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</si>
  <si>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</si>
  <si>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</si>
  <si>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</si>
  <si>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</si>
  <si>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</si>
  <si>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</si>
  <si>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</si>
  <si>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</si>
  <si>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</si>
  <si>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</si>
  <si>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</si>
  <si>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</si>
  <si>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</si>
  <si>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</si>
  <si>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</si>
  <si>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</si>
  <si>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</si>
  <si>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</si>
  <si>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</si>
  <si>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</si>
  <si>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</si>
  <si>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</si>
  <si>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</si>
  <si>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</si>
  <si>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</si>
  <si>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</si>
  <si>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</si>
  <si>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</si>
  <si>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</si>
  <si>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</si>
  <si>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</si>
  <si>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</si>
  <si>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</si>
  <si>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</si>
  <si>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</si>
  <si>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</si>
  <si>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</si>
  <si>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</si>
  <si>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</si>
  <si>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</si>
  <si>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</si>
  <si>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</si>
  <si>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</si>
  <si>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</si>
  <si>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</si>
  <si>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</si>
  <si>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</si>
  <si>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</si>
  <si>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</si>
  <si>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</si>
  <si>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</si>
  <si>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</si>
  <si>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</si>
  <si>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</si>
  <si>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</si>
  <si>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</si>
  <si>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</si>
  <si>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</si>
  <si>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</si>
  <si>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</si>
  <si>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</si>
  <si>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</si>
  <si>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</si>
  <si>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</si>
  <si>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</si>
  <si>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</si>
  <si>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</si>
  <si>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</si>
  <si>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</si>
  <si>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</si>
  <si>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</si>
  <si>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</si>
  <si>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</si>
  <si>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</si>
  <si>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</si>
  <si>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</si>
  <si>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</si>
  <si>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</si>
  <si>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</si>
  <si>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</si>
  <si>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</si>
  <si>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</si>
  <si>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</si>
  <si>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</si>
  <si>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</si>
  <si>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</si>
  <si>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</si>
  <si>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</si>
  <si>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</si>
  <si>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</si>
  <si>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</si>
  <si>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</si>
  <si>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</si>
  <si>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</si>
  <si>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</si>
  <si>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</si>
  <si>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</si>
  <si>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</si>
  <si>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</si>
  <si>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</si>
  <si>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</si>
  <si>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</si>
  <si>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</si>
  <si>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</si>
  <si>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</si>
  <si>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</si>
  <si>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</si>
  <si>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</si>
  <si>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</si>
  <si>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</si>
  <si>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</si>
  <si>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</si>
  <si>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</si>
  <si>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</si>
  <si>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</si>
  <si>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</si>
  <si>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</si>
  <si>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</si>
  <si>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</si>
  <si>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</si>
  <si>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</si>
  <si>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</si>
  <si>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</si>
  <si>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</si>
  <si>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</si>
  <si>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</si>
  <si>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</si>
  <si>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</si>
  <si>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</si>
  <si>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</si>
  <si>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</si>
  <si>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</si>
  <si>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</si>
  <si>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</si>
  <si>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</si>
  <si>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</si>
  <si>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</si>
  <si>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</si>
  <si>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</si>
  <si>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</si>
  <si>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</si>
  <si>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</si>
  <si>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</si>
  <si>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</si>
  <si>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</si>
  <si>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</si>
  <si>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</si>
  <si>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</si>
  <si>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</si>
  <si>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</si>
  <si>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</si>
  <si>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</si>
  <si>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</si>
  <si>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</si>
  <si>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</si>
  <si>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</si>
  <si>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</si>
  <si>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</si>
  <si>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</si>
  <si>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</si>
  <si>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</si>
  <si>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</si>
  <si>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</si>
  <si>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</si>
  <si>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</si>
  <si>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</si>
  <si>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</si>
  <si>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</si>
  <si>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</si>
  <si>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</si>
  <si>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</si>
  <si>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</si>
  <si>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</si>
  <si>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</si>
  <si>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</si>
  <si>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</si>
  <si>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</si>
  <si>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</si>
  <si>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</si>
  <si>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</si>
  <si>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</si>
  <si>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</si>
  <si>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</si>
  <si>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</si>
  <si>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</si>
  <si>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</si>
  <si>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</si>
  <si>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</si>
  <si>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</si>
  <si>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</si>
  <si>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</si>
  <si>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</si>
  <si>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</si>
  <si>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</si>
  <si>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</si>
  <si>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</si>
  <si>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</si>
  <si>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</si>
  <si>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</si>
  <si>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</si>
  <si>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成本法商业</t>
  </si>
  <si>
    <t>比较法-车位</t>
  </si>
  <si>
    <t>*</t>
  </si>
  <si>
    <t>元/平方米</t>
  </si>
  <si>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</si>
  <si>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</si>
  <si>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</si>
  <si>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</si>
  <si>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</si>
  <si>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</si>
  <si>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</si>
  <si>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</si>
  <si>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</si>
  <si>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</si>
  <si>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</si>
  <si>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</si>
  <si>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</si>
  <si>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</si>
  <si>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</si>
  <si>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</si>
  <si>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</si>
  <si>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</si>
  <si>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</si>
  <si>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</si>
  <si>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</si>
  <si>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</si>
  <si>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</si>
  <si>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</si>
  <si>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</si>
  <si>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</si>
  <si>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</si>
  <si>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</si>
  <si>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</si>
  <si>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phoneticPr fontId="16" type="noConversion"/>
  </si>
  <si>
    <t>收益法商自</t>
    <phoneticPr fontId="16" type="noConversion"/>
  </si>
  <si>
    <t>收益法办租</t>
  </si>
  <si>
    <t>收益法办租</t>
    <phoneticPr fontId="16" type="noConversion"/>
  </si>
  <si>
    <t>收益法办自</t>
  </si>
  <si>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</si>
  <si>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</si>
  <si>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</si>
  <si>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</si>
  <si>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</si>
  <si>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</si>
  <si>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</si>
  <si>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容达路</t>
    <phoneticPr fontId="32" type="noConversion"/>
  </si>
  <si>
    <t>阜通东大街</t>
    <phoneticPr fontId="32" type="noConversion"/>
  </si>
  <si>
    <t>出租部分正常租金</t>
    <phoneticPr fontId="260" type="noConversion"/>
  </si>
  <si>
    <t>未出租部分正常租金</t>
    <phoneticPr fontId="260" type="noConversion"/>
  </si>
  <si>
    <t>序号</t>
    <phoneticPr fontId="3" type="noConversion"/>
  </si>
  <si>
    <t>房屋所有权证证号</t>
    <phoneticPr fontId="3" type="noConversion"/>
  </si>
  <si>
    <t>幢号</t>
    <phoneticPr fontId="3" type="noConversion"/>
  </si>
  <si>
    <t>所在层数</t>
    <phoneticPr fontId="3" type="noConversion"/>
  </si>
  <si>
    <t>建筑面积</t>
    <phoneticPr fontId="3" type="noConversion"/>
  </si>
  <si>
    <t>501</t>
    <phoneticPr fontId="3" type="noConversion"/>
  </si>
  <si>
    <t>701</t>
    <phoneticPr fontId="3" type="noConversion"/>
  </si>
  <si>
    <t>1001</t>
    <phoneticPr fontId="3" type="noConversion"/>
  </si>
  <si>
    <t>1101</t>
    <phoneticPr fontId="3" type="noConversion"/>
  </si>
  <si>
    <t>-109</t>
    <phoneticPr fontId="3" type="noConversion"/>
  </si>
  <si>
    <t>-1</t>
    <phoneticPr fontId="3" type="noConversion"/>
  </si>
  <si>
    <t>地下车库</t>
    <phoneticPr fontId="3" type="noConversion"/>
  </si>
  <si>
    <t>1号楼合计</t>
    <phoneticPr fontId="143" type="noConversion"/>
  </si>
  <si>
    <t>x京房产证朝字第1430011号</t>
    <phoneticPr fontId="3" type="noConversion"/>
  </si>
  <si>
    <t>104</t>
    <phoneticPr fontId="3" type="noConversion"/>
  </si>
  <si>
    <t>1</t>
    <phoneticPr fontId="3" type="noConversion"/>
  </si>
  <si>
    <t xml:space="preserve">  </t>
    <phoneticPr fontId="260" type="noConversion"/>
  </si>
  <si>
    <t>x京房产证朝字第1430011号</t>
    <phoneticPr fontId="3" type="noConversion"/>
  </si>
  <si>
    <t>2号楼</t>
    <phoneticPr fontId="3" type="noConversion"/>
  </si>
  <si>
    <t>钢混</t>
    <phoneticPr fontId="3" type="noConversion"/>
  </si>
  <si>
    <t>15（-3）</t>
    <phoneticPr fontId="3" type="noConversion"/>
  </si>
  <si>
    <t>6</t>
    <phoneticPr fontId="3" type="noConversion"/>
  </si>
  <si>
    <t>701</t>
    <phoneticPr fontId="3" type="noConversion"/>
  </si>
  <si>
    <t>7</t>
    <phoneticPr fontId="3" type="noConversion"/>
  </si>
  <si>
    <t>801</t>
    <phoneticPr fontId="3" type="noConversion"/>
  </si>
  <si>
    <t>8</t>
    <phoneticPr fontId="3" type="noConversion"/>
  </si>
  <si>
    <t>901</t>
    <phoneticPr fontId="3" type="noConversion"/>
  </si>
  <si>
    <t>9</t>
    <phoneticPr fontId="3" type="noConversion"/>
  </si>
  <si>
    <t>1001</t>
    <phoneticPr fontId="3" type="noConversion"/>
  </si>
  <si>
    <t>10</t>
    <phoneticPr fontId="3" type="noConversion"/>
  </si>
  <si>
    <t>1101</t>
    <phoneticPr fontId="3" type="noConversion"/>
  </si>
  <si>
    <t>11</t>
    <phoneticPr fontId="3" type="noConversion"/>
  </si>
  <si>
    <t>商业综合</t>
    <phoneticPr fontId="3" type="noConversion"/>
  </si>
  <si>
    <t>x京房产证朝字第1430011号</t>
    <phoneticPr fontId="3" type="noConversion"/>
  </si>
  <si>
    <t>2号楼</t>
    <phoneticPr fontId="3" type="noConversion"/>
  </si>
  <si>
    <t>钢混</t>
    <phoneticPr fontId="3" type="noConversion"/>
  </si>
  <si>
    <t>15（-3）</t>
    <phoneticPr fontId="3" type="noConversion"/>
  </si>
  <si>
    <t>1201</t>
    <phoneticPr fontId="3" type="noConversion"/>
  </si>
  <si>
    <t>12</t>
    <phoneticPr fontId="3" type="noConversion"/>
  </si>
  <si>
    <t>1301</t>
    <phoneticPr fontId="3" type="noConversion"/>
  </si>
  <si>
    <t>13</t>
    <phoneticPr fontId="3" type="noConversion"/>
  </si>
  <si>
    <t>1401</t>
    <phoneticPr fontId="3" type="noConversion"/>
  </si>
  <si>
    <t>14</t>
    <phoneticPr fontId="3" type="noConversion"/>
  </si>
  <si>
    <t>1501</t>
    <phoneticPr fontId="3" type="noConversion"/>
  </si>
  <si>
    <t>15</t>
    <phoneticPr fontId="3" type="noConversion"/>
  </si>
  <si>
    <t>2号楼合计</t>
    <phoneticPr fontId="143" type="noConversion"/>
  </si>
  <si>
    <t>x京房产证朝字第1460391号</t>
    <phoneticPr fontId="3" type="noConversion"/>
  </si>
  <si>
    <t>3号楼</t>
    <phoneticPr fontId="3" type="noConversion"/>
  </si>
  <si>
    <t>101</t>
    <phoneticPr fontId="3" type="noConversion"/>
  </si>
  <si>
    <t>201</t>
    <phoneticPr fontId="3" type="noConversion"/>
  </si>
  <si>
    <t>202</t>
    <phoneticPr fontId="3" type="noConversion"/>
  </si>
  <si>
    <t>4（-3）</t>
    <phoneticPr fontId="3" type="noConversion"/>
  </si>
  <si>
    <t>2</t>
    <phoneticPr fontId="3" type="noConversion"/>
  </si>
  <si>
    <t>超市</t>
    <phoneticPr fontId="3" type="noConversion"/>
  </si>
  <si>
    <t>301</t>
    <phoneticPr fontId="3" type="noConversion"/>
  </si>
  <si>
    <t>3</t>
    <phoneticPr fontId="3" type="noConversion"/>
  </si>
  <si>
    <t>302</t>
    <phoneticPr fontId="3" type="noConversion"/>
  </si>
  <si>
    <t>401</t>
    <phoneticPr fontId="3" type="noConversion"/>
  </si>
  <si>
    <t>4</t>
    <phoneticPr fontId="3" type="noConversion"/>
  </si>
  <si>
    <t>-101</t>
    <phoneticPr fontId="3" type="noConversion"/>
  </si>
  <si>
    <t>-1</t>
    <phoneticPr fontId="3" type="noConversion"/>
  </si>
  <si>
    <t>地下车库</t>
    <phoneticPr fontId="3" type="noConversion"/>
  </si>
  <si>
    <t>自行车库</t>
    <phoneticPr fontId="3" type="noConversion"/>
  </si>
  <si>
    <t>-201</t>
    <phoneticPr fontId="3" type="noConversion"/>
  </si>
  <si>
    <t>-2</t>
    <phoneticPr fontId="3" type="noConversion"/>
  </si>
  <si>
    <t>-301</t>
    <phoneticPr fontId="3" type="noConversion"/>
  </si>
  <si>
    <t>-3</t>
    <phoneticPr fontId="3" type="noConversion"/>
  </si>
  <si>
    <t>3号楼合计</t>
    <phoneticPr fontId="143" type="noConversion"/>
  </si>
  <si>
    <t>合计</t>
    <phoneticPr fontId="3" type="noConversion"/>
  </si>
  <si>
    <t>商业1层</t>
    <phoneticPr fontId="260" type="noConversion"/>
  </si>
  <si>
    <t>商业1号楼</t>
    <phoneticPr fontId="260" type="noConversion"/>
  </si>
  <si>
    <t>商业2号楼</t>
    <phoneticPr fontId="260" type="noConversion"/>
  </si>
  <si>
    <t>商业3号楼</t>
    <phoneticPr fontId="260" type="noConversion"/>
  </si>
  <si>
    <t>办公</t>
    <phoneticPr fontId="260" type="noConversion"/>
  </si>
  <si>
    <t>酒店</t>
    <phoneticPr fontId="260" type="noConversion"/>
  </si>
  <si>
    <t>地下车库</t>
    <phoneticPr fontId="260" type="noConversion"/>
  </si>
  <si>
    <t>自行车库</t>
    <phoneticPr fontId="260" type="noConversion"/>
  </si>
  <si>
    <t>合计</t>
    <phoneticPr fontId="260" type="noConversion"/>
  </si>
  <si>
    <t>剩余建筑面积</t>
    <phoneticPr fontId="260" type="noConversion"/>
  </si>
  <si>
    <t>剩余租期</t>
    <phoneticPr fontId="260" type="noConversion"/>
  </si>
  <si>
    <t>正常租金</t>
    <phoneticPr fontId="260" type="noConversion"/>
  </si>
  <si>
    <t>博雅国际中心</t>
    <phoneticPr fontId="3" type="noConversion"/>
  </si>
  <si>
    <t>望京诚盈中心</t>
    <phoneticPr fontId="3" type="noConversion"/>
  </si>
  <si>
    <t>融科望京中心</t>
    <phoneticPr fontId="3" type="noConversion"/>
  </si>
  <si>
    <t>中海·望京府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</si>
</sst>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98" fillId="5" borderId="54" xfId="0" applyNumberFormat="1" applyFont="1" applyFill="1" applyBorder="1" applyAlignment="1" applyProtection="1">
      <alignment horizontal="center" vertical="center" wrapText="1"/>
      <protection locked="0"/>
    </xf>
    <xf numFmtId="0" fontId="54" fillId="5" borderId="24" xfId="0" applyNumberFormat="1"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43" fontId="106" fillId="5" borderId="3" xfId="0" applyNumberFormat="1" applyFont="1" applyFill="1" applyBorder="1" applyAlignment="1" applyProtection="1">
      <alignment vertical="center"/>
      <protection locked="0"/>
    </xf>
    <xf numFmtId="43" fontId="106" fillId="5" borderId="23" xfId="0" applyNumberFormat="1" applyFont="1" applyFill="1" applyBorder="1" applyAlignment="1" applyProtection="1">
      <alignment vertical="center"/>
      <protection locked="0"/>
    </xf>
    <xf numFmtId="10" fontId="47" fillId="0" borderId="37" xfId="0" applyNumberFormat="1" applyFont="1" applyFill="1" applyBorder="1" applyAlignment="1" applyProtection="1">
      <alignment horizontal="center" vertical="center" wrapText="1"/>
      <protection locked="0"/>
    </xf>
    <xf numFmtId="0" fontId="19" fillId="0" borderId="1" xfId="10" applyFont="1" applyFill="1" applyBorder="1" applyAlignment="1">
      <alignment horizontal="left"/>
    </xf>
    <xf numFmtId="49" fontId="19" fillId="0" borderId="1" xfId="10" applyNumberFormat="1" applyFont="1" applyFill="1" applyBorder="1" applyAlignment="1">
      <alignment horizontal="left"/>
    </xf>
    <xf numFmtId="0" fontId="19" fillId="0" borderId="0" xfId="10" applyFont="1" applyFill="1" applyAlignment="1">
      <alignment horizontal="left"/>
    </xf>
    <xf numFmtId="0" fontId="19" fillId="5" borderId="1" xfId="10" applyFont="1" applyFill="1" applyBorder="1" applyAlignment="1">
      <alignment horizontal="left"/>
    </xf>
    <xf numFmtId="49" fontId="19" fillId="5" borderId="1" xfId="10" applyNumberFormat="1" applyFont="1" applyFill="1" applyBorder="1" applyAlignment="1">
      <alignment horizontal="left"/>
    </xf>
    <xf numFmtId="0" fontId="19" fillId="5" borderId="0" xfId="10" applyFont="1" applyFill="1" applyAlignment="1">
      <alignment horizontal="left"/>
    </xf>
    <xf numFmtId="0" fontId="19" fillId="0" borderId="0" xfId="10" applyFont="1" applyFill="1" applyBorder="1" applyAlignment="1">
      <alignment horizontal="left"/>
    </xf>
    <xf numFmtId="0" fontId="19" fillId="0" borderId="1" xfId="10" applyFont="1" applyFill="1" applyBorder="1" applyAlignment="1"/>
    <xf numFmtId="177" fontId="19" fillId="0" borderId="1" xfId="10" applyNumberFormat="1" applyFont="1" applyFill="1" applyBorder="1" applyAlignment="1"/>
    <xf numFmtId="176" fontId="19" fillId="0" borderId="1" xfId="10" applyNumberFormat="1" applyFont="1" applyFill="1" applyBorder="1" applyAlignment="1"/>
    <xf numFmtId="43" fontId="19" fillId="0" borderId="1" xfId="10" applyNumberFormat="1" applyFont="1" applyFill="1" applyBorder="1" applyAlignment="1"/>
    <xf numFmtId="49" fontId="19" fillId="0" borderId="0" xfId="10" applyNumberFormat="1" applyFont="1" applyFill="1" applyAlignment="1">
      <alignment horizontal="left"/>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按楼清单"/>
      <sheetName val="结果表汇总"/>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比较法-住宅、综合"/>
      <sheetName val="成本法"/>
      <sheetName val="比较法-商业"/>
      <sheetName val="典型户型修正"/>
      <sheetName val="收益法商租"/>
      <sheetName val="收益法商自"/>
      <sheetName val="收益法1号楼"/>
      <sheetName val="收益法2号楼"/>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土地案例"/>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efreshError="1"/>
      <sheetData sheetId="11" refreshError="1"/>
      <sheetData sheetId="12" refreshError="1"/>
      <sheetData sheetId="13">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典型户型修正办</v>
          </cell>
        </row>
        <row r="16">
          <cell r="A16" t="str">
            <v>标准厂房</v>
          </cell>
          <cell r="B16" t="str">
            <v>基准地价修正</v>
          </cell>
        </row>
        <row r="17">
          <cell r="A17" t="str">
            <v>特殊厂房</v>
          </cell>
          <cell r="B17" t="str">
            <v>收益法1号楼</v>
          </cell>
        </row>
        <row r="18">
          <cell r="A18" t="str">
            <v>办公楼</v>
          </cell>
          <cell r="B18" t="str">
            <v>收益法2号楼</v>
          </cell>
        </row>
        <row r="19">
          <cell r="A19" t="str">
            <v>宿舍</v>
          </cell>
          <cell r="B19" t="str">
            <v>收益法酒店</v>
          </cell>
        </row>
        <row r="20">
          <cell r="A20" t="str">
            <v>食堂</v>
          </cell>
          <cell r="B20" t="str">
            <v>成本法商业</v>
          </cell>
        </row>
        <row r="21">
          <cell r="A21" t="str">
            <v>车库</v>
          </cell>
          <cell r="B21" t="str">
            <v>成本法酒店</v>
          </cell>
        </row>
        <row r="22">
          <cell r="A22" t="str">
            <v>戊类库房</v>
          </cell>
          <cell r="B22" t="str">
            <v>收益法车库</v>
          </cell>
        </row>
        <row r="23">
          <cell r="A23" t="str">
            <v>燃品库房</v>
          </cell>
          <cell r="B23" t="str">
            <v>收益法商自</v>
          </cell>
        </row>
        <row r="24">
          <cell r="A24" t="str">
            <v>非燃品库房</v>
          </cell>
          <cell r="B24" t="str">
            <v>收益法办自</v>
          </cell>
        </row>
        <row r="25">
          <cell r="A25" t="str">
            <v>限价商品房</v>
          </cell>
          <cell r="B25" t="str">
            <v>收益法办（汇总）</v>
          </cell>
        </row>
        <row r="26">
          <cell r="A26" t="str">
            <v>自住商品房</v>
          </cell>
          <cell r="B26" t="str">
            <v>收益法商（汇总）</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4" refreshError="1"/>
      <sheetData sheetId="15" refreshError="1"/>
      <sheetData sheetId="16">
        <row r="17">
          <cell r="C17" t="str">
            <v>项目类型</v>
          </cell>
        </row>
        <row r="19">
          <cell r="C19" t="str">
            <v>商业3号楼出租</v>
          </cell>
        </row>
        <row r="20">
          <cell r="C20" t="str">
            <v>商业3号楼自用</v>
          </cell>
        </row>
        <row r="21">
          <cell r="C21" t="str">
            <v>商业1号楼出租</v>
          </cell>
        </row>
        <row r="22">
          <cell r="C22" t="str">
            <v>商业2号楼自用</v>
          </cell>
        </row>
      </sheetData>
      <sheetData sheetId="17" refreshError="1"/>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20">
          <cell r="G20">
            <v>37984</v>
          </cell>
        </row>
      </sheetData>
      <sheetData sheetId="23" refreshError="1"/>
      <sheetData sheetId="24" refreshError="1"/>
      <sheetData sheetId="25">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6">
        <row r="5">
          <cell r="B5" t="str">
            <v>临街状况</v>
          </cell>
          <cell r="C5" t="str">
            <v>多面临街</v>
          </cell>
          <cell r="D5" t="str">
            <v>双面临街</v>
          </cell>
          <cell r="E5" t="str">
            <v>单面临街</v>
          </cell>
          <cell r="F5" t="str">
            <v>不临街</v>
          </cell>
          <cell r="T5">
            <v>2</v>
          </cell>
        </row>
        <row r="7">
          <cell r="B7" t="str">
            <v>平面位置/可视性</v>
          </cell>
          <cell r="C7" t="str">
            <v>好</v>
          </cell>
          <cell r="D7" t="str">
            <v>较好</v>
          </cell>
          <cell r="E7" t="str">
            <v>一般</v>
          </cell>
          <cell r="F7" t="str">
            <v>较差</v>
          </cell>
          <cell r="G7" t="str">
            <v>差</v>
          </cell>
          <cell r="T7">
            <v>2</v>
          </cell>
        </row>
        <row r="9">
          <cell r="B9" t="str">
            <v>人流量</v>
          </cell>
          <cell r="C9" t="str">
            <v>好</v>
          </cell>
          <cell r="D9" t="str">
            <v>较好</v>
          </cell>
          <cell r="E9" t="str">
            <v>一般</v>
          </cell>
          <cell r="F9" t="str">
            <v>较差</v>
          </cell>
          <cell r="G9" t="str">
            <v>差</v>
          </cell>
          <cell r="T9">
            <v>2</v>
          </cell>
        </row>
        <row r="11">
          <cell r="B11" t="str">
            <v>修正项5</v>
          </cell>
        </row>
        <row r="13">
          <cell r="B13" t="str">
            <v>修正项6</v>
          </cell>
        </row>
        <row r="15">
          <cell r="B15" t="str">
            <v>修正项7</v>
          </cell>
        </row>
        <row r="17">
          <cell r="A17" t="str">
            <v>修正系数</v>
          </cell>
          <cell r="B17" t="str">
            <v>楼层</v>
          </cell>
          <cell r="C17">
            <v>1</v>
          </cell>
          <cell r="D17">
            <v>2</v>
          </cell>
        </row>
      </sheetData>
      <sheetData sheetId="27" refreshError="1"/>
      <sheetData sheetId="28" refreshError="1"/>
      <sheetData sheetId="29" refreshError="1"/>
      <sheetData sheetId="30" refreshError="1"/>
      <sheetData sheetId="31" refreshError="1"/>
      <sheetData sheetId="32" refreshError="1"/>
      <sheetData sheetId="33">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高塔</v>
          </cell>
        </row>
        <row r="106">
          <cell r="B106" t="str">
            <v>建筑结构</v>
          </cell>
          <cell r="C106" t="str">
            <v>钢混</v>
          </cell>
        </row>
        <row r="108">
          <cell r="B108" t="str">
            <v>公共部分装修</v>
          </cell>
          <cell r="C108" t="str">
            <v>精装修</v>
          </cell>
          <cell r="D108" t="str">
            <v>普装</v>
          </cell>
          <cell r="E108" t="str">
            <v>简装</v>
          </cell>
          <cell r="F108" t="str">
            <v>毛坯</v>
          </cell>
        </row>
        <row r="113">
          <cell r="B113" t="str">
            <v>写字楼等级</v>
          </cell>
          <cell r="C113" t="str">
            <v>甲级</v>
          </cell>
          <cell r="D113" t="str">
            <v>乙级</v>
          </cell>
          <cell r="E113" t="str">
            <v>未分级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普装</v>
          </cell>
          <cell r="E123" t="str">
            <v>简装</v>
          </cell>
          <cell r="F123" t="str">
            <v>毛坯</v>
          </cell>
        </row>
      </sheetData>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efreshError="1"/>
      <sheetData sheetId="43" refreshError="1"/>
      <sheetData sheetId="44">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精装修</v>
          </cell>
          <cell r="D83" t="str">
            <v>普装</v>
          </cell>
          <cell r="E83" t="str">
            <v>简装</v>
          </cell>
          <cell r="F83" t="str">
            <v>毛坯</v>
          </cell>
        </row>
        <row r="88">
          <cell r="B88" t="str">
            <v>物业等级</v>
          </cell>
          <cell r="C88" t="str">
            <v>专业</v>
          </cell>
        </row>
        <row r="93">
          <cell r="B93" t="str">
            <v>车位类型</v>
          </cell>
          <cell r="C93" t="str">
            <v>平面车位</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7" refreshError="1"/>
      <sheetData sheetId="48" refreshError="1"/>
      <sheetData sheetId="49" refreshError="1"/>
      <sheetData sheetId="50" refreshError="1"/>
      <sheetData sheetId="5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row r="35">
          <cell r="F35">
            <v>0</v>
          </cell>
        </row>
        <row r="37">
          <cell r="B37" t="str">
            <v>六级</v>
          </cell>
          <cell r="C37" t="str">
            <v>六级</v>
          </cell>
          <cell r="D37" t="str">
            <v>六级</v>
          </cell>
        </row>
      </sheetData>
      <sheetData sheetId="11" refreshError="1"/>
      <sheetData sheetId="12" refreshError="1"/>
      <sheetData sheetId="13" refreshError="1">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efreshError="1">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efreshError="1"/>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row r="3">
          <cell r="F3">
            <v>3</v>
          </cell>
          <cell r="H3" t="str">
            <v>2017-04-14</v>
          </cell>
        </row>
        <row r="5">
          <cell r="F5">
            <v>2</v>
          </cell>
          <cell r="H5" t="str">
            <v>2017-03-30</v>
          </cell>
        </row>
        <row r="6">
          <cell r="F6">
            <v>2</v>
          </cell>
          <cell r="H6" t="str">
            <v>2017-03-30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案例"/>
      <sheetName val="土地比较法-住宅、综合"/>
      <sheetName val="成本法"/>
      <sheetName val="比较法-商业"/>
      <sheetName val="典型户型修正"/>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9838.98</v>
          </cell>
          <cell r="E3">
            <v>42853.479999999996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估价对象为北京市朝阳区广顺北大街16号院1、2、3号楼房地产，为所有。根据《国有土地使用证》[]，估价对象（分摊）出让国有建设用地使用权面积为10980.19平方米，建筑面积为47823.99平方米。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10980.19平方米，规划建筑面积为47823.99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2020年6月1日（评估专业人员实地查勘之日）</v>
      </c>
    </row>
    <row r="13" spans="1:2" s="1573" customFormat="1">
      <c r="A13" s="1571" t="s">
        <v>1216</v>
      </c>
      <c r="B13" s="1572" t="str">
        <f>'预评函-1'!A18</f>
        <v>本次估价的“房地产价值”是指在正常市场情况下，在价值时点2020年6月1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t="e">
        <f ca="1">'预评函-2'!D5</f>
        <v>#REF!</v>
      </c>
    </row>
    <row r="21" spans="1:2" s="1573" customFormat="1">
      <c r="A21" s="1571" t="s">
        <v>1224</v>
      </c>
      <c r="B21" s="1572" t="e">
        <f ca="1">'预评函-2'!D7</f>
        <v>#REF!</v>
      </c>
    </row>
    <row r="22" spans="1:2" s="1573" customFormat="1">
      <c r="A22" s="1571" t="s">
        <v>1225</v>
      </c>
      <c r="B22" s="1572" t="e">
        <f ca="1">'预评函-2'!D6</f>
        <v>#REF!</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t="e">
        <f ca="1">'预评函-2'!D13</f>
        <v>#REF!</v>
      </c>
    </row>
    <row r="31" spans="1:2" s="1573" customFormat="1">
      <c r="A31" s="1571" t="s">
        <v>1263</v>
      </c>
      <c r="B31" s="1572" t="e">
        <f ca="1">'预评函-2'!D15</f>
        <v>#REF!</v>
      </c>
    </row>
    <row r="32" spans="1:2" s="1573" customFormat="1">
      <c r="A32" s="1571" t="s">
        <v>1230</v>
      </c>
      <c r="B32" s="1572" t="e">
        <f ca="1">'预评函-2'!D14</f>
        <v>#REF!</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47823.990000000005</v>
      </c>
    </row>
    <row r="44" spans="1:2" s="1573" customFormat="1">
      <c r="A44" s="1571" t="s">
        <v>1262</v>
      </c>
      <c r="B44" s="1572" t="str">
        <f>'预评函-3'!C2</f>
        <v>(分摊)土地面积</v>
      </c>
    </row>
    <row r="45" spans="1:2" s="1573" customFormat="1">
      <c r="A45" s="1571" t="s">
        <v>1234</v>
      </c>
      <c r="B45" s="1572">
        <f>'预评函-3'!C4</f>
        <v>10980.19</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5"/>
  <sheetViews>
    <sheetView topLeftCell="A91" workbookViewId="0">
      <selection activeCell="H113" sqref="H113"/>
    </sheetView>
  </sheetViews>
  <sheetFormatPr defaultColWidth="9" defaultRowHeight="12"/>
  <cols>
    <col min="1" max="1" width="9" style="3429" customWidth="1"/>
    <col min="2" max="2" width="22.75" style="3429" bestFit="1" customWidth="1"/>
    <col min="3" max="3" width="9" style="3429"/>
    <col min="4" max="4" width="9" style="3438"/>
    <col min="5" max="5" width="9.375" style="3429" bestFit="1" customWidth="1"/>
    <col min="6" max="6" width="14.125" style="3429" bestFit="1" customWidth="1"/>
    <col min="7" max="7" width="9" style="3438"/>
    <col min="8" max="8" width="13.875" style="3429" bestFit="1" customWidth="1"/>
    <col min="9" max="10" width="9" style="3429"/>
    <col min="11" max="11" width="10.75" style="3429" customWidth="1"/>
    <col min="12" max="13" width="11.375" style="3429" bestFit="1" customWidth="1"/>
    <col min="14" max="15" width="14.125" style="3429" bestFit="1" customWidth="1"/>
    <col min="16" max="16384" width="9" style="3429"/>
  </cols>
  <sheetData>
    <row r="1" spans="1:11">
      <c r="A1" s="3427" t="s">
        <v>3702</v>
      </c>
      <c r="B1" s="3427" t="s">
        <v>3703</v>
      </c>
      <c r="C1" s="3427" t="s">
        <v>3704</v>
      </c>
      <c r="D1" s="3428" t="s">
        <v>3176</v>
      </c>
      <c r="E1" s="3427" t="s">
        <v>3177</v>
      </c>
      <c r="F1" s="3427" t="s">
        <v>3178</v>
      </c>
      <c r="G1" s="3428" t="s">
        <v>3705</v>
      </c>
      <c r="H1" s="3427" t="s">
        <v>3180</v>
      </c>
      <c r="I1" s="3427" t="s">
        <v>3706</v>
      </c>
    </row>
    <row r="2" spans="1:11" s="3432" customFormat="1">
      <c r="A2" s="3430">
        <v>9</v>
      </c>
      <c r="B2" s="3430" t="s">
        <v>3204</v>
      </c>
      <c r="C2" s="3430" t="s">
        <v>3205</v>
      </c>
      <c r="D2" s="3431" t="s">
        <v>3206</v>
      </c>
      <c r="E2" s="3430" t="s">
        <v>3237</v>
      </c>
      <c r="F2" s="3430" t="s">
        <v>3194</v>
      </c>
      <c r="G2" s="3431" t="s">
        <v>3207</v>
      </c>
      <c r="H2" s="3430" t="s">
        <v>3195</v>
      </c>
      <c r="I2" s="3430">
        <v>1078.23</v>
      </c>
    </row>
    <row r="3" spans="1:11">
      <c r="A3" s="3427">
        <v>11</v>
      </c>
      <c r="B3" s="3427" t="s">
        <v>3204</v>
      </c>
      <c r="C3" s="3427" t="s">
        <v>3205</v>
      </c>
      <c r="D3" s="3428" t="s">
        <v>3707</v>
      </c>
      <c r="E3" s="3427" t="s">
        <v>3237</v>
      </c>
      <c r="F3" s="3427" t="s">
        <v>3194</v>
      </c>
      <c r="G3" s="3428" t="s">
        <v>3210</v>
      </c>
      <c r="H3" s="3427" t="s">
        <v>3195</v>
      </c>
      <c r="I3" s="3427">
        <v>1443.69</v>
      </c>
    </row>
    <row r="4" spans="1:11">
      <c r="A4" s="3427">
        <v>21</v>
      </c>
      <c r="B4" s="3427" t="s">
        <v>3204</v>
      </c>
      <c r="C4" s="3427" t="s">
        <v>3205</v>
      </c>
      <c r="D4" s="3428" t="s">
        <v>3227</v>
      </c>
      <c r="E4" s="3427" t="s">
        <v>3237</v>
      </c>
      <c r="F4" s="3427" t="s">
        <v>3194</v>
      </c>
      <c r="G4" s="3428" t="s">
        <v>3228</v>
      </c>
      <c r="H4" s="3427" t="s">
        <v>3195</v>
      </c>
      <c r="I4" s="3427">
        <v>1443.69</v>
      </c>
    </row>
    <row r="5" spans="1:11">
      <c r="A5" s="3427">
        <v>31</v>
      </c>
      <c r="B5" s="3427" t="s">
        <v>3204</v>
      </c>
      <c r="C5" s="3427" t="s">
        <v>3205</v>
      </c>
      <c r="D5" s="3428" t="s">
        <v>3708</v>
      </c>
      <c r="E5" s="3427" t="s">
        <v>3237</v>
      </c>
      <c r="F5" s="3427" t="s">
        <v>3194</v>
      </c>
      <c r="G5" s="3428" t="s">
        <v>3246</v>
      </c>
      <c r="H5" s="3427" t="s">
        <v>3195</v>
      </c>
      <c r="I5" s="3427">
        <v>1443.69</v>
      </c>
    </row>
    <row r="6" spans="1:11">
      <c r="A6" s="3427">
        <v>41</v>
      </c>
      <c r="B6" s="3427" t="s">
        <v>3204</v>
      </c>
      <c r="C6" s="3427" t="s">
        <v>3205</v>
      </c>
      <c r="D6" s="3428" t="s">
        <v>3259</v>
      </c>
      <c r="E6" s="3427" t="s">
        <v>3237</v>
      </c>
      <c r="F6" s="3427" t="s">
        <v>3194</v>
      </c>
      <c r="G6" s="3428" t="s">
        <v>3260</v>
      </c>
      <c r="H6" s="3427" t="s">
        <v>3195</v>
      </c>
      <c r="I6" s="3427">
        <v>1443.69</v>
      </c>
    </row>
    <row r="7" spans="1:11">
      <c r="A7" s="3427">
        <v>51</v>
      </c>
      <c r="B7" s="3427" t="s">
        <v>3204</v>
      </c>
      <c r="C7" s="3427" t="s">
        <v>3205</v>
      </c>
      <c r="D7" s="3428" t="s">
        <v>3270</v>
      </c>
      <c r="E7" s="3427" t="s">
        <v>3237</v>
      </c>
      <c r="F7" s="3427" t="s">
        <v>3194</v>
      </c>
      <c r="G7" s="3428" t="s">
        <v>3271</v>
      </c>
      <c r="H7" s="3427" t="s">
        <v>3195</v>
      </c>
      <c r="I7" s="3427">
        <v>1443.69</v>
      </c>
    </row>
    <row r="8" spans="1:11">
      <c r="A8" s="3427">
        <v>61</v>
      </c>
      <c r="B8" s="3427" t="s">
        <v>3204</v>
      </c>
      <c r="C8" s="3427" t="s">
        <v>3205</v>
      </c>
      <c r="D8" s="3428" t="s">
        <v>3709</v>
      </c>
      <c r="E8" s="3427" t="s">
        <v>3237</v>
      </c>
      <c r="F8" s="3427" t="s">
        <v>3194</v>
      </c>
      <c r="G8" s="3428" t="s">
        <v>3284</v>
      </c>
      <c r="H8" s="3427" t="s">
        <v>3195</v>
      </c>
      <c r="I8" s="3427">
        <v>1443.69</v>
      </c>
      <c r="J8" s="3433"/>
      <c r="K8" s="3433"/>
    </row>
    <row r="9" spans="1:11">
      <c r="A9" s="3427">
        <v>71</v>
      </c>
      <c r="B9" s="3427" t="s">
        <v>3204</v>
      </c>
      <c r="C9" s="3427" t="s">
        <v>3205</v>
      </c>
      <c r="D9" s="3428" t="s">
        <v>3710</v>
      </c>
      <c r="E9" s="3427" t="s">
        <v>3237</v>
      </c>
      <c r="F9" s="3427" t="s">
        <v>3194</v>
      </c>
      <c r="G9" s="3428" t="s">
        <v>3295</v>
      </c>
      <c r="H9" s="3427" t="s">
        <v>3195</v>
      </c>
      <c r="I9" s="3427">
        <v>1443.69</v>
      </c>
    </row>
    <row r="10" spans="1:11">
      <c r="A10" s="3427">
        <v>81</v>
      </c>
      <c r="B10" s="3427" t="s">
        <v>3204</v>
      </c>
      <c r="C10" s="3427" t="s">
        <v>3205</v>
      </c>
      <c r="D10" s="3428" t="s">
        <v>3308</v>
      </c>
      <c r="E10" s="3427" t="s">
        <v>3237</v>
      </c>
      <c r="F10" s="3427" t="s">
        <v>3194</v>
      </c>
      <c r="G10" s="3428" t="s">
        <v>3309</v>
      </c>
      <c r="H10" s="3427" t="s">
        <v>3195</v>
      </c>
      <c r="I10" s="3427">
        <v>1443.69</v>
      </c>
    </row>
    <row r="11" spans="1:11">
      <c r="A11" s="3427">
        <v>91</v>
      </c>
      <c r="B11" s="3427" t="s">
        <v>3204</v>
      </c>
      <c r="C11" s="3427" t="s">
        <v>3205</v>
      </c>
      <c r="D11" s="3428" t="s">
        <v>3321</v>
      </c>
      <c r="E11" s="3427" t="s">
        <v>3237</v>
      </c>
      <c r="F11" s="3427" t="s">
        <v>3194</v>
      </c>
      <c r="G11" s="3428" t="s">
        <v>3322</v>
      </c>
      <c r="H11" s="3427" t="s">
        <v>3195</v>
      </c>
      <c r="I11" s="3427">
        <v>1443.69</v>
      </c>
    </row>
    <row r="12" spans="1:11">
      <c r="A12" s="3427">
        <v>101</v>
      </c>
      <c r="B12" s="3427" t="s">
        <v>3204</v>
      </c>
      <c r="C12" s="3427" t="s">
        <v>3205</v>
      </c>
      <c r="D12" s="3428" t="s">
        <v>3333</v>
      </c>
      <c r="E12" s="3427" t="s">
        <v>3237</v>
      </c>
      <c r="F12" s="3427" t="s">
        <v>3194</v>
      </c>
      <c r="G12" s="3428" t="s">
        <v>3334</v>
      </c>
      <c r="H12" s="3427" t="s">
        <v>3195</v>
      </c>
      <c r="I12" s="3427">
        <v>1443.69</v>
      </c>
    </row>
    <row r="13" spans="1:11">
      <c r="A13" s="3427">
        <v>111</v>
      </c>
      <c r="B13" s="3427" t="s">
        <v>3204</v>
      </c>
      <c r="C13" s="3427" t="s">
        <v>3205</v>
      </c>
      <c r="D13" s="3428" t="s">
        <v>3345</v>
      </c>
      <c r="E13" s="3427" t="s">
        <v>3237</v>
      </c>
      <c r="F13" s="3427" t="s">
        <v>3194</v>
      </c>
      <c r="G13" s="3428" t="s">
        <v>3346</v>
      </c>
      <c r="H13" s="3427" t="s">
        <v>3195</v>
      </c>
      <c r="I13" s="3427">
        <v>1443.69</v>
      </c>
    </row>
    <row r="14" spans="1:11">
      <c r="A14" s="3427">
        <v>121</v>
      </c>
      <c r="B14" s="3427" t="s">
        <v>3204</v>
      </c>
      <c r="C14" s="3427" t="s">
        <v>3205</v>
      </c>
      <c r="D14" s="3428" t="s">
        <v>3711</v>
      </c>
      <c r="E14" s="3427" t="s">
        <v>3237</v>
      </c>
      <c r="F14" s="3427" t="s">
        <v>3194</v>
      </c>
      <c r="G14" s="3428" t="s">
        <v>3712</v>
      </c>
      <c r="H14" s="3427" t="s">
        <v>3713</v>
      </c>
      <c r="I14" s="3427">
        <v>701.01</v>
      </c>
    </row>
    <row r="15" spans="1:11">
      <c r="A15" s="3427"/>
      <c r="B15" s="3427" t="s">
        <v>3714</v>
      </c>
      <c r="C15" s="3427"/>
      <c r="D15" s="3428"/>
      <c r="E15" s="3427"/>
      <c r="F15" s="3427"/>
      <c r="G15" s="3428"/>
      <c r="H15" s="3427"/>
      <c r="I15" s="3427">
        <f>SUM(I2:I14)</f>
        <v>17659.830000000002</v>
      </c>
    </row>
    <row r="16" spans="1:11" s="3432" customFormat="1">
      <c r="A16" s="3430">
        <v>4</v>
      </c>
      <c r="B16" s="3430" t="s">
        <v>3715</v>
      </c>
      <c r="C16" s="3430" t="s">
        <v>3192</v>
      </c>
      <c r="D16" s="3431" t="s">
        <v>3716</v>
      </c>
      <c r="E16" s="3430" t="s">
        <v>3237</v>
      </c>
      <c r="F16" s="3430" t="s">
        <v>3194</v>
      </c>
      <c r="G16" s="3431" t="s">
        <v>3717</v>
      </c>
      <c r="H16" s="3430" t="s">
        <v>3195</v>
      </c>
      <c r="I16" s="3430">
        <v>31.96</v>
      </c>
    </row>
    <row r="17" spans="1:17">
      <c r="A17" s="3427">
        <v>12</v>
      </c>
      <c r="B17" s="3427" t="s">
        <v>3221</v>
      </c>
      <c r="C17" s="3427" t="s">
        <v>3192</v>
      </c>
      <c r="D17" s="3428" t="s">
        <v>3707</v>
      </c>
      <c r="E17" s="3427" t="s">
        <v>3237</v>
      </c>
      <c r="F17" s="3427" t="s">
        <v>3194</v>
      </c>
      <c r="G17" s="3428" t="s">
        <v>3210</v>
      </c>
      <c r="H17" s="3427" t="s">
        <v>3195</v>
      </c>
      <c r="I17" s="3427">
        <v>160.65</v>
      </c>
    </row>
    <row r="18" spans="1:17">
      <c r="A18" s="3427">
        <v>13</v>
      </c>
      <c r="B18" s="3427" t="s">
        <v>3221</v>
      </c>
      <c r="C18" s="3427" t="s">
        <v>3192</v>
      </c>
      <c r="D18" s="3428" t="s">
        <v>3211</v>
      </c>
      <c r="E18" s="3427" t="s">
        <v>3237</v>
      </c>
      <c r="F18" s="3427" t="s">
        <v>3194</v>
      </c>
      <c r="G18" s="3428" t="s">
        <v>3210</v>
      </c>
      <c r="H18" s="3427" t="s">
        <v>3195</v>
      </c>
      <c r="I18" s="3427">
        <v>152</v>
      </c>
    </row>
    <row r="19" spans="1:17">
      <c r="A19" s="3427">
        <v>14</v>
      </c>
      <c r="B19" s="3427" t="s">
        <v>3221</v>
      </c>
      <c r="C19" s="3427" t="s">
        <v>3192</v>
      </c>
      <c r="D19" s="3428" t="s">
        <v>3212</v>
      </c>
      <c r="E19" s="3427" t="s">
        <v>3237</v>
      </c>
      <c r="F19" s="3427" t="s">
        <v>3194</v>
      </c>
      <c r="G19" s="3428" t="s">
        <v>3210</v>
      </c>
      <c r="H19" s="3427" t="s">
        <v>3195</v>
      </c>
      <c r="I19" s="3427">
        <v>152</v>
      </c>
    </row>
    <row r="20" spans="1:17">
      <c r="A20" s="3427">
        <v>15</v>
      </c>
      <c r="B20" s="3427" t="s">
        <v>3221</v>
      </c>
      <c r="C20" s="3427" t="s">
        <v>3192</v>
      </c>
      <c r="D20" s="3428" t="s">
        <v>3213</v>
      </c>
      <c r="E20" s="3427" t="s">
        <v>3237</v>
      </c>
      <c r="F20" s="3427" t="s">
        <v>3194</v>
      </c>
      <c r="G20" s="3428" t="s">
        <v>3210</v>
      </c>
      <c r="H20" s="3427" t="s">
        <v>3195</v>
      </c>
      <c r="I20" s="3427">
        <v>152</v>
      </c>
    </row>
    <row r="21" spans="1:17">
      <c r="A21" s="3427">
        <v>16</v>
      </c>
      <c r="B21" s="3427" t="s">
        <v>3221</v>
      </c>
      <c r="C21" s="3427" t="s">
        <v>3192</v>
      </c>
      <c r="D21" s="3428" t="s">
        <v>3214</v>
      </c>
      <c r="E21" s="3427" t="s">
        <v>3237</v>
      </c>
      <c r="F21" s="3427" t="s">
        <v>3194</v>
      </c>
      <c r="G21" s="3428" t="s">
        <v>3210</v>
      </c>
      <c r="H21" s="3427" t="s">
        <v>3195</v>
      </c>
      <c r="I21" s="3427">
        <v>152</v>
      </c>
    </row>
    <row r="22" spans="1:17">
      <c r="A22" s="3427">
        <v>17</v>
      </c>
      <c r="B22" s="3427" t="s">
        <v>3221</v>
      </c>
      <c r="C22" s="3427" t="s">
        <v>3192</v>
      </c>
      <c r="D22" s="3428" t="s">
        <v>3215</v>
      </c>
      <c r="E22" s="3427" t="s">
        <v>3237</v>
      </c>
      <c r="F22" s="3427" t="s">
        <v>3194</v>
      </c>
      <c r="G22" s="3428" t="s">
        <v>3210</v>
      </c>
      <c r="H22" s="3427" t="s">
        <v>3195</v>
      </c>
      <c r="I22" s="3427">
        <v>208.31</v>
      </c>
    </row>
    <row r="23" spans="1:17">
      <c r="A23" s="3427">
        <v>18</v>
      </c>
      <c r="B23" s="3427" t="s">
        <v>3221</v>
      </c>
      <c r="C23" s="3427" t="s">
        <v>3192</v>
      </c>
      <c r="D23" s="3428" t="s">
        <v>3216</v>
      </c>
      <c r="E23" s="3427" t="s">
        <v>3237</v>
      </c>
      <c r="F23" s="3427" t="s">
        <v>3194</v>
      </c>
      <c r="G23" s="3428" t="s">
        <v>3210</v>
      </c>
      <c r="H23" s="3427" t="s">
        <v>3195</v>
      </c>
      <c r="I23" s="3427">
        <v>222.93</v>
      </c>
    </row>
    <row r="24" spans="1:17">
      <c r="A24" s="3427">
        <v>19</v>
      </c>
      <c r="B24" s="3427" t="s">
        <v>3221</v>
      </c>
      <c r="C24" s="3427" t="s">
        <v>3192</v>
      </c>
      <c r="D24" s="3428" t="s">
        <v>3223</v>
      </c>
      <c r="E24" s="3427" t="s">
        <v>3237</v>
      </c>
      <c r="F24" s="3427" t="s">
        <v>3194</v>
      </c>
      <c r="G24" s="3428" t="s">
        <v>3210</v>
      </c>
      <c r="H24" s="3427" t="s">
        <v>3195</v>
      </c>
      <c r="I24" s="3427">
        <v>152.03</v>
      </c>
    </row>
    <row r="25" spans="1:17">
      <c r="A25" s="3427">
        <v>20</v>
      </c>
      <c r="B25" s="3427" t="s">
        <v>3221</v>
      </c>
      <c r="C25" s="3427" t="s">
        <v>3192</v>
      </c>
      <c r="D25" s="3428" t="s">
        <v>3224</v>
      </c>
      <c r="E25" s="3427" t="s">
        <v>3237</v>
      </c>
      <c r="F25" s="3427" t="s">
        <v>3194</v>
      </c>
      <c r="G25" s="3428" t="s">
        <v>3210</v>
      </c>
      <c r="H25" s="3427" t="s">
        <v>3195</v>
      </c>
      <c r="I25" s="3427">
        <v>116.9</v>
      </c>
    </row>
    <row r="26" spans="1:17">
      <c r="A26" s="3427">
        <v>22</v>
      </c>
      <c r="B26" s="3427" t="s">
        <v>3221</v>
      </c>
      <c r="C26" s="3427" t="s">
        <v>3192</v>
      </c>
      <c r="D26" s="3428" t="s">
        <v>3227</v>
      </c>
      <c r="E26" s="3427" t="s">
        <v>3237</v>
      </c>
      <c r="F26" s="3427" t="s">
        <v>3194</v>
      </c>
      <c r="G26" s="3428" t="s">
        <v>3228</v>
      </c>
      <c r="H26" s="3427" t="s">
        <v>3195</v>
      </c>
      <c r="I26" s="3427">
        <v>160.65</v>
      </c>
    </row>
    <row r="27" spans="1:17">
      <c r="A27" s="3427">
        <v>23</v>
      </c>
      <c r="B27" s="3427" t="s">
        <v>3221</v>
      </c>
      <c r="C27" s="3427" t="s">
        <v>3192</v>
      </c>
      <c r="D27" s="3428" t="s">
        <v>3229</v>
      </c>
      <c r="E27" s="3427" t="s">
        <v>3237</v>
      </c>
      <c r="F27" s="3427" t="s">
        <v>3194</v>
      </c>
      <c r="G27" s="3428" t="s">
        <v>3228</v>
      </c>
      <c r="H27" s="3427" t="s">
        <v>3195</v>
      </c>
      <c r="I27" s="3427">
        <v>152</v>
      </c>
    </row>
    <row r="28" spans="1:17">
      <c r="A28" s="3427">
        <v>24</v>
      </c>
      <c r="B28" s="3427" t="s">
        <v>3221</v>
      </c>
      <c r="C28" s="3427" t="s">
        <v>3192</v>
      </c>
      <c r="D28" s="3428" t="s">
        <v>3230</v>
      </c>
      <c r="E28" s="3427" t="s">
        <v>3237</v>
      </c>
      <c r="F28" s="3427" t="s">
        <v>3194</v>
      </c>
      <c r="G28" s="3428" t="s">
        <v>3228</v>
      </c>
      <c r="H28" s="3427" t="s">
        <v>3195</v>
      </c>
      <c r="I28" s="3427">
        <v>152</v>
      </c>
    </row>
    <row r="29" spans="1:17">
      <c r="A29" s="3427">
        <v>25</v>
      </c>
      <c r="B29" s="3427" t="s">
        <v>3221</v>
      </c>
      <c r="C29" s="3427" t="s">
        <v>3192</v>
      </c>
      <c r="D29" s="3428" t="s">
        <v>3231</v>
      </c>
      <c r="E29" s="3427" t="s">
        <v>3237</v>
      </c>
      <c r="F29" s="3427" t="s">
        <v>3194</v>
      </c>
      <c r="G29" s="3428" t="s">
        <v>3228</v>
      </c>
      <c r="H29" s="3427" t="s">
        <v>3195</v>
      </c>
      <c r="I29" s="3427">
        <v>152</v>
      </c>
    </row>
    <row r="30" spans="1:17">
      <c r="A30" s="3427">
        <v>26</v>
      </c>
      <c r="B30" s="3427" t="s">
        <v>3221</v>
      </c>
      <c r="C30" s="3427" t="s">
        <v>3192</v>
      </c>
      <c r="D30" s="3428" t="s">
        <v>3232</v>
      </c>
      <c r="E30" s="3427" t="s">
        <v>3237</v>
      </c>
      <c r="F30" s="3427" t="s">
        <v>3194</v>
      </c>
      <c r="G30" s="3428" t="s">
        <v>3228</v>
      </c>
      <c r="H30" s="3427" t="s">
        <v>3195</v>
      </c>
      <c r="I30" s="3427">
        <v>152</v>
      </c>
    </row>
    <row r="31" spans="1:17">
      <c r="A31" s="3427">
        <v>27</v>
      </c>
      <c r="B31" s="3427" t="s">
        <v>3221</v>
      </c>
      <c r="C31" s="3427" t="s">
        <v>3192</v>
      </c>
      <c r="D31" s="3428" t="s">
        <v>3233</v>
      </c>
      <c r="E31" s="3427" t="s">
        <v>3237</v>
      </c>
      <c r="F31" s="3427" t="s">
        <v>3194</v>
      </c>
      <c r="G31" s="3428" t="s">
        <v>3228</v>
      </c>
      <c r="H31" s="3427" t="s">
        <v>3195</v>
      </c>
      <c r="I31" s="3427">
        <v>208.31</v>
      </c>
    </row>
    <row r="32" spans="1:17">
      <c r="A32" s="3427">
        <v>28</v>
      </c>
      <c r="B32" s="3427" t="s">
        <v>3221</v>
      </c>
      <c r="C32" s="3427" t="s">
        <v>3192</v>
      </c>
      <c r="D32" s="3428" t="s">
        <v>3234</v>
      </c>
      <c r="E32" s="3427" t="s">
        <v>3237</v>
      </c>
      <c r="F32" s="3427" t="s">
        <v>3194</v>
      </c>
      <c r="G32" s="3428" t="s">
        <v>3228</v>
      </c>
      <c r="H32" s="3427" t="s">
        <v>3195</v>
      </c>
      <c r="I32" s="3427">
        <v>222.93</v>
      </c>
      <c r="Q32" s="3429" t="s">
        <v>3718</v>
      </c>
    </row>
    <row r="33" spans="1:9">
      <c r="A33" s="3427">
        <v>29</v>
      </c>
      <c r="B33" s="3427" t="s">
        <v>3719</v>
      </c>
      <c r="C33" s="3427" t="s">
        <v>3720</v>
      </c>
      <c r="D33" s="3428" t="s">
        <v>3235</v>
      </c>
      <c r="E33" s="3427" t="s">
        <v>3721</v>
      </c>
      <c r="F33" s="3427" t="s">
        <v>3722</v>
      </c>
      <c r="G33" s="3428" t="s">
        <v>3723</v>
      </c>
      <c r="H33" s="3427" t="s">
        <v>3247</v>
      </c>
      <c r="I33" s="3427">
        <v>152.03</v>
      </c>
    </row>
    <row r="34" spans="1:9">
      <c r="A34" s="3427">
        <v>30</v>
      </c>
      <c r="B34" s="3427" t="s">
        <v>3719</v>
      </c>
      <c r="C34" s="3427" t="s">
        <v>3720</v>
      </c>
      <c r="D34" s="3428" t="s">
        <v>3236</v>
      </c>
      <c r="E34" s="3427" t="s">
        <v>3721</v>
      </c>
      <c r="F34" s="3427" t="s">
        <v>3722</v>
      </c>
      <c r="G34" s="3428" t="s">
        <v>3723</v>
      </c>
      <c r="H34" s="3427" t="s">
        <v>3247</v>
      </c>
      <c r="I34" s="3427">
        <v>116.9</v>
      </c>
    </row>
    <row r="35" spans="1:9">
      <c r="A35" s="3427">
        <v>32</v>
      </c>
      <c r="B35" s="3427" t="s">
        <v>3719</v>
      </c>
      <c r="C35" s="3427" t="s">
        <v>3720</v>
      </c>
      <c r="D35" s="3428" t="s">
        <v>3724</v>
      </c>
      <c r="E35" s="3427" t="s">
        <v>3721</v>
      </c>
      <c r="F35" s="3427" t="s">
        <v>3722</v>
      </c>
      <c r="G35" s="3428" t="s">
        <v>3725</v>
      </c>
      <c r="H35" s="3427" t="s">
        <v>3247</v>
      </c>
      <c r="I35" s="3427">
        <v>160.65</v>
      </c>
    </row>
    <row r="36" spans="1:9">
      <c r="A36" s="3427">
        <v>33</v>
      </c>
      <c r="B36" s="3427" t="s">
        <v>3719</v>
      </c>
      <c r="C36" s="3427" t="s">
        <v>3720</v>
      </c>
      <c r="D36" s="3428" t="s">
        <v>3250</v>
      </c>
      <c r="E36" s="3427" t="s">
        <v>3721</v>
      </c>
      <c r="F36" s="3427" t="s">
        <v>3722</v>
      </c>
      <c r="G36" s="3428" t="s">
        <v>3725</v>
      </c>
      <c r="H36" s="3427" t="s">
        <v>3247</v>
      </c>
      <c r="I36" s="3427">
        <v>152</v>
      </c>
    </row>
    <row r="37" spans="1:9">
      <c r="A37" s="3427">
        <v>34</v>
      </c>
      <c r="B37" s="3427" t="s">
        <v>3719</v>
      </c>
      <c r="C37" s="3427" t="s">
        <v>3720</v>
      </c>
      <c r="D37" s="3428" t="s">
        <v>3251</v>
      </c>
      <c r="E37" s="3427" t="s">
        <v>3721</v>
      </c>
      <c r="F37" s="3427" t="s">
        <v>3722</v>
      </c>
      <c r="G37" s="3428" t="s">
        <v>3725</v>
      </c>
      <c r="H37" s="3427" t="s">
        <v>3247</v>
      </c>
      <c r="I37" s="3427">
        <v>152</v>
      </c>
    </row>
    <row r="38" spans="1:9">
      <c r="A38" s="3427">
        <v>35</v>
      </c>
      <c r="B38" s="3427" t="s">
        <v>3719</v>
      </c>
      <c r="C38" s="3427" t="s">
        <v>3720</v>
      </c>
      <c r="D38" s="3428" t="s">
        <v>3252</v>
      </c>
      <c r="E38" s="3427" t="s">
        <v>3721</v>
      </c>
      <c r="F38" s="3427" t="s">
        <v>3722</v>
      </c>
      <c r="G38" s="3428" t="s">
        <v>3725</v>
      </c>
      <c r="H38" s="3427" t="s">
        <v>3247</v>
      </c>
      <c r="I38" s="3427">
        <v>152</v>
      </c>
    </row>
    <row r="39" spans="1:9">
      <c r="A39" s="3427">
        <v>36</v>
      </c>
      <c r="B39" s="3427" t="s">
        <v>3719</v>
      </c>
      <c r="C39" s="3427" t="s">
        <v>3720</v>
      </c>
      <c r="D39" s="3428" t="s">
        <v>3253</v>
      </c>
      <c r="E39" s="3427" t="s">
        <v>3721</v>
      </c>
      <c r="F39" s="3427" t="s">
        <v>3722</v>
      </c>
      <c r="G39" s="3428" t="s">
        <v>3725</v>
      </c>
      <c r="H39" s="3427" t="s">
        <v>3247</v>
      </c>
      <c r="I39" s="3427">
        <v>152</v>
      </c>
    </row>
    <row r="40" spans="1:9">
      <c r="A40" s="3427">
        <v>37</v>
      </c>
      <c r="B40" s="3427" t="s">
        <v>3719</v>
      </c>
      <c r="C40" s="3427" t="s">
        <v>3720</v>
      </c>
      <c r="D40" s="3428" t="s">
        <v>3254</v>
      </c>
      <c r="E40" s="3427" t="s">
        <v>3721</v>
      </c>
      <c r="F40" s="3427" t="s">
        <v>3722</v>
      </c>
      <c r="G40" s="3428" t="s">
        <v>3725</v>
      </c>
      <c r="H40" s="3427" t="s">
        <v>3247</v>
      </c>
      <c r="I40" s="3427">
        <v>208.31</v>
      </c>
    </row>
    <row r="41" spans="1:9">
      <c r="A41" s="3427">
        <v>38</v>
      </c>
      <c r="B41" s="3427" t="s">
        <v>3719</v>
      </c>
      <c r="C41" s="3427" t="s">
        <v>3720</v>
      </c>
      <c r="D41" s="3428" t="s">
        <v>3256</v>
      </c>
      <c r="E41" s="3427" t="s">
        <v>3721</v>
      </c>
      <c r="F41" s="3427" t="s">
        <v>3722</v>
      </c>
      <c r="G41" s="3428" t="s">
        <v>3725</v>
      </c>
      <c r="H41" s="3427" t="s">
        <v>3247</v>
      </c>
      <c r="I41" s="3427">
        <v>222.93</v>
      </c>
    </row>
    <row r="42" spans="1:9">
      <c r="A42" s="3427">
        <v>39</v>
      </c>
      <c r="B42" s="3427" t="s">
        <v>3719</v>
      </c>
      <c r="C42" s="3427" t="s">
        <v>3720</v>
      </c>
      <c r="D42" s="3428" t="s">
        <v>3257</v>
      </c>
      <c r="E42" s="3427" t="s">
        <v>3721</v>
      </c>
      <c r="F42" s="3427" t="s">
        <v>3722</v>
      </c>
      <c r="G42" s="3428" t="s">
        <v>3725</v>
      </c>
      <c r="H42" s="3427" t="s">
        <v>3247</v>
      </c>
      <c r="I42" s="3427">
        <v>152.03</v>
      </c>
    </row>
    <row r="43" spans="1:9">
      <c r="A43" s="3427">
        <v>40</v>
      </c>
      <c r="B43" s="3427" t="s">
        <v>3719</v>
      </c>
      <c r="C43" s="3427" t="s">
        <v>3720</v>
      </c>
      <c r="D43" s="3428" t="s">
        <v>3258</v>
      </c>
      <c r="E43" s="3427" t="s">
        <v>3721</v>
      </c>
      <c r="F43" s="3427" t="s">
        <v>3722</v>
      </c>
      <c r="G43" s="3428" t="s">
        <v>3725</v>
      </c>
      <c r="H43" s="3427" t="s">
        <v>3247</v>
      </c>
      <c r="I43" s="3427">
        <v>116.9</v>
      </c>
    </row>
    <row r="44" spans="1:9">
      <c r="A44" s="3427">
        <v>42</v>
      </c>
      <c r="B44" s="3427" t="s">
        <v>3719</v>
      </c>
      <c r="C44" s="3427" t="s">
        <v>3720</v>
      </c>
      <c r="D44" s="3428" t="s">
        <v>3726</v>
      </c>
      <c r="E44" s="3427" t="s">
        <v>3721</v>
      </c>
      <c r="F44" s="3427" t="s">
        <v>3722</v>
      </c>
      <c r="G44" s="3428" t="s">
        <v>3727</v>
      </c>
      <c r="H44" s="3427" t="s">
        <v>3247</v>
      </c>
      <c r="I44" s="3427">
        <v>160.65</v>
      </c>
    </row>
    <row r="45" spans="1:9">
      <c r="A45" s="3427">
        <v>43</v>
      </c>
      <c r="B45" s="3427" t="s">
        <v>3719</v>
      </c>
      <c r="C45" s="3427" t="s">
        <v>3720</v>
      </c>
      <c r="D45" s="3428" t="s">
        <v>3262</v>
      </c>
      <c r="E45" s="3427" t="s">
        <v>3721</v>
      </c>
      <c r="F45" s="3427" t="s">
        <v>3722</v>
      </c>
      <c r="G45" s="3428" t="s">
        <v>3727</v>
      </c>
      <c r="H45" s="3427" t="s">
        <v>3247</v>
      </c>
      <c r="I45" s="3427">
        <v>152</v>
      </c>
    </row>
    <row r="46" spans="1:9">
      <c r="A46" s="3427">
        <v>44</v>
      </c>
      <c r="B46" s="3427" t="s">
        <v>3719</v>
      </c>
      <c r="C46" s="3427" t="s">
        <v>3720</v>
      </c>
      <c r="D46" s="3428" t="s">
        <v>3263</v>
      </c>
      <c r="E46" s="3427" t="s">
        <v>3721</v>
      </c>
      <c r="F46" s="3427" t="s">
        <v>3722</v>
      </c>
      <c r="G46" s="3428" t="s">
        <v>3727</v>
      </c>
      <c r="H46" s="3427" t="s">
        <v>3247</v>
      </c>
      <c r="I46" s="3427">
        <v>152</v>
      </c>
    </row>
    <row r="47" spans="1:9">
      <c r="A47" s="3427">
        <v>45</v>
      </c>
      <c r="B47" s="3427" t="s">
        <v>3719</v>
      </c>
      <c r="C47" s="3427" t="s">
        <v>3720</v>
      </c>
      <c r="D47" s="3428" t="s">
        <v>3264</v>
      </c>
      <c r="E47" s="3427" t="s">
        <v>3721</v>
      </c>
      <c r="F47" s="3427" t="s">
        <v>3722</v>
      </c>
      <c r="G47" s="3428" t="s">
        <v>3727</v>
      </c>
      <c r="H47" s="3427" t="s">
        <v>3247</v>
      </c>
      <c r="I47" s="3427">
        <v>152</v>
      </c>
    </row>
    <row r="48" spans="1:9">
      <c r="A48" s="3427">
        <v>46</v>
      </c>
      <c r="B48" s="3427" t="s">
        <v>3719</v>
      </c>
      <c r="C48" s="3427" t="s">
        <v>3720</v>
      </c>
      <c r="D48" s="3428" t="s">
        <v>3265</v>
      </c>
      <c r="E48" s="3427" t="s">
        <v>3721</v>
      </c>
      <c r="F48" s="3427" t="s">
        <v>3722</v>
      </c>
      <c r="G48" s="3428" t="s">
        <v>3727</v>
      </c>
      <c r="H48" s="3427" t="s">
        <v>3247</v>
      </c>
      <c r="I48" s="3427">
        <v>152</v>
      </c>
    </row>
    <row r="49" spans="1:9">
      <c r="A49" s="3427">
        <v>47</v>
      </c>
      <c r="B49" s="3427" t="s">
        <v>3719</v>
      </c>
      <c r="C49" s="3427" t="s">
        <v>3720</v>
      </c>
      <c r="D49" s="3428" t="s">
        <v>3266</v>
      </c>
      <c r="E49" s="3427" t="s">
        <v>3721</v>
      </c>
      <c r="F49" s="3427" t="s">
        <v>3722</v>
      </c>
      <c r="G49" s="3428" t="s">
        <v>3727</v>
      </c>
      <c r="H49" s="3427" t="s">
        <v>3247</v>
      </c>
      <c r="I49" s="3427">
        <v>208.31</v>
      </c>
    </row>
    <row r="50" spans="1:9">
      <c r="A50" s="3427">
        <v>48</v>
      </c>
      <c r="B50" s="3427" t="s">
        <v>3719</v>
      </c>
      <c r="C50" s="3427" t="s">
        <v>3720</v>
      </c>
      <c r="D50" s="3428" t="s">
        <v>3267</v>
      </c>
      <c r="E50" s="3427" t="s">
        <v>3721</v>
      </c>
      <c r="F50" s="3427" t="s">
        <v>3722</v>
      </c>
      <c r="G50" s="3428" t="s">
        <v>3727</v>
      </c>
      <c r="H50" s="3427" t="s">
        <v>3247</v>
      </c>
      <c r="I50" s="3427">
        <v>222.93</v>
      </c>
    </row>
    <row r="51" spans="1:9">
      <c r="A51" s="3427">
        <v>49</v>
      </c>
      <c r="B51" s="3427" t="s">
        <v>3719</v>
      </c>
      <c r="C51" s="3427" t="s">
        <v>3720</v>
      </c>
      <c r="D51" s="3428" t="s">
        <v>3268</v>
      </c>
      <c r="E51" s="3427" t="s">
        <v>3721</v>
      </c>
      <c r="F51" s="3427" t="s">
        <v>3722</v>
      </c>
      <c r="G51" s="3428" t="s">
        <v>3727</v>
      </c>
      <c r="H51" s="3427" t="s">
        <v>3247</v>
      </c>
      <c r="I51" s="3427">
        <v>152.03</v>
      </c>
    </row>
    <row r="52" spans="1:9">
      <c r="A52" s="3427">
        <v>50</v>
      </c>
      <c r="B52" s="3427" t="s">
        <v>3719</v>
      </c>
      <c r="C52" s="3427" t="s">
        <v>3720</v>
      </c>
      <c r="D52" s="3428" t="s">
        <v>3269</v>
      </c>
      <c r="E52" s="3427" t="s">
        <v>3721</v>
      </c>
      <c r="F52" s="3427" t="s">
        <v>3722</v>
      </c>
      <c r="G52" s="3428" t="s">
        <v>3727</v>
      </c>
      <c r="H52" s="3427" t="s">
        <v>3247</v>
      </c>
      <c r="I52" s="3427">
        <v>116.9</v>
      </c>
    </row>
    <row r="53" spans="1:9">
      <c r="A53" s="3427">
        <v>52</v>
      </c>
      <c r="B53" s="3427" t="s">
        <v>3719</v>
      </c>
      <c r="C53" s="3427" t="s">
        <v>3720</v>
      </c>
      <c r="D53" s="3428" t="s">
        <v>3728</v>
      </c>
      <c r="E53" s="3427" t="s">
        <v>3721</v>
      </c>
      <c r="F53" s="3427" t="s">
        <v>3722</v>
      </c>
      <c r="G53" s="3428" t="s">
        <v>3729</v>
      </c>
      <c r="H53" s="3427" t="s">
        <v>3247</v>
      </c>
      <c r="I53" s="3427">
        <v>160.65</v>
      </c>
    </row>
    <row r="54" spans="1:9">
      <c r="A54" s="3427">
        <v>53</v>
      </c>
      <c r="B54" s="3427" t="s">
        <v>3719</v>
      </c>
      <c r="C54" s="3427" t="s">
        <v>3720</v>
      </c>
      <c r="D54" s="3428" t="s">
        <v>3273</v>
      </c>
      <c r="E54" s="3427" t="s">
        <v>3721</v>
      </c>
      <c r="F54" s="3427" t="s">
        <v>3722</v>
      </c>
      <c r="G54" s="3428" t="s">
        <v>3729</v>
      </c>
      <c r="H54" s="3427" t="s">
        <v>3247</v>
      </c>
      <c r="I54" s="3427">
        <v>152</v>
      </c>
    </row>
    <row r="55" spans="1:9">
      <c r="A55" s="3427">
        <v>54</v>
      </c>
      <c r="B55" s="3427" t="s">
        <v>3719</v>
      </c>
      <c r="C55" s="3427" t="s">
        <v>3720</v>
      </c>
      <c r="D55" s="3428" t="s">
        <v>3274</v>
      </c>
      <c r="E55" s="3427" t="s">
        <v>3721</v>
      </c>
      <c r="F55" s="3427" t="s">
        <v>3722</v>
      </c>
      <c r="G55" s="3428" t="s">
        <v>3729</v>
      </c>
      <c r="H55" s="3427" t="s">
        <v>3247</v>
      </c>
      <c r="I55" s="3427">
        <v>152</v>
      </c>
    </row>
    <row r="56" spans="1:9">
      <c r="A56" s="3427">
        <v>55</v>
      </c>
      <c r="B56" s="3427" t="s">
        <v>3719</v>
      </c>
      <c r="C56" s="3427" t="s">
        <v>3720</v>
      </c>
      <c r="D56" s="3428" t="s">
        <v>3275</v>
      </c>
      <c r="E56" s="3427" t="s">
        <v>3721</v>
      </c>
      <c r="F56" s="3427" t="s">
        <v>3722</v>
      </c>
      <c r="G56" s="3428" t="s">
        <v>3729</v>
      </c>
      <c r="H56" s="3427" t="s">
        <v>3247</v>
      </c>
      <c r="I56" s="3427">
        <v>152</v>
      </c>
    </row>
    <row r="57" spans="1:9">
      <c r="A57" s="3427">
        <v>56</v>
      </c>
      <c r="B57" s="3427" t="s">
        <v>3719</v>
      </c>
      <c r="C57" s="3427" t="s">
        <v>3720</v>
      </c>
      <c r="D57" s="3428" t="s">
        <v>3276</v>
      </c>
      <c r="E57" s="3427" t="s">
        <v>3721</v>
      </c>
      <c r="F57" s="3427" t="s">
        <v>3722</v>
      </c>
      <c r="G57" s="3428" t="s">
        <v>3729</v>
      </c>
      <c r="H57" s="3427" t="s">
        <v>3247</v>
      </c>
      <c r="I57" s="3427">
        <v>152</v>
      </c>
    </row>
    <row r="58" spans="1:9">
      <c r="A58" s="3427">
        <v>57</v>
      </c>
      <c r="B58" s="3427" t="s">
        <v>3719</v>
      </c>
      <c r="C58" s="3427" t="s">
        <v>3720</v>
      </c>
      <c r="D58" s="3428" t="s">
        <v>3277</v>
      </c>
      <c r="E58" s="3427" t="s">
        <v>3721</v>
      </c>
      <c r="F58" s="3427" t="s">
        <v>3722</v>
      </c>
      <c r="G58" s="3428" t="s">
        <v>3729</v>
      </c>
      <c r="H58" s="3427" t="s">
        <v>3247</v>
      </c>
      <c r="I58" s="3427">
        <v>208.31</v>
      </c>
    </row>
    <row r="59" spans="1:9">
      <c r="A59" s="3427">
        <v>58</v>
      </c>
      <c r="B59" s="3427" t="s">
        <v>3719</v>
      </c>
      <c r="C59" s="3427" t="s">
        <v>3720</v>
      </c>
      <c r="D59" s="3428" t="s">
        <v>3278</v>
      </c>
      <c r="E59" s="3427" t="s">
        <v>3721</v>
      </c>
      <c r="F59" s="3427" t="s">
        <v>3722</v>
      </c>
      <c r="G59" s="3428" t="s">
        <v>3729</v>
      </c>
      <c r="H59" s="3427" t="s">
        <v>3247</v>
      </c>
      <c r="I59" s="3427">
        <v>222.93</v>
      </c>
    </row>
    <row r="60" spans="1:9">
      <c r="A60" s="3427">
        <v>59</v>
      </c>
      <c r="B60" s="3427" t="s">
        <v>3719</v>
      </c>
      <c r="C60" s="3427" t="s">
        <v>3720</v>
      </c>
      <c r="D60" s="3428" t="s">
        <v>3279</v>
      </c>
      <c r="E60" s="3427" t="s">
        <v>3721</v>
      </c>
      <c r="F60" s="3427" t="s">
        <v>3722</v>
      </c>
      <c r="G60" s="3428" t="s">
        <v>3729</v>
      </c>
      <c r="H60" s="3427" t="s">
        <v>3247</v>
      </c>
      <c r="I60" s="3427">
        <v>152.03</v>
      </c>
    </row>
    <row r="61" spans="1:9">
      <c r="A61" s="3427">
        <v>60</v>
      </c>
      <c r="B61" s="3427" t="s">
        <v>3719</v>
      </c>
      <c r="C61" s="3427" t="s">
        <v>3720</v>
      </c>
      <c r="D61" s="3428" t="s">
        <v>3280</v>
      </c>
      <c r="E61" s="3427" t="s">
        <v>3721</v>
      </c>
      <c r="F61" s="3427" t="s">
        <v>3722</v>
      </c>
      <c r="G61" s="3428" t="s">
        <v>3729</v>
      </c>
      <c r="H61" s="3427" t="s">
        <v>3247</v>
      </c>
      <c r="I61" s="3427">
        <v>116.9</v>
      </c>
    </row>
    <row r="62" spans="1:9">
      <c r="A62" s="3427">
        <v>62</v>
      </c>
      <c r="B62" s="3427" t="s">
        <v>3719</v>
      </c>
      <c r="C62" s="3427" t="s">
        <v>3720</v>
      </c>
      <c r="D62" s="3428" t="s">
        <v>3730</v>
      </c>
      <c r="E62" s="3427" t="s">
        <v>3721</v>
      </c>
      <c r="F62" s="3427" t="s">
        <v>3722</v>
      </c>
      <c r="G62" s="3428" t="s">
        <v>3731</v>
      </c>
      <c r="H62" s="3427" t="s">
        <v>3247</v>
      </c>
      <c r="I62" s="3427">
        <v>160.65</v>
      </c>
    </row>
    <row r="63" spans="1:9">
      <c r="A63" s="3427">
        <v>63</v>
      </c>
      <c r="B63" s="3427" t="s">
        <v>3719</v>
      </c>
      <c r="C63" s="3427" t="s">
        <v>3720</v>
      </c>
      <c r="D63" s="3428" t="s">
        <v>3286</v>
      </c>
      <c r="E63" s="3427" t="s">
        <v>3721</v>
      </c>
      <c r="F63" s="3427" t="s">
        <v>3722</v>
      </c>
      <c r="G63" s="3428" t="s">
        <v>3731</v>
      </c>
      <c r="H63" s="3427" t="s">
        <v>3247</v>
      </c>
      <c r="I63" s="3427">
        <v>152</v>
      </c>
    </row>
    <row r="64" spans="1:9">
      <c r="A64" s="3427">
        <v>64</v>
      </c>
      <c r="B64" s="3427" t="s">
        <v>3719</v>
      </c>
      <c r="C64" s="3427" t="s">
        <v>3720</v>
      </c>
      <c r="D64" s="3428" t="s">
        <v>3287</v>
      </c>
      <c r="E64" s="3427" t="s">
        <v>3721</v>
      </c>
      <c r="F64" s="3427" t="s">
        <v>3722</v>
      </c>
      <c r="G64" s="3428" t="s">
        <v>3731</v>
      </c>
      <c r="H64" s="3427" t="s">
        <v>3247</v>
      </c>
      <c r="I64" s="3427">
        <v>152</v>
      </c>
    </row>
    <row r="65" spans="1:9">
      <c r="A65" s="3427">
        <v>65</v>
      </c>
      <c r="B65" s="3427" t="s">
        <v>3719</v>
      </c>
      <c r="C65" s="3427" t="s">
        <v>3720</v>
      </c>
      <c r="D65" s="3428" t="s">
        <v>3288</v>
      </c>
      <c r="E65" s="3427" t="s">
        <v>3721</v>
      </c>
      <c r="F65" s="3427" t="s">
        <v>3722</v>
      </c>
      <c r="G65" s="3428" t="s">
        <v>3731</v>
      </c>
      <c r="H65" s="3427" t="s">
        <v>3247</v>
      </c>
      <c r="I65" s="3427">
        <v>152</v>
      </c>
    </row>
    <row r="66" spans="1:9">
      <c r="A66" s="3427">
        <v>66</v>
      </c>
      <c r="B66" s="3427" t="s">
        <v>3719</v>
      </c>
      <c r="C66" s="3427" t="s">
        <v>3720</v>
      </c>
      <c r="D66" s="3428" t="s">
        <v>3289</v>
      </c>
      <c r="E66" s="3427" t="s">
        <v>3721</v>
      </c>
      <c r="F66" s="3427" t="s">
        <v>3722</v>
      </c>
      <c r="G66" s="3428" t="s">
        <v>3731</v>
      </c>
      <c r="H66" s="3427" t="s">
        <v>3247</v>
      </c>
      <c r="I66" s="3427">
        <v>152</v>
      </c>
    </row>
    <row r="67" spans="1:9">
      <c r="A67" s="3427">
        <v>67</v>
      </c>
      <c r="B67" s="3427" t="s">
        <v>3719</v>
      </c>
      <c r="C67" s="3427" t="s">
        <v>3720</v>
      </c>
      <c r="D67" s="3428" t="s">
        <v>3290</v>
      </c>
      <c r="E67" s="3427" t="s">
        <v>3721</v>
      </c>
      <c r="F67" s="3427" t="s">
        <v>3722</v>
      </c>
      <c r="G67" s="3428" t="s">
        <v>3731</v>
      </c>
      <c r="H67" s="3427" t="s">
        <v>3247</v>
      </c>
      <c r="I67" s="3427">
        <v>208.31</v>
      </c>
    </row>
    <row r="68" spans="1:9">
      <c r="A68" s="3427">
        <v>68</v>
      </c>
      <c r="B68" s="3427" t="s">
        <v>3719</v>
      </c>
      <c r="C68" s="3427" t="s">
        <v>3720</v>
      </c>
      <c r="D68" s="3428" t="s">
        <v>3291</v>
      </c>
      <c r="E68" s="3427" t="s">
        <v>3721</v>
      </c>
      <c r="F68" s="3427" t="s">
        <v>3722</v>
      </c>
      <c r="G68" s="3428" t="s">
        <v>3731</v>
      </c>
      <c r="H68" s="3427" t="s">
        <v>3247</v>
      </c>
      <c r="I68" s="3427">
        <v>222.93</v>
      </c>
    </row>
    <row r="69" spans="1:9">
      <c r="A69" s="3427">
        <v>69</v>
      </c>
      <c r="B69" s="3427" t="s">
        <v>3719</v>
      </c>
      <c r="C69" s="3427" t="s">
        <v>3720</v>
      </c>
      <c r="D69" s="3428" t="s">
        <v>3292</v>
      </c>
      <c r="E69" s="3427" t="s">
        <v>3721</v>
      </c>
      <c r="F69" s="3427" t="s">
        <v>3722</v>
      </c>
      <c r="G69" s="3428" t="s">
        <v>3731</v>
      </c>
      <c r="H69" s="3427" t="s">
        <v>3247</v>
      </c>
      <c r="I69" s="3427">
        <v>152.03</v>
      </c>
    </row>
    <row r="70" spans="1:9">
      <c r="A70" s="3427">
        <v>70</v>
      </c>
      <c r="B70" s="3427" t="s">
        <v>3719</v>
      </c>
      <c r="C70" s="3427" t="s">
        <v>3720</v>
      </c>
      <c r="D70" s="3428" t="s">
        <v>3293</v>
      </c>
      <c r="E70" s="3427" t="s">
        <v>3721</v>
      </c>
      <c r="F70" s="3427" t="s">
        <v>3722</v>
      </c>
      <c r="G70" s="3428" t="s">
        <v>3731</v>
      </c>
      <c r="H70" s="3427" t="s">
        <v>3247</v>
      </c>
      <c r="I70" s="3427">
        <v>116.9</v>
      </c>
    </row>
    <row r="71" spans="1:9">
      <c r="A71" s="3427">
        <v>72</v>
      </c>
      <c r="B71" s="3427" t="s">
        <v>3719</v>
      </c>
      <c r="C71" s="3427" t="s">
        <v>3720</v>
      </c>
      <c r="D71" s="3428" t="s">
        <v>3732</v>
      </c>
      <c r="E71" s="3427" t="s">
        <v>3721</v>
      </c>
      <c r="F71" s="3427" t="s">
        <v>3722</v>
      </c>
      <c r="G71" s="3428" t="s">
        <v>3733</v>
      </c>
      <c r="H71" s="3427" t="s">
        <v>3734</v>
      </c>
      <c r="I71" s="3427">
        <v>160.65</v>
      </c>
    </row>
    <row r="72" spans="1:9">
      <c r="A72" s="3427">
        <v>73</v>
      </c>
      <c r="B72" s="3427" t="s">
        <v>3735</v>
      </c>
      <c r="C72" s="3427" t="s">
        <v>3736</v>
      </c>
      <c r="D72" s="3428" t="s">
        <v>3297</v>
      </c>
      <c r="E72" s="3427" t="s">
        <v>3737</v>
      </c>
      <c r="F72" s="3427" t="s">
        <v>3738</v>
      </c>
      <c r="G72" s="3428" t="s">
        <v>3733</v>
      </c>
      <c r="H72" s="3427" t="s">
        <v>3734</v>
      </c>
      <c r="I72" s="3427">
        <v>152</v>
      </c>
    </row>
    <row r="73" spans="1:9">
      <c r="A73" s="3427">
        <v>74</v>
      </c>
      <c r="B73" s="3427" t="s">
        <v>3735</v>
      </c>
      <c r="C73" s="3427" t="s">
        <v>3736</v>
      </c>
      <c r="D73" s="3428" t="s">
        <v>3298</v>
      </c>
      <c r="E73" s="3427" t="s">
        <v>3737</v>
      </c>
      <c r="F73" s="3427" t="s">
        <v>3738</v>
      </c>
      <c r="G73" s="3428" t="s">
        <v>3733</v>
      </c>
      <c r="H73" s="3427" t="s">
        <v>3734</v>
      </c>
      <c r="I73" s="3427">
        <v>152</v>
      </c>
    </row>
    <row r="74" spans="1:9">
      <c r="A74" s="3427">
        <v>75</v>
      </c>
      <c r="B74" s="3427" t="s">
        <v>3735</v>
      </c>
      <c r="C74" s="3427" t="s">
        <v>3736</v>
      </c>
      <c r="D74" s="3428" t="s">
        <v>3302</v>
      </c>
      <c r="E74" s="3427" t="s">
        <v>3737</v>
      </c>
      <c r="F74" s="3427" t="s">
        <v>3738</v>
      </c>
      <c r="G74" s="3428" t="s">
        <v>3733</v>
      </c>
      <c r="H74" s="3427" t="s">
        <v>3734</v>
      </c>
      <c r="I74" s="3427">
        <v>152</v>
      </c>
    </row>
    <row r="75" spans="1:9">
      <c r="A75" s="3427">
        <v>76</v>
      </c>
      <c r="B75" s="3427" t="s">
        <v>3735</v>
      </c>
      <c r="C75" s="3427" t="s">
        <v>3736</v>
      </c>
      <c r="D75" s="3428" t="s">
        <v>3303</v>
      </c>
      <c r="E75" s="3427" t="s">
        <v>3737</v>
      </c>
      <c r="F75" s="3427" t="s">
        <v>3738</v>
      </c>
      <c r="G75" s="3428" t="s">
        <v>3733</v>
      </c>
      <c r="H75" s="3427" t="s">
        <v>3734</v>
      </c>
      <c r="I75" s="3427">
        <v>152</v>
      </c>
    </row>
    <row r="76" spans="1:9">
      <c r="A76" s="3427">
        <v>77</v>
      </c>
      <c r="B76" s="3427" t="s">
        <v>3735</v>
      </c>
      <c r="C76" s="3427" t="s">
        <v>3736</v>
      </c>
      <c r="D76" s="3428" t="s">
        <v>3304</v>
      </c>
      <c r="E76" s="3427" t="s">
        <v>3737</v>
      </c>
      <c r="F76" s="3427" t="s">
        <v>3738</v>
      </c>
      <c r="G76" s="3428" t="s">
        <v>3733</v>
      </c>
      <c r="H76" s="3427" t="s">
        <v>3734</v>
      </c>
      <c r="I76" s="3427">
        <v>208.31</v>
      </c>
    </row>
    <row r="77" spans="1:9">
      <c r="A77" s="3427">
        <v>78</v>
      </c>
      <c r="B77" s="3427" t="s">
        <v>3735</v>
      </c>
      <c r="C77" s="3427" t="s">
        <v>3736</v>
      </c>
      <c r="D77" s="3428" t="s">
        <v>3305</v>
      </c>
      <c r="E77" s="3427" t="s">
        <v>3737</v>
      </c>
      <c r="F77" s="3427" t="s">
        <v>3738</v>
      </c>
      <c r="G77" s="3428" t="s">
        <v>3733</v>
      </c>
      <c r="H77" s="3427" t="s">
        <v>3734</v>
      </c>
      <c r="I77" s="3427">
        <v>222.93</v>
      </c>
    </row>
    <row r="78" spans="1:9">
      <c r="A78" s="3427">
        <v>79</v>
      </c>
      <c r="B78" s="3427" t="s">
        <v>3735</v>
      </c>
      <c r="C78" s="3427" t="s">
        <v>3736</v>
      </c>
      <c r="D78" s="3428" t="s">
        <v>3306</v>
      </c>
      <c r="E78" s="3427" t="s">
        <v>3737</v>
      </c>
      <c r="F78" s="3427" t="s">
        <v>3738</v>
      </c>
      <c r="G78" s="3428" t="s">
        <v>3733</v>
      </c>
      <c r="H78" s="3427" t="s">
        <v>3734</v>
      </c>
      <c r="I78" s="3427">
        <v>152.03</v>
      </c>
    </row>
    <row r="79" spans="1:9">
      <c r="A79" s="3427">
        <v>80</v>
      </c>
      <c r="B79" s="3427" t="s">
        <v>3735</v>
      </c>
      <c r="C79" s="3427" t="s">
        <v>3736</v>
      </c>
      <c r="D79" s="3428" t="s">
        <v>3307</v>
      </c>
      <c r="E79" s="3427" t="s">
        <v>3737</v>
      </c>
      <c r="F79" s="3427" t="s">
        <v>3738</v>
      </c>
      <c r="G79" s="3428" t="s">
        <v>3733</v>
      </c>
      <c r="H79" s="3427" t="s">
        <v>3734</v>
      </c>
      <c r="I79" s="3427">
        <v>116.9</v>
      </c>
    </row>
    <row r="80" spans="1:9">
      <c r="A80" s="3427">
        <v>82</v>
      </c>
      <c r="B80" s="3427" t="s">
        <v>3735</v>
      </c>
      <c r="C80" s="3427" t="s">
        <v>3736</v>
      </c>
      <c r="D80" s="3428" t="s">
        <v>3739</v>
      </c>
      <c r="E80" s="3427" t="s">
        <v>3737</v>
      </c>
      <c r="F80" s="3427" t="s">
        <v>3738</v>
      </c>
      <c r="G80" s="3428" t="s">
        <v>3740</v>
      </c>
      <c r="H80" s="3427" t="s">
        <v>3734</v>
      </c>
      <c r="I80" s="3427">
        <v>160.65</v>
      </c>
    </row>
    <row r="81" spans="1:9">
      <c r="A81" s="3427">
        <v>83</v>
      </c>
      <c r="B81" s="3427" t="s">
        <v>3735</v>
      </c>
      <c r="C81" s="3427" t="s">
        <v>3736</v>
      </c>
      <c r="D81" s="3428" t="s">
        <v>3312</v>
      </c>
      <c r="E81" s="3427" t="s">
        <v>3737</v>
      </c>
      <c r="F81" s="3427" t="s">
        <v>3738</v>
      </c>
      <c r="G81" s="3428" t="s">
        <v>3740</v>
      </c>
      <c r="H81" s="3427" t="s">
        <v>3734</v>
      </c>
      <c r="I81" s="3427">
        <v>152</v>
      </c>
    </row>
    <row r="82" spans="1:9">
      <c r="A82" s="3427">
        <v>84</v>
      </c>
      <c r="B82" s="3427" t="s">
        <v>3735</v>
      </c>
      <c r="C82" s="3427" t="s">
        <v>3736</v>
      </c>
      <c r="D82" s="3428" t="s">
        <v>3313</v>
      </c>
      <c r="E82" s="3427" t="s">
        <v>3737</v>
      </c>
      <c r="F82" s="3427" t="s">
        <v>3738</v>
      </c>
      <c r="G82" s="3428" t="s">
        <v>3740</v>
      </c>
      <c r="H82" s="3427" t="s">
        <v>3734</v>
      </c>
      <c r="I82" s="3427">
        <v>152</v>
      </c>
    </row>
    <row r="83" spans="1:9">
      <c r="A83" s="3427">
        <v>85</v>
      </c>
      <c r="B83" s="3427" t="s">
        <v>3735</v>
      </c>
      <c r="C83" s="3427" t="s">
        <v>3736</v>
      </c>
      <c r="D83" s="3428" t="s">
        <v>3314</v>
      </c>
      <c r="E83" s="3427" t="s">
        <v>3737</v>
      </c>
      <c r="F83" s="3427" t="s">
        <v>3738</v>
      </c>
      <c r="G83" s="3428" t="s">
        <v>3740</v>
      </c>
      <c r="H83" s="3427" t="s">
        <v>3734</v>
      </c>
      <c r="I83" s="3427">
        <v>152</v>
      </c>
    </row>
    <row r="84" spans="1:9">
      <c r="A84" s="3427">
        <v>86</v>
      </c>
      <c r="B84" s="3427" t="s">
        <v>3735</v>
      </c>
      <c r="C84" s="3427" t="s">
        <v>3736</v>
      </c>
      <c r="D84" s="3428" t="s">
        <v>3315</v>
      </c>
      <c r="E84" s="3427" t="s">
        <v>3737</v>
      </c>
      <c r="F84" s="3427" t="s">
        <v>3738</v>
      </c>
      <c r="G84" s="3428" t="s">
        <v>3740</v>
      </c>
      <c r="H84" s="3427" t="s">
        <v>3734</v>
      </c>
      <c r="I84" s="3427">
        <v>152</v>
      </c>
    </row>
    <row r="85" spans="1:9">
      <c r="A85" s="3427">
        <v>87</v>
      </c>
      <c r="B85" s="3427" t="s">
        <v>3735</v>
      </c>
      <c r="C85" s="3427" t="s">
        <v>3736</v>
      </c>
      <c r="D85" s="3428" t="s">
        <v>3316</v>
      </c>
      <c r="E85" s="3427" t="s">
        <v>3737</v>
      </c>
      <c r="F85" s="3427" t="s">
        <v>3738</v>
      </c>
      <c r="G85" s="3428" t="s">
        <v>3740</v>
      </c>
      <c r="H85" s="3427" t="s">
        <v>3734</v>
      </c>
      <c r="I85" s="3427">
        <v>208.31</v>
      </c>
    </row>
    <row r="86" spans="1:9">
      <c r="A86" s="3427">
        <v>88</v>
      </c>
      <c r="B86" s="3427" t="s">
        <v>3735</v>
      </c>
      <c r="C86" s="3427" t="s">
        <v>3736</v>
      </c>
      <c r="D86" s="3428" t="s">
        <v>3317</v>
      </c>
      <c r="E86" s="3427" t="s">
        <v>3737</v>
      </c>
      <c r="F86" s="3427" t="s">
        <v>3738</v>
      </c>
      <c r="G86" s="3428" t="s">
        <v>3740</v>
      </c>
      <c r="H86" s="3427" t="s">
        <v>3734</v>
      </c>
      <c r="I86" s="3427">
        <v>222.93</v>
      </c>
    </row>
    <row r="87" spans="1:9">
      <c r="A87" s="3427">
        <v>89</v>
      </c>
      <c r="B87" s="3427" t="s">
        <v>3735</v>
      </c>
      <c r="C87" s="3427" t="s">
        <v>3736</v>
      </c>
      <c r="D87" s="3428" t="s">
        <v>3318</v>
      </c>
      <c r="E87" s="3427" t="s">
        <v>3737</v>
      </c>
      <c r="F87" s="3427" t="s">
        <v>3738</v>
      </c>
      <c r="G87" s="3428" t="s">
        <v>3740</v>
      </c>
      <c r="H87" s="3427" t="s">
        <v>3734</v>
      </c>
      <c r="I87" s="3427">
        <v>152.03</v>
      </c>
    </row>
    <row r="88" spans="1:9">
      <c r="A88" s="3427">
        <v>90</v>
      </c>
      <c r="B88" s="3427" t="s">
        <v>3735</v>
      </c>
      <c r="C88" s="3427" t="s">
        <v>3736</v>
      </c>
      <c r="D88" s="3428" t="s">
        <v>3319</v>
      </c>
      <c r="E88" s="3427" t="s">
        <v>3737</v>
      </c>
      <c r="F88" s="3427" t="s">
        <v>3738</v>
      </c>
      <c r="G88" s="3428" t="s">
        <v>3740</v>
      </c>
      <c r="H88" s="3427" t="s">
        <v>3734</v>
      </c>
      <c r="I88" s="3427">
        <v>116.9</v>
      </c>
    </row>
    <row r="89" spans="1:9">
      <c r="A89" s="3427">
        <v>92</v>
      </c>
      <c r="B89" s="3427" t="s">
        <v>3735</v>
      </c>
      <c r="C89" s="3427" t="s">
        <v>3736</v>
      </c>
      <c r="D89" s="3428" t="s">
        <v>3741</v>
      </c>
      <c r="E89" s="3427" t="s">
        <v>3737</v>
      </c>
      <c r="F89" s="3427" t="s">
        <v>3738</v>
      </c>
      <c r="G89" s="3428" t="s">
        <v>3742</v>
      </c>
      <c r="H89" s="3427" t="s">
        <v>3734</v>
      </c>
      <c r="I89" s="3427">
        <v>160.65</v>
      </c>
    </row>
    <row r="90" spans="1:9">
      <c r="A90" s="3427">
        <v>93</v>
      </c>
      <c r="B90" s="3427" t="s">
        <v>3735</v>
      </c>
      <c r="C90" s="3427" t="s">
        <v>3736</v>
      </c>
      <c r="D90" s="3428" t="s">
        <v>3325</v>
      </c>
      <c r="E90" s="3427" t="s">
        <v>3737</v>
      </c>
      <c r="F90" s="3427" t="s">
        <v>3738</v>
      </c>
      <c r="G90" s="3428" t="s">
        <v>3742</v>
      </c>
      <c r="H90" s="3427" t="s">
        <v>3734</v>
      </c>
      <c r="I90" s="3427">
        <v>152</v>
      </c>
    </row>
    <row r="91" spans="1:9">
      <c r="A91" s="3427">
        <v>94</v>
      </c>
      <c r="B91" s="3427" t="s">
        <v>3735</v>
      </c>
      <c r="C91" s="3427" t="s">
        <v>3736</v>
      </c>
      <c r="D91" s="3428" t="s">
        <v>3326</v>
      </c>
      <c r="E91" s="3427" t="s">
        <v>3737</v>
      </c>
      <c r="F91" s="3427" t="s">
        <v>3738</v>
      </c>
      <c r="G91" s="3428" t="s">
        <v>3742</v>
      </c>
      <c r="H91" s="3427" t="s">
        <v>3734</v>
      </c>
      <c r="I91" s="3427">
        <v>152</v>
      </c>
    </row>
    <row r="92" spans="1:9">
      <c r="A92" s="3427">
        <v>95</v>
      </c>
      <c r="B92" s="3427" t="s">
        <v>3735</v>
      </c>
      <c r="C92" s="3427" t="s">
        <v>3736</v>
      </c>
      <c r="D92" s="3428" t="s">
        <v>3327</v>
      </c>
      <c r="E92" s="3427" t="s">
        <v>3737</v>
      </c>
      <c r="F92" s="3427" t="s">
        <v>3738</v>
      </c>
      <c r="G92" s="3428" t="s">
        <v>3742</v>
      </c>
      <c r="H92" s="3427" t="s">
        <v>3734</v>
      </c>
      <c r="I92" s="3427">
        <v>152</v>
      </c>
    </row>
    <row r="93" spans="1:9">
      <c r="A93" s="3427">
        <v>96</v>
      </c>
      <c r="B93" s="3427" t="s">
        <v>3735</v>
      </c>
      <c r="C93" s="3427" t="s">
        <v>3736</v>
      </c>
      <c r="D93" s="3428" t="s">
        <v>3328</v>
      </c>
      <c r="E93" s="3427" t="s">
        <v>3737</v>
      </c>
      <c r="F93" s="3427" t="s">
        <v>3738</v>
      </c>
      <c r="G93" s="3428" t="s">
        <v>3742</v>
      </c>
      <c r="H93" s="3427" t="s">
        <v>3734</v>
      </c>
      <c r="I93" s="3427">
        <v>152</v>
      </c>
    </row>
    <row r="94" spans="1:9">
      <c r="A94" s="3427">
        <v>97</v>
      </c>
      <c r="B94" s="3427" t="s">
        <v>3735</v>
      </c>
      <c r="C94" s="3427" t="s">
        <v>3736</v>
      </c>
      <c r="D94" s="3428" t="s">
        <v>3329</v>
      </c>
      <c r="E94" s="3427" t="s">
        <v>3737</v>
      </c>
      <c r="F94" s="3427" t="s">
        <v>3738</v>
      </c>
      <c r="G94" s="3428" t="s">
        <v>3742</v>
      </c>
      <c r="H94" s="3427" t="s">
        <v>3734</v>
      </c>
      <c r="I94" s="3427">
        <v>208.31</v>
      </c>
    </row>
    <row r="95" spans="1:9">
      <c r="A95" s="3427">
        <v>98</v>
      </c>
      <c r="B95" s="3427" t="s">
        <v>3735</v>
      </c>
      <c r="C95" s="3427" t="s">
        <v>3736</v>
      </c>
      <c r="D95" s="3428" t="s">
        <v>3330</v>
      </c>
      <c r="E95" s="3427" t="s">
        <v>3737</v>
      </c>
      <c r="F95" s="3427" t="s">
        <v>3738</v>
      </c>
      <c r="G95" s="3428" t="s">
        <v>3742</v>
      </c>
      <c r="H95" s="3427" t="s">
        <v>3734</v>
      </c>
      <c r="I95" s="3427">
        <v>222.93</v>
      </c>
    </row>
    <row r="96" spans="1:9">
      <c r="A96" s="3427">
        <v>99</v>
      </c>
      <c r="B96" s="3427" t="s">
        <v>3735</v>
      </c>
      <c r="C96" s="3427" t="s">
        <v>3736</v>
      </c>
      <c r="D96" s="3428" t="s">
        <v>3331</v>
      </c>
      <c r="E96" s="3427" t="s">
        <v>3737</v>
      </c>
      <c r="F96" s="3427" t="s">
        <v>3738</v>
      </c>
      <c r="G96" s="3428" t="s">
        <v>3742</v>
      </c>
      <c r="H96" s="3427" t="s">
        <v>3734</v>
      </c>
      <c r="I96" s="3427">
        <v>152.03</v>
      </c>
    </row>
    <row r="97" spans="1:9">
      <c r="A97" s="3427">
        <v>100</v>
      </c>
      <c r="B97" s="3427" t="s">
        <v>3735</v>
      </c>
      <c r="C97" s="3427" t="s">
        <v>3736</v>
      </c>
      <c r="D97" s="3428" t="s">
        <v>3332</v>
      </c>
      <c r="E97" s="3427" t="s">
        <v>3737</v>
      </c>
      <c r="F97" s="3427" t="s">
        <v>3738</v>
      </c>
      <c r="G97" s="3428" t="s">
        <v>3742</v>
      </c>
      <c r="H97" s="3427" t="s">
        <v>3734</v>
      </c>
      <c r="I97" s="3427">
        <v>116.9</v>
      </c>
    </row>
    <row r="98" spans="1:9">
      <c r="A98" s="3427">
        <v>102</v>
      </c>
      <c r="B98" s="3427" t="s">
        <v>3735</v>
      </c>
      <c r="C98" s="3427" t="s">
        <v>3736</v>
      </c>
      <c r="D98" s="3428" t="s">
        <v>3743</v>
      </c>
      <c r="E98" s="3427" t="s">
        <v>3737</v>
      </c>
      <c r="F98" s="3427" t="s">
        <v>3738</v>
      </c>
      <c r="G98" s="3428" t="s">
        <v>3744</v>
      </c>
      <c r="H98" s="3427" t="s">
        <v>3247</v>
      </c>
      <c r="I98" s="3427">
        <v>160.65</v>
      </c>
    </row>
    <row r="99" spans="1:9">
      <c r="A99" s="3427">
        <v>103</v>
      </c>
      <c r="B99" s="3427" t="s">
        <v>3719</v>
      </c>
      <c r="C99" s="3427" t="s">
        <v>3720</v>
      </c>
      <c r="D99" s="3428" t="s">
        <v>3337</v>
      </c>
      <c r="E99" s="3427" t="s">
        <v>3721</v>
      </c>
      <c r="F99" s="3427" t="s">
        <v>3722</v>
      </c>
      <c r="G99" s="3428" t="s">
        <v>3744</v>
      </c>
      <c r="H99" s="3427" t="s">
        <v>3247</v>
      </c>
      <c r="I99" s="3427">
        <v>152</v>
      </c>
    </row>
    <row r="100" spans="1:9">
      <c r="A100" s="3427">
        <v>104</v>
      </c>
      <c r="B100" s="3427" t="s">
        <v>3719</v>
      </c>
      <c r="C100" s="3427" t="s">
        <v>3720</v>
      </c>
      <c r="D100" s="3428" t="s">
        <v>3338</v>
      </c>
      <c r="E100" s="3427" t="s">
        <v>3721</v>
      </c>
      <c r="F100" s="3427" t="s">
        <v>3722</v>
      </c>
      <c r="G100" s="3428" t="s">
        <v>3744</v>
      </c>
      <c r="H100" s="3427" t="s">
        <v>3247</v>
      </c>
      <c r="I100" s="3427">
        <v>152</v>
      </c>
    </row>
    <row r="101" spans="1:9">
      <c r="A101" s="3427">
        <v>105</v>
      </c>
      <c r="B101" s="3427" t="s">
        <v>3719</v>
      </c>
      <c r="C101" s="3427" t="s">
        <v>3720</v>
      </c>
      <c r="D101" s="3428" t="s">
        <v>3339</v>
      </c>
      <c r="E101" s="3427" t="s">
        <v>3721</v>
      </c>
      <c r="F101" s="3427" t="s">
        <v>3722</v>
      </c>
      <c r="G101" s="3428" t="s">
        <v>3744</v>
      </c>
      <c r="H101" s="3427" t="s">
        <v>3247</v>
      </c>
      <c r="I101" s="3427">
        <v>152</v>
      </c>
    </row>
    <row r="102" spans="1:9">
      <c r="A102" s="3427">
        <v>106</v>
      </c>
      <c r="B102" s="3427" t="s">
        <v>3719</v>
      </c>
      <c r="C102" s="3427" t="s">
        <v>3720</v>
      </c>
      <c r="D102" s="3428" t="s">
        <v>3340</v>
      </c>
      <c r="E102" s="3427" t="s">
        <v>3721</v>
      </c>
      <c r="F102" s="3427" t="s">
        <v>3722</v>
      </c>
      <c r="G102" s="3428" t="s">
        <v>3744</v>
      </c>
      <c r="H102" s="3427" t="s">
        <v>3247</v>
      </c>
      <c r="I102" s="3427">
        <v>152</v>
      </c>
    </row>
    <row r="103" spans="1:9">
      <c r="A103" s="3427">
        <v>107</v>
      </c>
      <c r="B103" s="3427" t="s">
        <v>3719</v>
      </c>
      <c r="C103" s="3427" t="s">
        <v>3720</v>
      </c>
      <c r="D103" s="3428" t="s">
        <v>3341</v>
      </c>
      <c r="E103" s="3427" t="s">
        <v>3721</v>
      </c>
      <c r="F103" s="3427" t="s">
        <v>3722</v>
      </c>
      <c r="G103" s="3428" t="s">
        <v>3744</v>
      </c>
      <c r="H103" s="3427" t="s">
        <v>3247</v>
      </c>
      <c r="I103" s="3427">
        <v>208.31</v>
      </c>
    </row>
    <row r="104" spans="1:9">
      <c r="A104" s="3427">
        <v>108</v>
      </c>
      <c r="B104" s="3427" t="s">
        <v>3719</v>
      </c>
      <c r="C104" s="3427" t="s">
        <v>3720</v>
      </c>
      <c r="D104" s="3428" t="s">
        <v>3342</v>
      </c>
      <c r="E104" s="3427" t="s">
        <v>3721</v>
      </c>
      <c r="F104" s="3427" t="s">
        <v>3722</v>
      </c>
      <c r="G104" s="3428" t="s">
        <v>3744</v>
      </c>
      <c r="H104" s="3427" t="s">
        <v>3247</v>
      </c>
      <c r="I104" s="3427">
        <v>222.93</v>
      </c>
    </row>
    <row r="105" spans="1:9">
      <c r="A105" s="3427">
        <v>109</v>
      </c>
      <c r="B105" s="3427" t="s">
        <v>3719</v>
      </c>
      <c r="C105" s="3427" t="s">
        <v>3720</v>
      </c>
      <c r="D105" s="3428" t="s">
        <v>3343</v>
      </c>
      <c r="E105" s="3427" t="s">
        <v>3721</v>
      </c>
      <c r="F105" s="3427" t="s">
        <v>3722</v>
      </c>
      <c r="G105" s="3428" t="s">
        <v>3744</v>
      </c>
      <c r="H105" s="3427" t="s">
        <v>3247</v>
      </c>
      <c r="I105" s="3427">
        <v>152.03</v>
      </c>
    </row>
    <row r="106" spans="1:9">
      <c r="A106" s="3427">
        <v>110</v>
      </c>
      <c r="B106" s="3427" t="s">
        <v>3719</v>
      </c>
      <c r="C106" s="3427" t="s">
        <v>3720</v>
      </c>
      <c r="D106" s="3428" t="s">
        <v>3344</v>
      </c>
      <c r="E106" s="3427" t="s">
        <v>3721</v>
      </c>
      <c r="F106" s="3427" t="s">
        <v>3722</v>
      </c>
      <c r="G106" s="3428" t="s">
        <v>3744</v>
      </c>
      <c r="H106" s="3427" t="s">
        <v>3247</v>
      </c>
      <c r="I106" s="3427">
        <v>116.9</v>
      </c>
    </row>
    <row r="107" spans="1:9">
      <c r="A107" s="3427">
        <v>112</v>
      </c>
      <c r="B107" s="3427" t="s">
        <v>3719</v>
      </c>
      <c r="C107" s="3427" t="s">
        <v>3720</v>
      </c>
      <c r="D107" s="3428" t="s">
        <v>3745</v>
      </c>
      <c r="E107" s="3427" t="s">
        <v>3721</v>
      </c>
      <c r="F107" s="3427" t="s">
        <v>3722</v>
      </c>
      <c r="G107" s="3428" t="s">
        <v>3746</v>
      </c>
      <c r="H107" s="3427" t="s">
        <v>3247</v>
      </c>
      <c r="I107" s="3427">
        <v>160.65</v>
      </c>
    </row>
    <row r="108" spans="1:9">
      <c r="A108" s="3427">
        <v>113</v>
      </c>
      <c r="B108" s="3427" t="s">
        <v>3719</v>
      </c>
      <c r="C108" s="3427" t="s">
        <v>3720</v>
      </c>
      <c r="D108" s="3428" t="s">
        <v>3349</v>
      </c>
      <c r="E108" s="3427" t="s">
        <v>3721</v>
      </c>
      <c r="F108" s="3427" t="s">
        <v>3722</v>
      </c>
      <c r="G108" s="3428" t="s">
        <v>3746</v>
      </c>
      <c r="H108" s="3427" t="s">
        <v>3247</v>
      </c>
      <c r="I108" s="3427">
        <v>152</v>
      </c>
    </row>
    <row r="109" spans="1:9">
      <c r="A109" s="3427">
        <v>114</v>
      </c>
      <c r="B109" s="3427" t="s">
        <v>3719</v>
      </c>
      <c r="C109" s="3427" t="s">
        <v>3720</v>
      </c>
      <c r="D109" s="3428" t="s">
        <v>3350</v>
      </c>
      <c r="E109" s="3427" t="s">
        <v>3721</v>
      </c>
      <c r="F109" s="3427" t="s">
        <v>3722</v>
      </c>
      <c r="G109" s="3428" t="s">
        <v>3746</v>
      </c>
      <c r="H109" s="3427" t="s">
        <v>3247</v>
      </c>
      <c r="I109" s="3427">
        <v>152</v>
      </c>
    </row>
    <row r="110" spans="1:9">
      <c r="A110" s="3427">
        <v>115</v>
      </c>
      <c r="B110" s="3427" t="s">
        <v>3719</v>
      </c>
      <c r="C110" s="3427" t="s">
        <v>3720</v>
      </c>
      <c r="D110" s="3428" t="s">
        <v>3351</v>
      </c>
      <c r="E110" s="3427" t="s">
        <v>3721</v>
      </c>
      <c r="F110" s="3427" t="s">
        <v>3722</v>
      </c>
      <c r="G110" s="3428" t="s">
        <v>3746</v>
      </c>
      <c r="H110" s="3427" t="s">
        <v>3247</v>
      </c>
      <c r="I110" s="3427">
        <v>152</v>
      </c>
    </row>
    <row r="111" spans="1:9">
      <c r="A111" s="3427">
        <v>116</v>
      </c>
      <c r="B111" s="3427" t="s">
        <v>3719</v>
      </c>
      <c r="C111" s="3427" t="s">
        <v>3720</v>
      </c>
      <c r="D111" s="3428" t="s">
        <v>3352</v>
      </c>
      <c r="E111" s="3427" t="s">
        <v>3721</v>
      </c>
      <c r="F111" s="3427" t="s">
        <v>3722</v>
      </c>
      <c r="G111" s="3428" t="s">
        <v>3746</v>
      </c>
      <c r="H111" s="3427" t="s">
        <v>3247</v>
      </c>
      <c r="I111" s="3427">
        <v>152</v>
      </c>
    </row>
    <row r="112" spans="1:9">
      <c r="A112" s="3427">
        <v>117</v>
      </c>
      <c r="B112" s="3427" t="s">
        <v>3719</v>
      </c>
      <c r="C112" s="3427" t="s">
        <v>3720</v>
      </c>
      <c r="D112" s="3428" t="s">
        <v>3353</v>
      </c>
      <c r="E112" s="3427" t="s">
        <v>3721</v>
      </c>
      <c r="F112" s="3427" t="s">
        <v>3722</v>
      </c>
      <c r="G112" s="3428" t="s">
        <v>3746</v>
      </c>
      <c r="H112" s="3427" t="s">
        <v>3247</v>
      </c>
      <c r="I112" s="3427">
        <v>208.31</v>
      </c>
    </row>
    <row r="113" spans="1:9">
      <c r="A113" s="3427">
        <v>118</v>
      </c>
      <c r="B113" s="3427" t="s">
        <v>3719</v>
      </c>
      <c r="C113" s="3427" t="s">
        <v>3720</v>
      </c>
      <c r="D113" s="3428" t="s">
        <v>3354</v>
      </c>
      <c r="E113" s="3427" t="s">
        <v>3721</v>
      </c>
      <c r="F113" s="3427" t="s">
        <v>3722</v>
      </c>
      <c r="G113" s="3428" t="s">
        <v>3746</v>
      </c>
      <c r="H113" s="3427" t="s">
        <v>3247</v>
      </c>
      <c r="I113" s="3427">
        <v>222.93</v>
      </c>
    </row>
    <row r="114" spans="1:9">
      <c r="A114" s="3427">
        <v>119</v>
      </c>
      <c r="B114" s="3427" t="s">
        <v>3719</v>
      </c>
      <c r="C114" s="3427" t="s">
        <v>3720</v>
      </c>
      <c r="D114" s="3428" t="s">
        <v>3355</v>
      </c>
      <c r="E114" s="3427" t="s">
        <v>3721</v>
      </c>
      <c r="F114" s="3427" t="s">
        <v>3722</v>
      </c>
      <c r="G114" s="3428" t="s">
        <v>3746</v>
      </c>
      <c r="H114" s="3427" t="s">
        <v>3247</v>
      </c>
      <c r="I114" s="3427">
        <v>152.03</v>
      </c>
    </row>
    <row r="115" spans="1:9">
      <c r="A115" s="3427">
        <v>120</v>
      </c>
      <c r="B115" s="3427" t="s">
        <v>3719</v>
      </c>
      <c r="C115" s="3427" t="s">
        <v>3720</v>
      </c>
      <c r="D115" s="3428" t="s">
        <v>3356</v>
      </c>
      <c r="E115" s="3427" t="s">
        <v>3721</v>
      </c>
      <c r="F115" s="3427" t="s">
        <v>3722</v>
      </c>
      <c r="G115" s="3428" t="s">
        <v>3746</v>
      </c>
      <c r="H115" s="3427" t="s">
        <v>3247</v>
      </c>
      <c r="I115" s="3427">
        <v>116.9</v>
      </c>
    </row>
    <row r="116" spans="1:9">
      <c r="A116" s="3427"/>
      <c r="B116" s="3427" t="s">
        <v>3747</v>
      </c>
      <c r="C116" s="3427"/>
      <c r="D116" s="3428"/>
      <c r="E116" s="3427"/>
      <c r="F116" s="3427"/>
      <c r="G116" s="3428"/>
      <c r="H116" s="3427"/>
      <c r="I116" s="3427">
        <f>SUM(I16:I115)</f>
        <v>16188.979999999998</v>
      </c>
    </row>
    <row r="117" spans="1:9" s="3432" customFormat="1">
      <c r="A117" s="3430">
        <v>1</v>
      </c>
      <c r="B117" s="3430" t="s">
        <v>3748</v>
      </c>
      <c r="C117" s="3430" t="s">
        <v>3749</v>
      </c>
      <c r="D117" s="3431" t="s">
        <v>3750</v>
      </c>
      <c r="E117" s="3430" t="s">
        <v>3237</v>
      </c>
      <c r="F117" s="3430" t="s">
        <v>3186</v>
      </c>
      <c r="G117" s="3431" t="s">
        <v>3717</v>
      </c>
      <c r="H117" s="3430" t="s">
        <v>3188</v>
      </c>
      <c r="I117" s="3430">
        <v>5960.53</v>
      </c>
    </row>
    <row r="118" spans="1:9" s="3432" customFormat="1">
      <c r="A118" s="3430">
        <v>2</v>
      </c>
      <c r="B118" s="3430" t="s">
        <v>3182</v>
      </c>
      <c r="C118" s="3430" t="s">
        <v>3183</v>
      </c>
      <c r="D118" s="3431" t="s">
        <v>3189</v>
      </c>
      <c r="E118" s="3430" t="s">
        <v>3237</v>
      </c>
      <c r="F118" s="3430" t="s">
        <v>3186</v>
      </c>
      <c r="G118" s="3431" t="s">
        <v>3717</v>
      </c>
      <c r="H118" s="3430" t="s">
        <v>3188</v>
      </c>
      <c r="I118" s="3430">
        <v>2831.2</v>
      </c>
    </row>
    <row r="119" spans="1:9" s="3432" customFormat="1">
      <c r="A119" s="3430">
        <v>3</v>
      </c>
      <c r="B119" s="3430" t="s">
        <v>3182</v>
      </c>
      <c r="C119" s="3430" t="s">
        <v>3183</v>
      </c>
      <c r="D119" s="3431" t="s">
        <v>3190</v>
      </c>
      <c r="E119" s="3430" t="s">
        <v>3237</v>
      </c>
      <c r="F119" s="3430" t="s">
        <v>3186</v>
      </c>
      <c r="G119" s="3431" t="s">
        <v>3717</v>
      </c>
      <c r="H119" s="3430" t="s">
        <v>3188</v>
      </c>
      <c r="I119" s="3430">
        <v>973.41</v>
      </c>
    </row>
    <row r="120" spans="1:9" s="3432" customFormat="1">
      <c r="A120" s="3430">
        <v>5</v>
      </c>
      <c r="B120" s="3430" t="s">
        <v>3182</v>
      </c>
      <c r="C120" s="3430" t="s">
        <v>3183</v>
      </c>
      <c r="D120" s="3431" t="s">
        <v>3751</v>
      </c>
      <c r="E120" s="3430" t="s">
        <v>3237</v>
      </c>
      <c r="F120" s="3430" t="s">
        <v>3186</v>
      </c>
      <c r="G120" s="3431" t="s">
        <v>3198</v>
      </c>
      <c r="H120" s="3430" t="s">
        <v>3188</v>
      </c>
      <c r="I120" s="3430">
        <v>8925.85</v>
      </c>
    </row>
    <row r="121" spans="1:9" s="3432" customFormat="1">
      <c r="A121" s="3430">
        <v>6</v>
      </c>
      <c r="B121" s="3430" t="s">
        <v>3182</v>
      </c>
      <c r="C121" s="3430" t="s">
        <v>3183</v>
      </c>
      <c r="D121" s="3431" t="s">
        <v>3752</v>
      </c>
      <c r="E121" s="3430" t="s">
        <v>3721</v>
      </c>
      <c r="F121" s="3430" t="s">
        <v>3753</v>
      </c>
      <c r="G121" s="3431" t="s">
        <v>3754</v>
      </c>
      <c r="H121" s="3430" t="s">
        <v>3755</v>
      </c>
      <c r="I121" s="3430">
        <v>1999.18</v>
      </c>
    </row>
    <row r="122" spans="1:9" s="3432" customFormat="1">
      <c r="A122" s="3430">
        <v>7</v>
      </c>
      <c r="B122" s="3430" t="s">
        <v>3748</v>
      </c>
      <c r="C122" s="3430" t="s">
        <v>3749</v>
      </c>
      <c r="D122" s="3431" t="s">
        <v>3756</v>
      </c>
      <c r="E122" s="3430" t="s">
        <v>3721</v>
      </c>
      <c r="F122" s="3430" t="s">
        <v>3753</v>
      </c>
      <c r="G122" s="3431" t="s">
        <v>3757</v>
      </c>
      <c r="H122" s="3430" t="s">
        <v>3755</v>
      </c>
      <c r="I122" s="3430">
        <v>8965.7800000000007</v>
      </c>
    </row>
    <row r="123" spans="1:9" s="3432" customFormat="1">
      <c r="A123" s="3430">
        <v>8</v>
      </c>
      <c r="B123" s="3430" t="s">
        <v>3748</v>
      </c>
      <c r="C123" s="3430" t="s">
        <v>3749</v>
      </c>
      <c r="D123" s="3431" t="s">
        <v>3758</v>
      </c>
      <c r="E123" s="3430" t="s">
        <v>3721</v>
      </c>
      <c r="F123" s="3430" t="s">
        <v>3753</v>
      </c>
      <c r="G123" s="3431" t="s">
        <v>3757</v>
      </c>
      <c r="H123" s="3430" t="s">
        <v>3755</v>
      </c>
      <c r="I123" s="3430">
        <v>1991.5</v>
      </c>
    </row>
    <row r="124" spans="1:9" s="3432" customFormat="1">
      <c r="A124" s="3430">
        <v>10</v>
      </c>
      <c r="B124" s="3430" t="s">
        <v>3748</v>
      </c>
      <c r="C124" s="3430" t="s">
        <v>3749</v>
      </c>
      <c r="D124" s="3431" t="s">
        <v>3759</v>
      </c>
      <c r="E124" s="3430" t="s">
        <v>3721</v>
      </c>
      <c r="F124" s="3430" t="s">
        <v>3753</v>
      </c>
      <c r="G124" s="3431" t="s">
        <v>3760</v>
      </c>
      <c r="H124" s="3430" t="s">
        <v>3755</v>
      </c>
      <c r="I124" s="3430">
        <v>10095.84</v>
      </c>
    </row>
    <row r="125" spans="1:9">
      <c r="A125" s="3427">
        <v>122</v>
      </c>
      <c r="B125" s="3427" t="s">
        <v>3748</v>
      </c>
      <c r="C125" s="3427" t="s">
        <v>3749</v>
      </c>
      <c r="D125" s="3428" t="s">
        <v>3761</v>
      </c>
      <c r="E125" s="3427" t="s">
        <v>3721</v>
      </c>
      <c r="F125" s="3427" t="s">
        <v>3753</v>
      </c>
      <c r="G125" s="3428" t="s">
        <v>3762</v>
      </c>
      <c r="H125" s="3427" t="s">
        <v>3763</v>
      </c>
      <c r="I125" s="3427">
        <v>21.37</v>
      </c>
    </row>
    <row r="126" spans="1:9">
      <c r="A126" s="3427">
        <v>123</v>
      </c>
      <c r="B126" s="3427" t="s">
        <v>3748</v>
      </c>
      <c r="C126" s="3427" t="s">
        <v>3749</v>
      </c>
      <c r="D126" s="3428" t="s">
        <v>3364</v>
      </c>
      <c r="E126" s="3427" t="s">
        <v>3721</v>
      </c>
      <c r="F126" s="3427" t="s">
        <v>3753</v>
      </c>
      <c r="G126" s="3428" t="s">
        <v>3762</v>
      </c>
      <c r="H126" s="3427" t="s">
        <v>3763</v>
      </c>
      <c r="I126" s="3427">
        <v>7.56</v>
      </c>
    </row>
    <row r="127" spans="1:9">
      <c r="A127" s="3427">
        <v>124</v>
      </c>
      <c r="B127" s="3427" t="s">
        <v>3748</v>
      </c>
      <c r="C127" s="3427" t="s">
        <v>3749</v>
      </c>
      <c r="D127" s="3428" t="s">
        <v>3365</v>
      </c>
      <c r="E127" s="3427" t="s">
        <v>3721</v>
      </c>
      <c r="F127" s="3427" t="s">
        <v>3753</v>
      </c>
      <c r="G127" s="3428" t="s">
        <v>3762</v>
      </c>
      <c r="H127" s="3427" t="s">
        <v>3763</v>
      </c>
      <c r="I127" s="3427">
        <v>36.07</v>
      </c>
    </row>
    <row r="128" spans="1:9">
      <c r="A128" s="3427">
        <v>125</v>
      </c>
      <c r="B128" s="3427" t="s">
        <v>3748</v>
      </c>
      <c r="C128" s="3427" t="s">
        <v>3749</v>
      </c>
      <c r="D128" s="3428" t="s">
        <v>3366</v>
      </c>
      <c r="E128" s="3427" t="s">
        <v>3721</v>
      </c>
      <c r="F128" s="3427" t="s">
        <v>3753</v>
      </c>
      <c r="G128" s="3428" t="s">
        <v>3762</v>
      </c>
      <c r="H128" s="3427" t="s">
        <v>3763</v>
      </c>
      <c r="I128" s="3427">
        <v>21.25</v>
      </c>
    </row>
    <row r="129" spans="1:9">
      <c r="A129" s="3427">
        <v>126</v>
      </c>
      <c r="B129" s="3427" t="s">
        <v>3748</v>
      </c>
      <c r="C129" s="3427" t="s">
        <v>3749</v>
      </c>
      <c r="D129" s="3428" t="s">
        <v>3367</v>
      </c>
      <c r="E129" s="3427" t="s">
        <v>3721</v>
      </c>
      <c r="F129" s="3427" t="s">
        <v>3753</v>
      </c>
      <c r="G129" s="3428" t="s">
        <v>3762</v>
      </c>
      <c r="H129" s="3427" t="s">
        <v>3763</v>
      </c>
      <c r="I129" s="3427">
        <v>57.48</v>
      </c>
    </row>
    <row r="130" spans="1:9">
      <c r="A130" s="3427">
        <v>127</v>
      </c>
      <c r="B130" s="3427" t="s">
        <v>3748</v>
      </c>
      <c r="C130" s="3427" t="s">
        <v>3749</v>
      </c>
      <c r="D130" s="3428" t="s">
        <v>3368</v>
      </c>
      <c r="E130" s="3427" t="s">
        <v>3721</v>
      </c>
      <c r="F130" s="3427" t="s">
        <v>3753</v>
      </c>
      <c r="G130" s="3428" t="s">
        <v>3762</v>
      </c>
      <c r="H130" s="3427" t="s">
        <v>3763</v>
      </c>
      <c r="I130" s="3427">
        <v>50.19</v>
      </c>
    </row>
    <row r="131" spans="1:9">
      <c r="A131" s="3427">
        <v>128</v>
      </c>
      <c r="B131" s="3427" t="s">
        <v>3748</v>
      </c>
      <c r="C131" s="3427" t="s">
        <v>3749</v>
      </c>
      <c r="D131" s="3428" t="s">
        <v>3369</v>
      </c>
      <c r="E131" s="3427" t="s">
        <v>3721</v>
      </c>
      <c r="F131" s="3427" t="s">
        <v>3753</v>
      </c>
      <c r="G131" s="3428" t="s">
        <v>3762</v>
      </c>
      <c r="H131" s="3427" t="s">
        <v>3763</v>
      </c>
      <c r="I131" s="3427">
        <v>6828.51</v>
      </c>
    </row>
    <row r="132" spans="1:9">
      <c r="A132" s="3427">
        <v>129</v>
      </c>
      <c r="B132" s="3427" t="s">
        <v>3748</v>
      </c>
      <c r="C132" s="3427" t="s">
        <v>3749</v>
      </c>
      <c r="D132" s="3428" t="s">
        <v>3370</v>
      </c>
      <c r="E132" s="3427" t="s">
        <v>3721</v>
      </c>
      <c r="F132" s="3427" t="s">
        <v>3753</v>
      </c>
      <c r="G132" s="3428" t="s">
        <v>3762</v>
      </c>
      <c r="H132" s="3427" t="s">
        <v>3764</v>
      </c>
      <c r="I132" s="3427">
        <v>1940.16</v>
      </c>
    </row>
    <row r="133" spans="1:9">
      <c r="A133" s="3427">
        <v>130</v>
      </c>
      <c r="B133" s="3427" t="s">
        <v>3748</v>
      </c>
      <c r="C133" s="3427" t="s">
        <v>3749</v>
      </c>
      <c r="D133" s="3428" t="s">
        <v>3372</v>
      </c>
      <c r="E133" s="3427" t="s">
        <v>3721</v>
      </c>
      <c r="F133" s="3427" t="s">
        <v>3753</v>
      </c>
      <c r="G133" s="3428" t="s">
        <v>3762</v>
      </c>
      <c r="H133" s="3427" t="s">
        <v>3763</v>
      </c>
      <c r="I133" s="3427">
        <v>69.25</v>
      </c>
    </row>
    <row r="134" spans="1:9">
      <c r="A134" s="3427">
        <v>131</v>
      </c>
      <c r="B134" s="3427" t="s">
        <v>3748</v>
      </c>
      <c r="C134" s="3427" t="s">
        <v>3749</v>
      </c>
      <c r="D134" s="3428" t="s">
        <v>3373</v>
      </c>
      <c r="E134" s="3427" t="s">
        <v>3721</v>
      </c>
      <c r="F134" s="3427" t="s">
        <v>3753</v>
      </c>
      <c r="G134" s="3428" t="s">
        <v>3762</v>
      </c>
      <c r="H134" s="3427" t="s">
        <v>3763</v>
      </c>
      <c r="I134" s="3427">
        <v>48.56</v>
      </c>
    </row>
    <row r="135" spans="1:9">
      <c r="A135" s="3427">
        <v>132</v>
      </c>
      <c r="B135" s="3427" t="s">
        <v>3748</v>
      </c>
      <c r="C135" s="3427" t="s">
        <v>3749</v>
      </c>
      <c r="D135" s="3428" t="s">
        <v>3374</v>
      </c>
      <c r="E135" s="3427" t="s">
        <v>3721</v>
      </c>
      <c r="F135" s="3427" t="s">
        <v>3753</v>
      </c>
      <c r="G135" s="3428" t="s">
        <v>3762</v>
      </c>
      <c r="H135" s="3427" t="s">
        <v>3763</v>
      </c>
      <c r="I135" s="3427">
        <v>48.56</v>
      </c>
    </row>
    <row r="136" spans="1:9">
      <c r="A136" s="3427">
        <v>133</v>
      </c>
      <c r="B136" s="3427" t="s">
        <v>3748</v>
      </c>
      <c r="C136" s="3427" t="s">
        <v>3749</v>
      </c>
      <c r="D136" s="3428" t="s">
        <v>3375</v>
      </c>
      <c r="E136" s="3427" t="s">
        <v>3721</v>
      </c>
      <c r="F136" s="3427" t="s">
        <v>3753</v>
      </c>
      <c r="G136" s="3428" t="s">
        <v>3762</v>
      </c>
      <c r="H136" s="3427" t="s">
        <v>3763</v>
      </c>
      <c r="I136" s="3427">
        <v>47.76</v>
      </c>
    </row>
    <row r="137" spans="1:9">
      <c r="A137" s="3427">
        <v>134</v>
      </c>
      <c r="B137" s="3427" t="s">
        <v>3748</v>
      </c>
      <c r="C137" s="3427" t="s">
        <v>3749</v>
      </c>
      <c r="D137" s="3428" t="s">
        <v>3376</v>
      </c>
      <c r="E137" s="3427" t="s">
        <v>3721</v>
      </c>
      <c r="F137" s="3427" t="s">
        <v>3753</v>
      </c>
      <c r="G137" s="3428" t="s">
        <v>3762</v>
      </c>
      <c r="H137" s="3427" t="s">
        <v>3763</v>
      </c>
      <c r="I137" s="3427">
        <v>53.68</v>
      </c>
    </row>
    <row r="138" spans="1:9">
      <c r="A138" s="3427">
        <v>135</v>
      </c>
      <c r="B138" s="3427" t="s">
        <v>3748</v>
      </c>
      <c r="C138" s="3427" t="s">
        <v>3749</v>
      </c>
      <c r="D138" s="3428" t="s">
        <v>3377</v>
      </c>
      <c r="E138" s="3427" t="s">
        <v>3721</v>
      </c>
      <c r="F138" s="3427" t="s">
        <v>3753</v>
      </c>
      <c r="G138" s="3428" t="s">
        <v>3762</v>
      </c>
      <c r="H138" s="3427" t="s">
        <v>3763</v>
      </c>
      <c r="I138" s="3427">
        <v>53.68</v>
      </c>
    </row>
    <row r="139" spans="1:9">
      <c r="A139" s="3427">
        <v>136</v>
      </c>
      <c r="B139" s="3427" t="s">
        <v>3748</v>
      </c>
      <c r="C139" s="3427" t="s">
        <v>3749</v>
      </c>
      <c r="D139" s="3428" t="s">
        <v>3378</v>
      </c>
      <c r="E139" s="3427" t="s">
        <v>3721</v>
      </c>
      <c r="F139" s="3427" t="s">
        <v>3753</v>
      </c>
      <c r="G139" s="3428" t="s">
        <v>3762</v>
      </c>
      <c r="H139" s="3427" t="s">
        <v>3763</v>
      </c>
      <c r="I139" s="3427">
        <v>53.68</v>
      </c>
    </row>
    <row r="140" spans="1:9">
      <c r="A140" s="3427">
        <v>137</v>
      </c>
      <c r="B140" s="3427" t="s">
        <v>3748</v>
      </c>
      <c r="C140" s="3427" t="s">
        <v>3749</v>
      </c>
      <c r="D140" s="3428" t="s">
        <v>3379</v>
      </c>
      <c r="E140" s="3427" t="s">
        <v>3721</v>
      </c>
      <c r="F140" s="3427" t="s">
        <v>3753</v>
      </c>
      <c r="G140" s="3428" t="s">
        <v>3762</v>
      </c>
      <c r="H140" s="3427" t="s">
        <v>3763</v>
      </c>
      <c r="I140" s="3427">
        <v>53.68</v>
      </c>
    </row>
    <row r="141" spans="1:9">
      <c r="A141" s="3427">
        <v>138</v>
      </c>
      <c r="B141" s="3427" t="s">
        <v>3748</v>
      </c>
      <c r="C141" s="3427" t="s">
        <v>3749</v>
      </c>
      <c r="D141" s="3428" t="s">
        <v>3380</v>
      </c>
      <c r="E141" s="3427" t="s">
        <v>3721</v>
      </c>
      <c r="F141" s="3427" t="s">
        <v>3753</v>
      </c>
      <c r="G141" s="3428" t="s">
        <v>3762</v>
      </c>
      <c r="H141" s="3427" t="s">
        <v>3763</v>
      </c>
      <c r="I141" s="3427">
        <v>47.55</v>
      </c>
    </row>
    <row r="142" spans="1:9">
      <c r="A142" s="3427">
        <v>139</v>
      </c>
      <c r="B142" s="3427" t="s">
        <v>3748</v>
      </c>
      <c r="C142" s="3427" t="s">
        <v>3749</v>
      </c>
      <c r="D142" s="3428" t="s">
        <v>3381</v>
      </c>
      <c r="E142" s="3427" t="s">
        <v>3721</v>
      </c>
      <c r="F142" s="3427" t="s">
        <v>3753</v>
      </c>
      <c r="G142" s="3428" t="s">
        <v>3762</v>
      </c>
      <c r="H142" s="3427" t="s">
        <v>3763</v>
      </c>
      <c r="I142" s="3427">
        <v>54.7</v>
      </c>
    </row>
    <row r="143" spans="1:9">
      <c r="A143" s="3427">
        <v>140</v>
      </c>
      <c r="B143" s="3427" t="s">
        <v>3748</v>
      </c>
      <c r="C143" s="3427" t="s">
        <v>3749</v>
      </c>
      <c r="D143" s="3428" t="s">
        <v>3765</v>
      </c>
      <c r="E143" s="3427" t="s">
        <v>3721</v>
      </c>
      <c r="F143" s="3427" t="s">
        <v>3753</v>
      </c>
      <c r="G143" s="3428" t="s">
        <v>3766</v>
      </c>
      <c r="H143" s="3427" t="s">
        <v>3763</v>
      </c>
      <c r="I143" s="3427">
        <v>21.21</v>
      </c>
    </row>
    <row r="144" spans="1:9">
      <c r="A144" s="3427">
        <v>141</v>
      </c>
      <c r="B144" s="3427" t="s">
        <v>3748</v>
      </c>
      <c r="C144" s="3427" t="s">
        <v>3749</v>
      </c>
      <c r="D144" s="3428" t="s">
        <v>3384</v>
      </c>
      <c r="E144" s="3427" t="s">
        <v>3721</v>
      </c>
      <c r="F144" s="3427" t="s">
        <v>3753</v>
      </c>
      <c r="G144" s="3428" t="s">
        <v>3766</v>
      </c>
      <c r="H144" s="3427" t="s">
        <v>3763</v>
      </c>
      <c r="I144" s="3427">
        <v>46.3</v>
      </c>
    </row>
    <row r="145" spans="1:9">
      <c r="A145" s="3427">
        <v>142</v>
      </c>
      <c r="B145" s="3427" t="s">
        <v>3748</v>
      </c>
      <c r="C145" s="3427" t="s">
        <v>3749</v>
      </c>
      <c r="D145" s="3428" t="s">
        <v>3385</v>
      </c>
      <c r="E145" s="3427" t="s">
        <v>3721</v>
      </c>
      <c r="F145" s="3427" t="s">
        <v>3753</v>
      </c>
      <c r="G145" s="3428" t="s">
        <v>3766</v>
      </c>
      <c r="H145" s="3427" t="s">
        <v>3763</v>
      </c>
      <c r="I145" s="3427">
        <v>37.840000000000003</v>
      </c>
    </row>
    <row r="146" spans="1:9">
      <c r="A146" s="3427">
        <v>143</v>
      </c>
      <c r="B146" s="3427" t="s">
        <v>3748</v>
      </c>
      <c r="C146" s="3427" t="s">
        <v>3749</v>
      </c>
      <c r="D146" s="3428" t="s">
        <v>3386</v>
      </c>
      <c r="E146" s="3427" t="s">
        <v>3721</v>
      </c>
      <c r="F146" s="3427" t="s">
        <v>3753</v>
      </c>
      <c r="G146" s="3428" t="s">
        <v>3766</v>
      </c>
      <c r="H146" s="3427" t="s">
        <v>3763</v>
      </c>
      <c r="I146" s="3427">
        <v>50.82</v>
      </c>
    </row>
    <row r="147" spans="1:9">
      <c r="A147" s="3427">
        <v>144</v>
      </c>
      <c r="B147" s="3427" t="s">
        <v>3748</v>
      </c>
      <c r="C147" s="3427" t="s">
        <v>3749</v>
      </c>
      <c r="D147" s="3428" t="s">
        <v>3387</v>
      </c>
      <c r="E147" s="3427" t="s">
        <v>3721</v>
      </c>
      <c r="F147" s="3427" t="s">
        <v>3753</v>
      </c>
      <c r="G147" s="3428" t="s">
        <v>3766</v>
      </c>
      <c r="H147" s="3427" t="s">
        <v>3763</v>
      </c>
      <c r="I147" s="3427">
        <v>1951.24</v>
      </c>
    </row>
    <row r="148" spans="1:9">
      <c r="A148" s="3427">
        <v>145</v>
      </c>
      <c r="B148" s="3427" t="s">
        <v>3748</v>
      </c>
      <c r="C148" s="3427" t="s">
        <v>3749</v>
      </c>
      <c r="D148" s="3428" t="s">
        <v>3767</v>
      </c>
      <c r="E148" s="3427" t="s">
        <v>3721</v>
      </c>
      <c r="F148" s="3427" t="s">
        <v>3753</v>
      </c>
      <c r="G148" s="3428" t="s">
        <v>3768</v>
      </c>
      <c r="H148" s="3427" t="s">
        <v>3763</v>
      </c>
      <c r="I148" s="3427">
        <v>179.13</v>
      </c>
    </row>
    <row r="149" spans="1:9">
      <c r="A149" s="3427">
        <v>146</v>
      </c>
      <c r="B149" s="3427" t="s">
        <v>3748</v>
      </c>
      <c r="C149" s="3427" t="s">
        <v>3749</v>
      </c>
      <c r="D149" s="3428" t="s">
        <v>3390</v>
      </c>
      <c r="E149" s="3427" t="s">
        <v>3721</v>
      </c>
      <c r="F149" s="3427" t="s">
        <v>3753</v>
      </c>
      <c r="G149" s="3428" t="s">
        <v>3768</v>
      </c>
      <c r="H149" s="3427" t="s">
        <v>3763</v>
      </c>
      <c r="I149" s="3427">
        <v>21.21</v>
      </c>
    </row>
    <row r="150" spans="1:9">
      <c r="A150" s="3427">
        <v>147</v>
      </c>
      <c r="B150" s="3427" t="s">
        <v>3748</v>
      </c>
      <c r="C150" s="3427" t="s">
        <v>3749</v>
      </c>
      <c r="D150" s="3428" t="s">
        <v>3391</v>
      </c>
      <c r="E150" s="3427" t="s">
        <v>3721</v>
      </c>
      <c r="F150" s="3427" t="s">
        <v>3753</v>
      </c>
      <c r="G150" s="3428" t="s">
        <v>3768</v>
      </c>
      <c r="H150" s="3427" t="s">
        <v>3763</v>
      </c>
      <c r="I150" s="3427">
        <v>49.91</v>
      </c>
    </row>
    <row r="151" spans="1:9">
      <c r="A151" s="3427">
        <v>148</v>
      </c>
      <c r="B151" s="3427" t="s">
        <v>3748</v>
      </c>
      <c r="C151" s="3427" t="s">
        <v>3749</v>
      </c>
      <c r="D151" s="3428" t="s">
        <v>3392</v>
      </c>
      <c r="E151" s="3427" t="s">
        <v>3721</v>
      </c>
      <c r="F151" s="3427" t="s">
        <v>3753</v>
      </c>
      <c r="G151" s="3428" t="s">
        <v>3768</v>
      </c>
      <c r="H151" s="3427" t="s">
        <v>3763</v>
      </c>
      <c r="I151" s="3427">
        <v>2544.79</v>
      </c>
    </row>
    <row r="152" spans="1:9">
      <c r="A152" s="3427"/>
      <c r="B152" s="3427" t="s">
        <v>3769</v>
      </c>
      <c r="C152" s="3427"/>
      <c r="D152" s="3428"/>
      <c r="E152" s="3427"/>
      <c r="F152" s="3427"/>
      <c r="G152" s="3428"/>
      <c r="H152" s="3427"/>
      <c r="I152" s="3427">
        <f>SUM(I117:I151)</f>
        <v>56139.43</v>
      </c>
    </row>
    <row r="153" spans="1:9">
      <c r="A153" s="3427"/>
      <c r="B153" s="3427" t="s">
        <v>3770</v>
      </c>
      <c r="C153" s="3427"/>
      <c r="D153" s="3428"/>
      <c r="E153" s="3427"/>
      <c r="F153" s="3427"/>
      <c r="G153" s="3428"/>
      <c r="H153" s="3427"/>
      <c r="I153" s="3427">
        <f>SUM(I152,I116,I15)</f>
        <v>89988.24</v>
      </c>
    </row>
    <row r="155" spans="1:9">
      <c r="D155" s="3429"/>
      <c r="G155" s="3429"/>
    </row>
    <row r="156" spans="1:9">
      <c r="A156" s="3427" t="s">
        <v>3771</v>
      </c>
      <c r="B156" s="3427">
        <f>SUM(I117,I118,I119,I16)</f>
        <v>9797.0999999999985</v>
      </c>
      <c r="C156" s="3430" t="s">
        <v>3772</v>
      </c>
      <c r="D156" s="3430">
        <f>389</f>
        <v>389</v>
      </c>
      <c r="E156" s="3427"/>
      <c r="G156" s="3429"/>
    </row>
    <row r="157" spans="1:9">
      <c r="A157" s="3427" t="s">
        <v>3405</v>
      </c>
      <c r="B157" s="3427">
        <f>SUM(I120:I121)</f>
        <v>10925.03</v>
      </c>
      <c r="C157" s="3430" t="s">
        <v>3773</v>
      </c>
      <c r="D157" s="3430">
        <f>I16</f>
        <v>31.96</v>
      </c>
      <c r="E157" s="3427"/>
      <c r="G157" s="3429"/>
    </row>
    <row r="158" spans="1:9">
      <c r="A158" s="3427" t="s">
        <v>3406</v>
      </c>
      <c r="B158" s="3427">
        <f>SUM(I122:I123)</f>
        <v>10957.28</v>
      </c>
      <c r="C158" s="3430" t="s">
        <v>3774</v>
      </c>
      <c r="D158" s="3430">
        <f>I117+I118+I119+I120+I121+I122+I123+I124</f>
        <v>41743.289999999994</v>
      </c>
      <c r="E158" s="3427"/>
      <c r="G158" s="3429"/>
    </row>
    <row r="159" spans="1:9">
      <c r="A159" s="3427" t="s">
        <v>3407</v>
      </c>
      <c r="B159" s="3427">
        <f>SUM(I124,I2)</f>
        <v>11174.07</v>
      </c>
      <c r="C159" s="3430"/>
      <c r="D159" s="3430"/>
      <c r="E159" s="3427"/>
      <c r="G159" s="3429"/>
    </row>
    <row r="160" spans="1:9">
      <c r="A160" s="3427" t="s">
        <v>3775</v>
      </c>
      <c r="B160" s="3427">
        <f>SUM(I17:I115)</f>
        <v>16157.019999999999</v>
      </c>
      <c r="C160" s="3430" t="s">
        <v>3775</v>
      </c>
      <c r="D160" s="3430">
        <f>SUM(I17:I115)</f>
        <v>16157.019999999999</v>
      </c>
      <c r="G160" s="3429"/>
    </row>
    <row r="161" spans="1:9">
      <c r="A161" s="3427" t="s">
        <v>3776</v>
      </c>
      <c r="B161" s="3427">
        <f>SUM(I3:I13)</f>
        <v>15880.590000000004</v>
      </c>
      <c r="C161" s="3430" t="s">
        <v>3776</v>
      </c>
      <c r="D161" s="3430">
        <f>SUM(I2:I13)-D156</f>
        <v>16569.820000000003</v>
      </c>
      <c r="G161" s="3429"/>
    </row>
    <row r="162" spans="1:9">
      <c r="A162" s="3427" t="s">
        <v>3777</v>
      </c>
      <c r="B162" s="3427">
        <f>SUM(I125:I151,I14)-B163</f>
        <v>13156.989999999996</v>
      </c>
      <c r="C162" s="3430" t="s">
        <v>3777</v>
      </c>
      <c r="D162" s="3430">
        <f>SUM(I125:I151,I14)-B163</f>
        <v>13156.989999999996</v>
      </c>
      <c r="G162" s="3429"/>
    </row>
    <row r="163" spans="1:9">
      <c r="A163" s="3427" t="s">
        <v>3778</v>
      </c>
      <c r="B163" s="3427">
        <f>I132</f>
        <v>1940.16</v>
      </c>
      <c r="C163" s="3430" t="s">
        <v>3778</v>
      </c>
      <c r="D163" s="3430">
        <f>I132</f>
        <v>1940.16</v>
      </c>
      <c r="G163" s="3429"/>
    </row>
    <row r="164" spans="1:9">
      <c r="A164" s="3427" t="s">
        <v>3779</v>
      </c>
      <c r="B164" s="3427">
        <f>SUM(B156:B163)</f>
        <v>89988.239999999991</v>
      </c>
      <c r="C164" s="3430" t="s">
        <v>3779</v>
      </c>
      <c r="D164" s="3430">
        <f>SUM(D156:D163)</f>
        <v>89988.239999999991</v>
      </c>
      <c r="E164" s="3433"/>
      <c r="F164" s="3433"/>
      <c r="G164" s="3433"/>
      <c r="H164" s="3433"/>
      <c r="I164" s="3433"/>
    </row>
    <row r="165" spans="1:9">
      <c r="A165" s="3433"/>
      <c r="B165" s="3433"/>
      <c r="C165" s="3433"/>
      <c r="D165" s="3433"/>
      <c r="E165" s="3433"/>
      <c r="F165" s="3433"/>
      <c r="G165" s="3433"/>
      <c r="H165" s="3433"/>
      <c r="I165" s="3433"/>
    </row>
    <row r="166" spans="1:9">
      <c r="A166" s="3433"/>
      <c r="B166" s="3433"/>
      <c r="C166" s="3433"/>
      <c r="D166" s="3433"/>
      <c r="E166" s="3433"/>
      <c r="F166" s="3433"/>
      <c r="G166" s="3433"/>
      <c r="H166" s="3433"/>
      <c r="I166" s="3433"/>
    </row>
    <row r="167" spans="1:9">
      <c r="A167" s="3434"/>
      <c r="B167" s="3434" t="s">
        <v>3411</v>
      </c>
      <c r="C167" s="3434" t="s">
        <v>3412</v>
      </c>
      <c r="D167" s="3434" t="s">
        <v>3413</v>
      </c>
      <c r="E167" s="3434" t="s">
        <v>3780</v>
      </c>
      <c r="F167" s="3434" t="s">
        <v>3414</v>
      </c>
      <c r="G167" s="3434" t="s">
        <v>3415</v>
      </c>
      <c r="H167" s="3434" t="s">
        <v>3781</v>
      </c>
      <c r="I167" s="3434" t="s">
        <v>3782</v>
      </c>
    </row>
    <row r="168" spans="1:9">
      <c r="A168" s="3434" t="s">
        <v>3416</v>
      </c>
      <c r="B168" s="3434">
        <v>1</v>
      </c>
      <c r="C168" s="3434">
        <f>B156</f>
        <v>9797.0999999999985</v>
      </c>
      <c r="D168" s="3435">
        <v>3903.57</v>
      </c>
      <c r="E168" s="3435">
        <f>C168-D168</f>
        <v>5893.5299999999988</v>
      </c>
      <c r="F168" s="3436">
        <v>1713899.0261666665</v>
      </c>
      <c r="G168" s="3437">
        <v>14.635312685282674</v>
      </c>
      <c r="H168" s="3437">
        <v>8.02</v>
      </c>
      <c r="I168" s="3437">
        <v>14</v>
      </c>
    </row>
    <row r="169" spans="1:9">
      <c r="A169" s="3434" t="s">
        <v>3408</v>
      </c>
      <c r="B169" s="3434">
        <v>0.6</v>
      </c>
      <c r="C169" s="3434">
        <f>B157</f>
        <v>10925.03</v>
      </c>
      <c r="D169" s="3435">
        <v>11050</v>
      </c>
      <c r="E169" s="3435">
        <v>0</v>
      </c>
      <c r="F169" s="3437">
        <v>731009.43125000002</v>
      </c>
      <c r="G169" s="3437">
        <v>2.2051566553544495</v>
      </c>
      <c r="H169" s="3437"/>
      <c r="I169" s="3437">
        <f>$I$168*B169</f>
        <v>8.4</v>
      </c>
    </row>
    <row r="170" spans="1:9">
      <c r="A170" s="3434" t="s">
        <v>3409</v>
      </c>
      <c r="B170" s="3434">
        <v>0.5</v>
      </c>
      <c r="C170" s="3434">
        <f>B158</f>
        <v>10957.28</v>
      </c>
      <c r="D170" s="3435">
        <v>10989.5</v>
      </c>
      <c r="E170" s="3435">
        <v>0</v>
      </c>
      <c r="F170" s="3437">
        <v>663600.43124999991</v>
      </c>
      <c r="G170" s="3437">
        <v>2.0128317371126982</v>
      </c>
      <c r="H170" s="3437"/>
      <c r="I170" s="3437">
        <f>$I$168*B170</f>
        <v>7</v>
      </c>
    </row>
    <row r="171" spans="1:9">
      <c r="A171" s="3434" t="s">
        <v>3410</v>
      </c>
      <c r="B171" s="3434">
        <v>0.45</v>
      </c>
      <c r="C171" s="3434">
        <f>B159</f>
        <v>11174.07</v>
      </c>
      <c r="D171" s="3435">
        <v>4255.2</v>
      </c>
      <c r="E171" s="3435">
        <f>C171-D171</f>
        <v>6918.87</v>
      </c>
      <c r="F171" s="3436">
        <v>860742.125</v>
      </c>
      <c r="G171" s="3437">
        <v>6.7426687738923361</v>
      </c>
      <c r="H171" s="3437"/>
      <c r="I171" s="3437">
        <f>$I$168*B171</f>
        <v>6.3</v>
      </c>
    </row>
    <row r="172" spans="1:9">
      <c r="C172" s="3434">
        <f>SUM(C168:C171)</f>
        <v>42853.479999999996</v>
      </c>
      <c r="D172" s="3434">
        <f>SUM(D168:D171)</f>
        <v>30198.27</v>
      </c>
      <c r="E172" s="3435">
        <f>SUM(E168:E171)</f>
        <v>12812.399999999998</v>
      </c>
      <c r="F172" s="3436"/>
      <c r="G172" s="3437">
        <f>ROUND(SUMPRODUCT(D168:D171,G168:G171)/SUM(D168:D171),2)</f>
        <v>4.38</v>
      </c>
      <c r="H172" s="3437"/>
      <c r="I172" s="3437">
        <f>ROUND(SUMPRODUCT(C168:C171,I168:I171)/SUM(C168:C171),2)</f>
        <v>8.77</v>
      </c>
    </row>
    <row r="173" spans="1:9">
      <c r="B173" s="3429">
        <f>ROUND(SUMPRODUCT(C168:C171,B168:B171)/SUM(C168:C171),2)</f>
        <v>0.63</v>
      </c>
      <c r="C173" s="3429">
        <f>[1]结果表!G20</f>
        <v>37984</v>
      </c>
      <c r="D173" s="3429"/>
      <c r="G173" s="3429"/>
    </row>
    <row r="174" spans="1:9">
      <c r="C174" s="3429">
        <f>C173/B173</f>
        <v>60292.063492063491</v>
      </c>
      <c r="D174" s="3429"/>
      <c r="G174" s="3429"/>
    </row>
    <row r="175" spans="1:9">
      <c r="D175" s="3429"/>
      <c r="G175" s="3429"/>
    </row>
  </sheetData>
  <autoFilter ref="A1:S1">
    <sortState ref="A2:Q150">
      <sortCondition ref="C1"/>
    </sortState>
  </autoFilter>
  <phoneticPr fontId="14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3173</v>
      </c>
      <c r="B1" s="2997" t="s">
        <v>3676</v>
      </c>
      <c r="C1" s="2997" t="s">
        <v>3175</v>
      </c>
      <c r="D1" s="2998" t="s">
        <v>3176</v>
      </c>
      <c r="E1" s="2997" t="s">
        <v>3177</v>
      </c>
      <c r="F1" s="2997" t="s">
        <v>3178</v>
      </c>
      <c r="G1" s="2998" t="s">
        <v>3179</v>
      </c>
      <c r="H1" s="2997" t="s">
        <v>3180</v>
      </c>
      <c r="I1" s="2997" t="s">
        <v>3181</v>
      </c>
    </row>
    <row r="2" spans="1:11">
      <c r="A2" s="2997">
        <v>9</v>
      </c>
      <c r="B2" s="2997" t="s">
        <v>3225</v>
      </c>
      <c r="C2" s="2997" t="s">
        <v>3205</v>
      </c>
      <c r="D2" s="2998" t="s">
        <v>3206</v>
      </c>
      <c r="E2" s="2997" t="s">
        <v>3122</v>
      </c>
      <c r="F2" s="2997" t="s">
        <v>3194</v>
      </c>
      <c r="G2" s="2998" t="s">
        <v>1028</v>
      </c>
      <c r="H2" s="2997" t="s">
        <v>3195</v>
      </c>
      <c r="I2" s="2997">
        <v>1078.23</v>
      </c>
    </row>
    <row r="3" spans="1:11">
      <c r="A3" s="2997">
        <v>11</v>
      </c>
      <c r="B3" s="2997" t="s">
        <v>3204</v>
      </c>
      <c r="C3" s="2997" t="s">
        <v>3205</v>
      </c>
      <c r="D3" s="2998" t="s">
        <v>3209</v>
      </c>
      <c r="E3" s="2997" t="s">
        <v>3122</v>
      </c>
      <c r="F3" s="2997" t="s">
        <v>3194</v>
      </c>
      <c r="G3" s="2998" t="s">
        <v>3210</v>
      </c>
      <c r="H3" s="2997" t="s">
        <v>3195</v>
      </c>
      <c r="I3" s="2997">
        <v>1443.69</v>
      </c>
    </row>
    <row r="4" spans="1:11">
      <c r="A4" s="2997">
        <v>21</v>
      </c>
      <c r="B4" s="2997" t="s">
        <v>3225</v>
      </c>
      <c r="C4" s="2997" t="s">
        <v>3205</v>
      </c>
      <c r="D4" s="2998" t="s">
        <v>3227</v>
      </c>
      <c r="E4" s="2997" t="s">
        <v>3217</v>
      </c>
      <c r="F4" s="2997" t="s">
        <v>3218</v>
      </c>
      <c r="G4" s="2998" t="s">
        <v>3228</v>
      </c>
      <c r="H4" s="2997" t="s">
        <v>3220</v>
      </c>
      <c r="I4" s="2997">
        <v>1443.69</v>
      </c>
    </row>
    <row r="5" spans="1:11">
      <c r="A5" s="2997">
        <v>31</v>
      </c>
      <c r="B5" s="2997" t="s">
        <v>3241</v>
      </c>
      <c r="C5" s="2997" t="s">
        <v>3205</v>
      </c>
      <c r="D5" s="2998" t="s">
        <v>3243</v>
      </c>
      <c r="E5" s="2997" t="s">
        <v>3122</v>
      </c>
      <c r="F5" s="2997" t="s">
        <v>3218</v>
      </c>
      <c r="G5" s="2998" t="s">
        <v>3246</v>
      </c>
      <c r="H5" s="2997" t="s">
        <v>3195</v>
      </c>
      <c r="I5" s="2997">
        <v>1443.69</v>
      </c>
    </row>
    <row r="6" spans="1:11">
      <c r="A6" s="2997">
        <v>41</v>
      </c>
      <c r="B6" s="2997" t="s">
        <v>3225</v>
      </c>
      <c r="C6" s="2997" t="s">
        <v>3205</v>
      </c>
      <c r="D6" s="2998" t="s">
        <v>3259</v>
      </c>
      <c r="E6" s="2997" t="s">
        <v>3217</v>
      </c>
      <c r="F6" s="2997" t="s">
        <v>3218</v>
      </c>
      <c r="G6" s="2998" t="s">
        <v>3260</v>
      </c>
      <c r="H6" s="2997" t="s">
        <v>3220</v>
      </c>
      <c r="I6" s="2997">
        <v>1443.69</v>
      </c>
    </row>
    <row r="7" spans="1:11">
      <c r="A7" s="2997">
        <v>51</v>
      </c>
      <c r="B7" s="2997" t="s">
        <v>3225</v>
      </c>
      <c r="C7" s="2997" t="s">
        <v>3205</v>
      </c>
      <c r="D7" s="2998" t="s">
        <v>3270</v>
      </c>
      <c r="E7" s="2997" t="s">
        <v>3122</v>
      </c>
      <c r="F7" s="2997" t="s">
        <v>3218</v>
      </c>
      <c r="G7" s="2998" t="s">
        <v>3271</v>
      </c>
      <c r="H7" s="2997" t="s">
        <v>3195</v>
      </c>
      <c r="I7" s="2997">
        <v>1443.69</v>
      </c>
    </row>
    <row r="8" spans="1:11">
      <c r="A8" s="2997">
        <v>61</v>
      </c>
      <c r="B8" s="2997" t="s">
        <v>3225</v>
      </c>
      <c r="C8" s="2997" t="s">
        <v>3282</v>
      </c>
      <c r="D8" s="2998" t="s">
        <v>3283</v>
      </c>
      <c r="E8" s="2997" t="s">
        <v>3217</v>
      </c>
      <c r="F8" s="2997" t="s">
        <v>3218</v>
      </c>
      <c r="G8" s="2998" t="s">
        <v>3284</v>
      </c>
      <c r="H8" s="2997" t="s">
        <v>3220</v>
      </c>
      <c r="I8" s="2997">
        <v>1443.69</v>
      </c>
      <c r="J8" s="3004"/>
      <c r="K8" s="3004"/>
    </row>
    <row r="9" spans="1:11">
      <c r="A9" s="2997">
        <v>71</v>
      </c>
      <c r="B9" s="2997" t="s">
        <v>3225</v>
      </c>
      <c r="C9" s="2997" t="s">
        <v>3205</v>
      </c>
      <c r="D9" s="2998" t="s">
        <v>3294</v>
      </c>
      <c r="E9" s="2997" t="s">
        <v>3217</v>
      </c>
      <c r="F9" s="2997" t="s">
        <v>3218</v>
      </c>
      <c r="G9" s="2998" t="s">
        <v>3295</v>
      </c>
      <c r="H9" s="2997" t="s">
        <v>3220</v>
      </c>
      <c r="I9" s="2997">
        <v>1443.69</v>
      </c>
    </row>
    <row r="10" spans="1:11">
      <c r="A10" s="2997">
        <v>81</v>
      </c>
      <c r="B10" s="2997" t="s">
        <v>3241</v>
      </c>
      <c r="C10" s="2997" t="s">
        <v>3205</v>
      </c>
      <c r="D10" s="2998" t="s">
        <v>3308</v>
      </c>
      <c r="E10" s="2997" t="s">
        <v>3237</v>
      </c>
      <c r="F10" s="2997" t="s">
        <v>3218</v>
      </c>
      <c r="G10" s="2998" t="s">
        <v>3309</v>
      </c>
      <c r="H10" s="2997" t="s">
        <v>3195</v>
      </c>
      <c r="I10" s="2997">
        <v>1443.69</v>
      </c>
    </row>
    <row r="11" spans="1:11">
      <c r="A11" s="2997">
        <v>91</v>
      </c>
      <c r="B11" s="2997" t="s">
        <v>3225</v>
      </c>
      <c r="C11" s="2997" t="s">
        <v>3205</v>
      </c>
      <c r="D11" s="2998" t="s">
        <v>3321</v>
      </c>
      <c r="E11" s="2997" t="s">
        <v>3217</v>
      </c>
      <c r="F11" s="2997" t="s">
        <v>3218</v>
      </c>
      <c r="G11" s="2998" t="s">
        <v>3322</v>
      </c>
      <c r="H11" s="2997" t="s">
        <v>3220</v>
      </c>
      <c r="I11" s="2997">
        <v>1443.69</v>
      </c>
    </row>
    <row r="12" spans="1:11">
      <c r="A12" s="2997">
        <v>101</v>
      </c>
      <c r="B12" s="2997" t="s">
        <v>3225</v>
      </c>
      <c r="C12" s="2997" t="s">
        <v>3205</v>
      </c>
      <c r="D12" s="2998" t="s">
        <v>3333</v>
      </c>
      <c r="E12" s="2997" t="s">
        <v>3217</v>
      </c>
      <c r="F12" s="2997" t="s">
        <v>3218</v>
      </c>
      <c r="G12" s="2998" t="s">
        <v>3334</v>
      </c>
      <c r="H12" s="2997" t="s">
        <v>3220</v>
      </c>
      <c r="I12" s="2997">
        <v>1443.69</v>
      </c>
    </row>
    <row r="13" spans="1:11">
      <c r="A13" s="2997">
        <v>111</v>
      </c>
      <c r="B13" s="2997" t="s">
        <v>3225</v>
      </c>
      <c r="C13" s="2997" t="s">
        <v>3205</v>
      </c>
      <c r="D13" s="2998" t="s">
        <v>3345</v>
      </c>
      <c r="E13" s="2997" t="s">
        <v>3217</v>
      </c>
      <c r="F13" s="2997" t="s">
        <v>3218</v>
      </c>
      <c r="G13" s="2998" t="s">
        <v>3346</v>
      </c>
      <c r="H13" s="2997" t="s">
        <v>3220</v>
      </c>
      <c r="I13" s="2997">
        <v>1443.69</v>
      </c>
    </row>
    <row r="14" spans="1:11">
      <c r="A14" s="2997">
        <v>121</v>
      </c>
      <c r="B14" s="2997" t="s">
        <v>3225</v>
      </c>
      <c r="C14" s="2997" t="s">
        <v>3205</v>
      </c>
      <c r="D14" s="2998" t="s">
        <v>3357</v>
      </c>
      <c r="E14" s="2997" t="s">
        <v>3217</v>
      </c>
      <c r="F14" s="2997" t="s">
        <v>3218</v>
      </c>
      <c r="G14" s="2998" t="s">
        <v>3358</v>
      </c>
      <c r="H14" s="2997" t="s">
        <v>3359</v>
      </c>
      <c r="I14" s="2997">
        <v>701.01</v>
      </c>
    </row>
    <row r="15" spans="1:11">
      <c r="A15" s="2997">
        <v>4</v>
      </c>
      <c r="B15" s="2997" t="s">
        <v>3191</v>
      </c>
      <c r="C15" s="2997" t="s">
        <v>3192</v>
      </c>
      <c r="D15" s="2998" t="s">
        <v>3193</v>
      </c>
      <c r="E15" s="2997" t="s">
        <v>3122</v>
      </c>
      <c r="F15" s="2997" t="s">
        <v>3194</v>
      </c>
      <c r="G15" s="2998" t="s">
        <v>3187</v>
      </c>
      <c r="H15" s="2997" t="s">
        <v>3195</v>
      </c>
      <c r="I15" s="2997">
        <v>31.96</v>
      </c>
    </row>
    <row r="16" spans="1:11">
      <c r="A16" s="2997">
        <v>12</v>
      </c>
      <c r="B16" s="2997" t="s">
        <v>3191</v>
      </c>
      <c r="C16" s="2997" t="s">
        <v>3192</v>
      </c>
      <c r="D16" s="2998" t="s">
        <v>3209</v>
      </c>
      <c r="E16" s="2997" t="s">
        <v>3122</v>
      </c>
      <c r="F16" s="2997" t="s">
        <v>3194</v>
      </c>
      <c r="G16" s="2998" t="s">
        <v>3210</v>
      </c>
      <c r="H16" s="2997" t="s">
        <v>3195</v>
      </c>
      <c r="I16" s="2997">
        <v>160.65</v>
      </c>
    </row>
    <row r="17" spans="1:17">
      <c r="A17" s="2997">
        <v>13</v>
      </c>
      <c r="B17" s="2997" t="s">
        <v>3191</v>
      </c>
      <c r="C17" s="2997" t="s">
        <v>3192</v>
      </c>
      <c r="D17" s="2998" t="s">
        <v>3211</v>
      </c>
      <c r="E17" s="2997" t="s">
        <v>3122</v>
      </c>
      <c r="F17" s="2997" t="s">
        <v>3194</v>
      </c>
      <c r="G17" s="2998" t="s">
        <v>3210</v>
      </c>
      <c r="H17" s="2997" t="s">
        <v>3195</v>
      </c>
      <c r="I17" s="2997">
        <v>152</v>
      </c>
    </row>
    <row r="18" spans="1:17">
      <c r="A18" s="2997">
        <v>14</v>
      </c>
      <c r="B18" s="2997" t="s">
        <v>3191</v>
      </c>
      <c r="C18" s="2997" t="s">
        <v>3192</v>
      </c>
      <c r="D18" s="2998" t="s">
        <v>3212</v>
      </c>
      <c r="E18" s="2997" t="s">
        <v>3122</v>
      </c>
      <c r="F18" s="2997" t="s">
        <v>3194</v>
      </c>
      <c r="G18" s="2998" t="s">
        <v>3210</v>
      </c>
      <c r="H18" s="2997" t="s">
        <v>3195</v>
      </c>
      <c r="I18" s="2997">
        <v>152</v>
      </c>
    </row>
    <row r="19" spans="1:17">
      <c r="A19" s="2997">
        <v>15</v>
      </c>
      <c r="B19" s="2997" t="s">
        <v>3191</v>
      </c>
      <c r="C19" s="2997" t="s">
        <v>3192</v>
      </c>
      <c r="D19" s="2998" t="s">
        <v>3213</v>
      </c>
      <c r="E19" s="2997" t="s">
        <v>3122</v>
      </c>
      <c r="F19" s="2997" t="s">
        <v>3194</v>
      </c>
      <c r="G19" s="2998" t="s">
        <v>3210</v>
      </c>
      <c r="H19" s="2997" t="s">
        <v>3195</v>
      </c>
      <c r="I19" s="2997">
        <v>152</v>
      </c>
    </row>
    <row r="20" spans="1:17">
      <c r="A20" s="2997">
        <v>16</v>
      </c>
      <c r="B20" s="2997" t="s">
        <v>3191</v>
      </c>
      <c r="C20" s="2997" t="s">
        <v>3192</v>
      </c>
      <c r="D20" s="2998" t="s">
        <v>3214</v>
      </c>
      <c r="E20" s="2997" t="s">
        <v>3122</v>
      </c>
      <c r="F20" s="2997" t="s">
        <v>3194</v>
      </c>
      <c r="G20" s="2998" t="s">
        <v>3210</v>
      </c>
      <c r="H20" s="2997" t="s">
        <v>3195</v>
      </c>
      <c r="I20" s="2997">
        <v>152</v>
      </c>
    </row>
    <row r="21" spans="1:17">
      <c r="A21" s="2997">
        <v>17</v>
      </c>
      <c r="B21" s="2997" t="s">
        <v>3191</v>
      </c>
      <c r="C21" s="2997" t="s">
        <v>3192</v>
      </c>
      <c r="D21" s="2998" t="s">
        <v>3215</v>
      </c>
      <c r="E21" s="2997" t="s">
        <v>3122</v>
      </c>
      <c r="F21" s="2997" t="s">
        <v>3194</v>
      </c>
      <c r="G21" s="2998" t="s">
        <v>3210</v>
      </c>
      <c r="H21" s="2997" t="s">
        <v>3195</v>
      </c>
      <c r="I21" s="2997">
        <v>208.31</v>
      </c>
    </row>
    <row r="22" spans="1:17">
      <c r="A22" s="2997">
        <v>18</v>
      </c>
      <c r="B22" s="2997" t="s">
        <v>3191</v>
      </c>
      <c r="C22" s="2997" t="s">
        <v>3192</v>
      </c>
      <c r="D22" s="2998" t="s">
        <v>3216</v>
      </c>
      <c r="E22" s="2997" t="s">
        <v>3217</v>
      </c>
      <c r="F22" s="2997" t="s">
        <v>3218</v>
      </c>
      <c r="G22" s="2998" t="s">
        <v>1029</v>
      </c>
      <c r="H22" s="2997" t="s">
        <v>3220</v>
      </c>
      <c r="I22" s="2997">
        <v>222.93</v>
      </c>
    </row>
    <row r="23" spans="1:17">
      <c r="A23" s="2997">
        <v>19</v>
      </c>
      <c r="B23" s="2997" t="s">
        <v>3221</v>
      </c>
      <c r="C23" s="2997" t="s">
        <v>3222</v>
      </c>
      <c r="D23" s="2998" t="s">
        <v>3223</v>
      </c>
      <c r="E23" s="2997" t="s">
        <v>3217</v>
      </c>
      <c r="F23" s="2997" t="s">
        <v>3218</v>
      </c>
      <c r="G23" s="2998" t="s">
        <v>1029</v>
      </c>
      <c r="H23" s="2997" t="s">
        <v>3220</v>
      </c>
      <c r="I23" s="2997">
        <v>152.03</v>
      </c>
    </row>
    <row r="24" spans="1:17">
      <c r="A24" s="2997">
        <v>20</v>
      </c>
      <c r="B24" s="2997" t="s">
        <v>3221</v>
      </c>
      <c r="C24" s="2997" t="s">
        <v>3222</v>
      </c>
      <c r="D24" s="2998" t="s">
        <v>3224</v>
      </c>
      <c r="E24" s="2997" t="s">
        <v>3217</v>
      </c>
      <c r="F24" s="2997" t="s">
        <v>3218</v>
      </c>
      <c r="G24" s="2998" t="s">
        <v>1029</v>
      </c>
      <c r="H24" s="2997" t="s">
        <v>3220</v>
      </c>
      <c r="I24" s="2997">
        <v>116.9</v>
      </c>
    </row>
    <row r="25" spans="1:17">
      <c r="A25" s="2997">
        <v>22</v>
      </c>
      <c r="B25" s="2997" t="s">
        <v>3221</v>
      </c>
      <c r="C25" s="2997" t="s">
        <v>3222</v>
      </c>
      <c r="D25" s="2998" t="s">
        <v>3227</v>
      </c>
      <c r="E25" s="2997" t="s">
        <v>3217</v>
      </c>
      <c r="F25" s="2997" t="s">
        <v>3218</v>
      </c>
      <c r="G25" s="2998" t="s">
        <v>3228</v>
      </c>
      <c r="H25" s="2997" t="s">
        <v>3220</v>
      </c>
      <c r="I25" s="2997">
        <v>160.65</v>
      </c>
    </row>
    <row r="26" spans="1:17">
      <c r="A26" s="2997">
        <v>23</v>
      </c>
      <c r="B26" s="2997" t="s">
        <v>3221</v>
      </c>
      <c r="C26" s="2997" t="s">
        <v>3222</v>
      </c>
      <c r="D26" s="2998" t="s">
        <v>3229</v>
      </c>
      <c r="E26" s="2997" t="s">
        <v>3217</v>
      </c>
      <c r="F26" s="2997" t="s">
        <v>3218</v>
      </c>
      <c r="G26" s="2998" t="s">
        <v>3228</v>
      </c>
      <c r="H26" s="2997" t="s">
        <v>3220</v>
      </c>
      <c r="I26" s="2997">
        <v>152</v>
      </c>
    </row>
    <row r="27" spans="1:17">
      <c r="A27" s="2997">
        <v>24</v>
      </c>
      <c r="B27" s="2997" t="s">
        <v>3221</v>
      </c>
      <c r="C27" s="2997" t="s">
        <v>3222</v>
      </c>
      <c r="D27" s="2998" t="s">
        <v>3230</v>
      </c>
      <c r="E27" s="2997" t="s">
        <v>3217</v>
      </c>
      <c r="F27" s="2997" t="s">
        <v>3218</v>
      </c>
      <c r="G27" s="2998" t="s">
        <v>3228</v>
      </c>
      <c r="H27" s="2997" t="s">
        <v>3220</v>
      </c>
      <c r="I27" s="2997">
        <v>152</v>
      </c>
    </row>
    <row r="28" spans="1:17">
      <c r="A28" s="2997">
        <v>25</v>
      </c>
      <c r="B28" s="2997" t="s">
        <v>3221</v>
      </c>
      <c r="C28" s="2997" t="s">
        <v>3222</v>
      </c>
      <c r="D28" s="2998" t="s">
        <v>3231</v>
      </c>
      <c r="E28" s="2997" t="s">
        <v>3217</v>
      </c>
      <c r="F28" s="2997" t="s">
        <v>3218</v>
      </c>
      <c r="G28" s="2998" t="s">
        <v>3228</v>
      </c>
      <c r="H28" s="2997" t="s">
        <v>3220</v>
      </c>
      <c r="I28" s="2997">
        <v>152</v>
      </c>
    </row>
    <row r="29" spans="1:17">
      <c r="A29" s="2997">
        <v>26</v>
      </c>
      <c r="B29" s="2997" t="s">
        <v>3221</v>
      </c>
      <c r="C29" s="2997" t="s">
        <v>3222</v>
      </c>
      <c r="D29" s="2998" t="s">
        <v>3232</v>
      </c>
      <c r="E29" s="2997" t="s">
        <v>3217</v>
      </c>
      <c r="F29" s="2997" t="s">
        <v>3218</v>
      </c>
      <c r="G29" s="2998" t="s">
        <v>3228</v>
      </c>
      <c r="H29" s="2997" t="s">
        <v>3220</v>
      </c>
      <c r="I29" s="2997">
        <v>152</v>
      </c>
    </row>
    <row r="30" spans="1:17">
      <c r="A30" s="2997">
        <v>27</v>
      </c>
      <c r="B30" s="2997" t="s">
        <v>3221</v>
      </c>
      <c r="C30" s="2997" t="s">
        <v>3222</v>
      </c>
      <c r="D30" s="2998" t="s">
        <v>3233</v>
      </c>
      <c r="E30" s="2997" t="s">
        <v>3217</v>
      </c>
      <c r="F30" s="2997" t="s">
        <v>3218</v>
      </c>
      <c r="G30" s="2998" t="s">
        <v>3228</v>
      </c>
      <c r="H30" s="2997" t="s">
        <v>3220</v>
      </c>
      <c r="I30" s="2997">
        <v>208.31</v>
      </c>
    </row>
    <row r="31" spans="1:17">
      <c r="A31" s="2997">
        <v>28</v>
      </c>
      <c r="B31" s="2997" t="s">
        <v>3221</v>
      </c>
      <c r="C31" s="2997" t="s">
        <v>3222</v>
      </c>
      <c r="D31" s="2998" t="s">
        <v>3234</v>
      </c>
      <c r="E31" s="2997" t="s">
        <v>3217</v>
      </c>
      <c r="F31" s="2997" t="s">
        <v>3218</v>
      </c>
      <c r="G31" s="2998" t="s">
        <v>3228</v>
      </c>
      <c r="H31" s="2997" t="s">
        <v>3220</v>
      </c>
      <c r="I31" s="2997">
        <v>222.93</v>
      </c>
      <c r="Q31" s="2999" t="s">
        <v>3429</v>
      </c>
    </row>
    <row r="32" spans="1:17">
      <c r="A32" s="2997">
        <v>29</v>
      </c>
      <c r="B32" s="2997" t="s">
        <v>3221</v>
      </c>
      <c r="C32" s="2997" t="s">
        <v>3222</v>
      </c>
      <c r="D32" s="2998" t="s">
        <v>3235</v>
      </c>
      <c r="E32" s="2997" t="s">
        <v>3217</v>
      </c>
      <c r="F32" s="2997" t="s">
        <v>3218</v>
      </c>
      <c r="G32" s="2998" t="s">
        <v>3228</v>
      </c>
      <c r="H32" s="2997" t="s">
        <v>3220</v>
      </c>
      <c r="I32" s="2997">
        <v>152.03</v>
      </c>
    </row>
    <row r="33" spans="1:9">
      <c r="A33" s="2997">
        <v>30</v>
      </c>
      <c r="B33" s="2997" t="s">
        <v>3221</v>
      </c>
      <c r="C33" s="2997" t="s">
        <v>3222</v>
      </c>
      <c r="D33" s="2998" t="s">
        <v>3236</v>
      </c>
      <c r="E33" s="2997" t="s">
        <v>3237</v>
      </c>
      <c r="F33" s="2997" t="s">
        <v>3218</v>
      </c>
      <c r="G33" s="2998" t="s">
        <v>1030</v>
      </c>
      <c r="H33" s="2997" t="s">
        <v>3195</v>
      </c>
      <c r="I33" s="2997">
        <v>116.9</v>
      </c>
    </row>
    <row r="34" spans="1:9">
      <c r="A34" s="2997">
        <v>32</v>
      </c>
      <c r="B34" s="2997" t="s">
        <v>3248</v>
      </c>
      <c r="C34" s="2997" t="s">
        <v>3222</v>
      </c>
      <c r="D34" s="2998" t="s">
        <v>3243</v>
      </c>
      <c r="E34" s="2997" t="s">
        <v>3122</v>
      </c>
      <c r="F34" s="2997" t="s">
        <v>3218</v>
      </c>
      <c r="G34" s="2998" t="s">
        <v>3246</v>
      </c>
      <c r="H34" s="2997" t="s">
        <v>3195</v>
      </c>
      <c r="I34" s="2997">
        <v>160.65</v>
      </c>
    </row>
    <row r="35" spans="1:9">
      <c r="A35" s="2997">
        <v>33</v>
      </c>
      <c r="B35" s="2997" t="s">
        <v>3248</v>
      </c>
      <c r="C35" s="2997" t="s">
        <v>3222</v>
      </c>
      <c r="D35" s="2998" t="s">
        <v>3250</v>
      </c>
      <c r="E35" s="2997" t="s">
        <v>3122</v>
      </c>
      <c r="F35" s="2997" t="s">
        <v>3218</v>
      </c>
      <c r="G35" s="2998" t="s">
        <v>3246</v>
      </c>
      <c r="H35" s="2997" t="s">
        <v>3195</v>
      </c>
      <c r="I35" s="2997">
        <v>152</v>
      </c>
    </row>
    <row r="36" spans="1:9">
      <c r="A36" s="2997">
        <v>34</v>
      </c>
      <c r="B36" s="2997" t="s">
        <v>3248</v>
      </c>
      <c r="C36" s="2997" t="s">
        <v>3222</v>
      </c>
      <c r="D36" s="2998" t="s">
        <v>3251</v>
      </c>
      <c r="E36" s="2997" t="s">
        <v>3122</v>
      </c>
      <c r="F36" s="2997" t="s">
        <v>3218</v>
      </c>
      <c r="G36" s="2998" t="s">
        <v>3246</v>
      </c>
      <c r="H36" s="2997" t="s">
        <v>3195</v>
      </c>
      <c r="I36" s="2997">
        <v>152</v>
      </c>
    </row>
    <row r="37" spans="1:9">
      <c r="A37" s="2997">
        <v>35</v>
      </c>
      <c r="B37" s="2997" t="s">
        <v>3248</v>
      </c>
      <c r="C37" s="2997" t="s">
        <v>3222</v>
      </c>
      <c r="D37" s="2998" t="s">
        <v>3252</v>
      </c>
      <c r="E37" s="2997" t="s">
        <v>3122</v>
      </c>
      <c r="F37" s="2997" t="s">
        <v>3218</v>
      </c>
      <c r="G37" s="2998" t="s">
        <v>3246</v>
      </c>
      <c r="H37" s="2997" t="s">
        <v>3195</v>
      </c>
      <c r="I37" s="2997">
        <v>152</v>
      </c>
    </row>
    <row r="38" spans="1:9">
      <c r="A38" s="2997">
        <v>36</v>
      </c>
      <c r="B38" s="2997" t="s">
        <v>3248</v>
      </c>
      <c r="C38" s="2997" t="s">
        <v>3222</v>
      </c>
      <c r="D38" s="2998" t="s">
        <v>3253</v>
      </c>
      <c r="E38" s="2997" t="s">
        <v>3122</v>
      </c>
      <c r="F38" s="2997" t="s">
        <v>3218</v>
      </c>
      <c r="G38" s="2998" t="s">
        <v>3246</v>
      </c>
      <c r="H38" s="2997" t="s">
        <v>3195</v>
      </c>
      <c r="I38" s="2997">
        <v>152</v>
      </c>
    </row>
    <row r="39" spans="1:9">
      <c r="A39" s="2997">
        <v>37</v>
      </c>
      <c r="B39" s="2997" t="s">
        <v>3248</v>
      </c>
      <c r="C39" s="2997" t="s">
        <v>3222</v>
      </c>
      <c r="D39" s="2998" t="s">
        <v>3254</v>
      </c>
      <c r="E39" s="2997" t="s">
        <v>3217</v>
      </c>
      <c r="F39" s="2997" t="s">
        <v>3218</v>
      </c>
      <c r="G39" s="2998" t="s">
        <v>3246</v>
      </c>
      <c r="H39" s="2997" t="s">
        <v>3220</v>
      </c>
      <c r="I39" s="2997">
        <v>208.31</v>
      </c>
    </row>
    <row r="40" spans="1:9">
      <c r="A40" s="2997">
        <v>38</v>
      </c>
      <c r="B40" s="2997" t="s">
        <v>3221</v>
      </c>
      <c r="C40" s="2997" t="s">
        <v>3222</v>
      </c>
      <c r="D40" s="2998" t="s">
        <v>3256</v>
      </c>
      <c r="E40" s="2997" t="s">
        <v>3217</v>
      </c>
      <c r="F40" s="2997" t="s">
        <v>3218</v>
      </c>
      <c r="G40" s="2998" t="s">
        <v>3246</v>
      </c>
      <c r="H40" s="2997" t="s">
        <v>3220</v>
      </c>
      <c r="I40" s="2997">
        <v>222.93</v>
      </c>
    </row>
    <row r="41" spans="1:9">
      <c r="A41" s="2997">
        <v>39</v>
      </c>
      <c r="B41" s="2997" t="s">
        <v>3221</v>
      </c>
      <c r="C41" s="2997" t="s">
        <v>3222</v>
      </c>
      <c r="D41" s="2998" t="s">
        <v>3257</v>
      </c>
      <c r="E41" s="2997" t="s">
        <v>3217</v>
      </c>
      <c r="F41" s="2997" t="s">
        <v>3218</v>
      </c>
      <c r="G41" s="2998" t="s">
        <v>3246</v>
      </c>
      <c r="H41" s="2997" t="s">
        <v>3220</v>
      </c>
      <c r="I41" s="2997">
        <v>152.03</v>
      </c>
    </row>
    <row r="42" spans="1:9">
      <c r="A42" s="2997">
        <v>40</v>
      </c>
      <c r="B42" s="2997" t="s">
        <v>3221</v>
      </c>
      <c r="C42" s="2997" t="s">
        <v>3222</v>
      </c>
      <c r="D42" s="2998" t="s">
        <v>3258</v>
      </c>
      <c r="E42" s="2997" t="s">
        <v>3217</v>
      </c>
      <c r="F42" s="2997" t="s">
        <v>3218</v>
      </c>
      <c r="G42" s="2998" t="s">
        <v>3246</v>
      </c>
      <c r="H42" s="2997" t="s">
        <v>3220</v>
      </c>
      <c r="I42" s="2997">
        <v>116.9</v>
      </c>
    </row>
    <row r="43" spans="1:9">
      <c r="A43" s="2997">
        <v>42</v>
      </c>
      <c r="B43" s="2997" t="s">
        <v>3221</v>
      </c>
      <c r="C43" s="2997" t="s">
        <v>3222</v>
      </c>
      <c r="D43" s="2998" t="s">
        <v>3259</v>
      </c>
      <c r="E43" s="2997" t="s">
        <v>3217</v>
      </c>
      <c r="F43" s="2997" t="s">
        <v>3218</v>
      </c>
      <c r="G43" s="2998" t="s">
        <v>3261</v>
      </c>
      <c r="H43" s="2997" t="s">
        <v>3220</v>
      </c>
      <c r="I43" s="2997">
        <v>160.65</v>
      </c>
    </row>
    <row r="44" spans="1:9">
      <c r="A44" s="2997">
        <v>43</v>
      </c>
      <c r="B44" s="2997" t="s">
        <v>3221</v>
      </c>
      <c r="C44" s="2997" t="s">
        <v>3222</v>
      </c>
      <c r="D44" s="2998" t="s">
        <v>3262</v>
      </c>
      <c r="E44" s="2997" t="s">
        <v>3217</v>
      </c>
      <c r="F44" s="2997" t="s">
        <v>3218</v>
      </c>
      <c r="G44" s="2998" t="s">
        <v>3261</v>
      </c>
      <c r="H44" s="2997" t="s">
        <v>3220</v>
      </c>
      <c r="I44" s="2997">
        <v>152</v>
      </c>
    </row>
    <row r="45" spans="1:9">
      <c r="A45" s="2997">
        <v>44</v>
      </c>
      <c r="B45" s="2997" t="s">
        <v>3221</v>
      </c>
      <c r="C45" s="2997" t="s">
        <v>3222</v>
      </c>
      <c r="D45" s="2998" t="s">
        <v>3263</v>
      </c>
      <c r="E45" s="2997" t="s">
        <v>3217</v>
      </c>
      <c r="F45" s="2997" t="s">
        <v>3218</v>
      </c>
      <c r="G45" s="2998" t="s">
        <v>3261</v>
      </c>
      <c r="H45" s="2997" t="s">
        <v>3220</v>
      </c>
      <c r="I45" s="2997">
        <v>152</v>
      </c>
    </row>
    <row r="46" spans="1:9">
      <c r="A46" s="2997">
        <v>45</v>
      </c>
      <c r="B46" s="2997" t="s">
        <v>3221</v>
      </c>
      <c r="C46" s="2997" t="s">
        <v>3222</v>
      </c>
      <c r="D46" s="2998" t="s">
        <v>3264</v>
      </c>
      <c r="E46" s="2997" t="s">
        <v>3217</v>
      </c>
      <c r="F46" s="2997" t="s">
        <v>3218</v>
      </c>
      <c r="G46" s="2998" t="s">
        <v>3261</v>
      </c>
      <c r="H46" s="2997" t="s">
        <v>3220</v>
      </c>
      <c r="I46" s="2997">
        <v>152</v>
      </c>
    </row>
    <row r="47" spans="1:9">
      <c r="A47" s="2997">
        <v>46</v>
      </c>
      <c r="B47" s="2997" t="s">
        <v>3221</v>
      </c>
      <c r="C47" s="2997" t="s">
        <v>3222</v>
      </c>
      <c r="D47" s="2998" t="s">
        <v>3265</v>
      </c>
      <c r="E47" s="2997" t="s">
        <v>3217</v>
      </c>
      <c r="F47" s="2997" t="s">
        <v>3218</v>
      </c>
      <c r="G47" s="2998" t="s">
        <v>3261</v>
      </c>
      <c r="H47" s="2997" t="s">
        <v>3220</v>
      </c>
      <c r="I47" s="2997">
        <v>152</v>
      </c>
    </row>
    <row r="48" spans="1:9">
      <c r="A48" s="2997">
        <v>47</v>
      </c>
      <c r="B48" s="2997" t="s">
        <v>3221</v>
      </c>
      <c r="C48" s="2997" t="s">
        <v>3222</v>
      </c>
      <c r="D48" s="2998" t="s">
        <v>3266</v>
      </c>
      <c r="E48" s="2997" t="s">
        <v>3217</v>
      </c>
      <c r="F48" s="2997" t="s">
        <v>3218</v>
      </c>
      <c r="G48" s="2998" t="s">
        <v>3261</v>
      </c>
      <c r="H48" s="2997" t="s">
        <v>3220</v>
      </c>
      <c r="I48" s="2997">
        <v>208.31</v>
      </c>
    </row>
    <row r="49" spans="1:9">
      <c r="A49" s="2997">
        <v>48</v>
      </c>
      <c r="B49" s="2997" t="s">
        <v>3221</v>
      </c>
      <c r="C49" s="2997" t="s">
        <v>3222</v>
      </c>
      <c r="D49" s="2998" t="s">
        <v>3267</v>
      </c>
      <c r="E49" s="2997" t="s">
        <v>3217</v>
      </c>
      <c r="F49" s="2997" t="s">
        <v>3218</v>
      </c>
      <c r="G49" s="2998" t="s">
        <v>3261</v>
      </c>
      <c r="H49" s="2997" t="s">
        <v>3220</v>
      </c>
      <c r="I49" s="2997">
        <v>222.93</v>
      </c>
    </row>
    <row r="50" spans="1:9">
      <c r="A50" s="2997">
        <v>49</v>
      </c>
      <c r="B50" s="2997" t="s">
        <v>3221</v>
      </c>
      <c r="C50" s="2997" t="s">
        <v>3222</v>
      </c>
      <c r="D50" s="2998" t="s">
        <v>3268</v>
      </c>
      <c r="E50" s="2997" t="s">
        <v>3217</v>
      </c>
      <c r="F50" s="2997" t="s">
        <v>3218</v>
      </c>
      <c r="G50" s="2998" t="s">
        <v>3261</v>
      </c>
      <c r="H50" s="2997" t="s">
        <v>3220</v>
      </c>
      <c r="I50" s="2997">
        <v>152.03</v>
      </c>
    </row>
    <row r="51" spans="1:9">
      <c r="A51" s="2997">
        <v>50</v>
      </c>
      <c r="B51" s="2997" t="s">
        <v>3221</v>
      </c>
      <c r="C51" s="2997" t="s">
        <v>3222</v>
      </c>
      <c r="D51" s="2998" t="s">
        <v>3269</v>
      </c>
      <c r="E51" s="2997" t="s">
        <v>3217</v>
      </c>
      <c r="F51" s="2997" t="s">
        <v>3218</v>
      </c>
      <c r="G51" s="2998" t="s">
        <v>3261</v>
      </c>
      <c r="H51" s="2997" t="s">
        <v>3220</v>
      </c>
      <c r="I51" s="2997">
        <v>116.9</v>
      </c>
    </row>
    <row r="52" spans="1:9">
      <c r="A52" s="2997">
        <v>52</v>
      </c>
      <c r="B52" s="2997" t="s">
        <v>3248</v>
      </c>
      <c r="C52" s="2997" t="s">
        <v>3222</v>
      </c>
      <c r="D52" s="2998" t="s">
        <v>3270</v>
      </c>
      <c r="E52" s="2997" t="s">
        <v>3122</v>
      </c>
      <c r="F52" s="2997" t="s">
        <v>3218</v>
      </c>
      <c r="G52" s="2998" t="s">
        <v>3272</v>
      </c>
      <c r="H52" s="2997" t="s">
        <v>3195</v>
      </c>
      <c r="I52" s="2997">
        <v>160.65</v>
      </c>
    </row>
    <row r="53" spans="1:9">
      <c r="A53" s="2997">
        <v>53</v>
      </c>
      <c r="B53" s="2997" t="s">
        <v>3248</v>
      </c>
      <c r="C53" s="2997" t="s">
        <v>3222</v>
      </c>
      <c r="D53" s="2998" t="s">
        <v>3273</v>
      </c>
      <c r="E53" s="2997" t="s">
        <v>3122</v>
      </c>
      <c r="F53" s="2997" t="s">
        <v>3218</v>
      </c>
      <c r="G53" s="2998" t="s">
        <v>3272</v>
      </c>
      <c r="H53" s="2997" t="s">
        <v>3195</v>
      </c>
      <c r="I53" s="2997">
        <v>152</v>
      </c>
    </row>
    <row r="54" spans="1:9">
      <c r="A54" s="2997">
        <v>54</v>
      </c>
      <c r="B54" s="2997" t="s">
        <v>3248</v>
      </c>
      <c r="C54" s="2997" t="s">
        <v>3222</v>
      </c>
      <c r="D54" s="2998" t="s">
        <v>3274</v>
      </c>
      <c r="E54" s="2997" t="s">
        <v>3122</v>
      </c>
      <c r="F54" s="2997" t="s">
        <v>3218</v>
      </c>
      <c r="G54" s="2998" t="s">
        <v>3272</v>
      </c>
      <c r="H54" s="2997" t="s">
        <v>3195</v>
      </c>
      <c r="I54" s="2997">
        <v>152</v>
      </c>
    </row>
    <row r="55" spans="1:9">
      <c r="A55" s="2997">
        <v>55</v>
      </c>
      <c r="B55" s="2997" t="s">
        <v>3248</v>
      </c>
      <c r="C55" s="2997" t="s">
        <v>3222</v>
      </c>
      <c r="D55" s="2998" t="s">
        <v>3275</v>
      </c>
      <c r="E55" s="2997" t="s">
        <v>3122</v>
      </c>
      <c r="F55" s="2997" t="s">
        <v>3218</v>
      </c>
      <c r="G55" s="2998" t="s">
        <v>3272</v>
      </c>
      <c r="H55" s="2997" t="s">
        <v>3195</v>
      </c>
      <c r="I55" s="2997">
        <v>152</v>
      </c>
    </row>
    <row r="56" spans="1:9">
      <c r="A56" s="2997">
        <v>56</v>
      </c>
      <c r="B56" s="2997" t="s">
        <v>3248</v>
      </c>
      <c r="C56" s="2997" t="s">
        <v>3222</v>
      </c>
      <c r="D56" s="2998" t="s">
        <v>3276</v>
      </c>
      <c r="E56" s="2997" t="s">
        <v>3122</v>
      </c>
      <c r="F56" s="2997" t="s">
        <v>3218</v>
      </c>
      <c r="G56" s="2998" t="s">
        <v>3272</v>
      </c>
      <c r="H56" s="2997" t="s">
        <v>3195</v>
      </c>
      <c r="I56" s="2997">
        <v>152</v>
      </c>
    </row>
    <row r="57" spans="1:9">
      <c r="A57" s="2997">
        <v>57</v>
      </c>
      <c r="B57" s="2997" t="s">
        <v>3248</v>
      </c>
      <c r="C57" s="2997" t="s">
        <v>3222</v>
      </c>
      <c r="D57" s="2998" t="s">
        <v>3277</v>
      </c>
      <c r="E57" s="2997" t="s">
        <v>3122</v>
      </c>
      <c r="F57" s="2997" t="s">
        <v>3218</v>
      </c>
      <c r="G57" s="2998" t="s">
        <v>3272</v>
      </c>
      <c r="H57" s="2997" t="s">
        <v>3195</v>
      </c>
      <c r="I57" s="2997">
        <v>208.31</v>
      </c>
    </row>
    <row r="58" spans="1:9">
      <c r="A58" s="2997">
        <v>58</v>
      </c>
      <c r="B58" s="2997" t="s">
        <v>3248</v>
      </c>
      <c r="C58" s="2997" t="s">
        <v>3222</v>
      </c>
      <c r="D58" s="2998" t="s">
        <v>3278</v>
      </c>
      <c r="E58" s="2997" t="s">
        <v>3122</v>
      </c>
      <c r="F58" s="2997" t="s">
        <v>3218</v>
      </c>
      <c r="G58" s="2998" t="s">
        <v>3272</v>
      </c>
      <c r="H58" s="2997" t="s">
        <v>3195</v>
      </c>
      <c r="I58" s="2997">
        <v>222.93</v>
      </c>
    </row>
    <row r="59" spans="1:9">
      <c r="A59" s="2997">
        <v>59</v>
      </c>
      <c r="B59" s="2997" t="s">
        <v>3248</v>
      </c>
      <c r="C59" s="2997" t="s">
        <v>3222</v>
      </c>
      <c r="D59" s="2998" t="s">
        <v>3279</v>
      </c>
      <c r="E59" s="2997" t="s">
        <v>3122</v>
      </c>
      <c r="F59" s="2997" t="s">
        <v>3218</v>
      </c>
      <c r="G59" s="2998" t="s">
        <v>3272</v>
      </c>
      <c r="H59" s="2997" t="s">
        <v>3195</v>
      </c>
      <c r="I59" s="2997">
        <v>152.03</v>
      </c>
    </row>
    <row r="60" spans="1:9">
      <c r="A60" s="2997">
        <v>60</v>
      </c>
      <c r="B60" s="2997" t="s">
        <v>3248</v>
      </c>
      <c r="C60" s="2997" t="s">
        <v>3222</v>
      </c>
      <c r="D60" s="2998" t="s">
        <v>3280</v>
      </c>
      <c r="E60" s="2997" t="s">
        <v>3122</v>
      </c>
      <c r="F60" s="2997" t="s">
        <v>3218</v>
      </c>
      <c r="G60" s="2998" t="s">
        <v>3272</v>
      </c>
      <c r="H60" s="2997" t="s">
        <v>3195</v>
      </c>
      <c r="I60" s="2997">
        <v>116.9</v>
      </c>
    </row>
    <row r="61" spans="1:9">
      <c r="A61" s="2997">
        <v>62</v>
      </c>
      <c r="B61" s="2997" t="s">
        <v>3221</v>
      </c>
      <c r="C61" s="2997" t="s">
        <v>3222</v>
      </c>
      <c r="D61" s="2998" t="s">
        <v>3283</v>
      </c>
      <c r="E61" s="2997" t="s">
        <v>3217</v>
      </c>
      <c r="F61" s="2997" t="s">
        <v>3218</v>
      </c>
      <c r="G61" s="2998" t="s">
        <v>3285</v>
      </c>
      <c r="H61" s="2997" t="s">
        <v>3220</v>
      </c>
      <c r="I61" s="2997">
        <v>160.65</v>
      </c>
    </row>
    <row r="62" spans="1:9">
      <c r="A62" s="2997">
        <v>63</v>
      </c>
      <c r="B62" s="2997" t="s">
        <v>3221</v>
      </c>
      <c r="C62" s="2997" t="s">
        <v>3222</v>
      </c>
      <c r="D62" s="2998" t="s">
        <v>3286</v>
      </c>
      <c r="E62" s="2997" t="s">
        <v>3217</v>
      </c>
      <c r="F62" s="2997" t="s">
        <v>3218</v>
      </c>
      <c r="G62" s="2998" t="s">
        <v>3285</v>
      </c>
      <c r="H62" s="2997" t="s">
        <v>3220</v>
      </c>
      <c r="I62" s="2997">
        <v>152</v>
      </c>
    </row>
    <row r="63" spans="1:9">
      <c r="A63" s="2997">
        <v>64</v>
      </c>
      <c r="B63" s="2997" t="s">
        <v>3221</v>
      </c>
      <c r="C63" s="2997" t="s">
        <v>3222</v>
      </c>
      <c r="D63" s="2998" t="s">
        <v>3287</v>
      </c>
      <c r="E63" s="2997" t="s">
        <v>3217</v>
      </c>
      <c r="F63" s="2997" t="s">
        <v>3218</v>
      </c>
      <c r="G63" s="2998" t="s">
        <v>3285</v>
      </c>
      <c r="H63" s="2997" t="s">
        <v>3220</v>
      </c>
      <c r="I63" s="2997">
        <v>152</v>
      </c>
    </row>
    <row r="64" spans="1:9">
      <c r="A64" s="2997">
        <v>65</v>
      </c>
      <c r="B64" s="2997" t="s">
        <v>3221</v>
      </c>
      <c r="C64" s="2997" t="s">
        <v>3222</v>
      </c>
      <c r="D64" s="2998" t="s">
        <v>3288</v>
      </c>
      <c r="E64" s="2997" t="s">
        <v>3217</v>
      </c>
      <c r="F64" s="2997" t="s">
        <v>3218</v>
      </c>
      <c r="G64" s="2998" t="s">
        <v>3285</v>
      </c>
      <c r="H64" s="2997" t="s">
        <v>3220</v>
      </c>
      <c r="I64" s="2997">
        <v>152</v>
      </c>
    </row>
    <row r="65" spans="1:9">
      <c r="A65" s="2997">
        <v>66</v>
      </c>
      <c r="B65" s="2997" t="s">
        <v>3221</v>
      </c>
      <c r="C65" s="2997" t="s">
        <v>3222</v>
      </c>
      <c r="D65" s="2998" t="s">
        <v>3289</v>
      </c>
      <c r="E65" s="2997" t="s">
        <v>3217</v>
      </c>
      <c r="F65" s="2997" t="s">
        <v>3218</v>
      </c>
      <c r="G65" s="2998" t="s">
        <v>3285</v>
      </c>
      <c r="H65" s="2997" t="s">
        <v>3220</v>
      </c>
      <c r="I65" s="2997">
        <v>152</v>
      </c>
    </row>
    <row r="66" spans="1:9">
      <c r="A66" s="2997">
        <v>67</v>
      </c>
      <c r="B66" s="2997" t="s">
        <v>3221</v>
      </c>
      <c r="C66" s="2997" t="s">
        <v>3222</v>
      </c>
      <c r="D66" s="2998" t="s">
        <v>3290</v>
      </c>
      <c r="E66" s="2997" t="s">
        <v>3217</v>
      </c>
      <c r="F66" s="2997" t="s">
        <v>3218</v>
      </c>
      <c r="G66" s="2998" t="s">
        <v>3285</v>
      </c>
      <c r="H66" s="2997" t="s">
        <v>3220</v>
      </c>
      <c r="I66" s="2997">
        <v>208.31</v>
      </c>
    </row>
    <row r="67" spans="1:9">
      <c r="A67" s="2997">
        <v>68</v>
      </c>
      <c r="B67" s="2997" t="s">
        <v>3221</v>
      </c>
      <c r="C67" s="2997" t="s">
        <v>3222</v>
      </c>
      <c r="D67" s="2998" t="s">
        <v>3291</v>
      </c>
      <c r="E67" s="2997" t="s">
        <v>3217</v>
      </c>
      <c r="F67" s="2997" t="s">
        <v>3218</v>
      </c>
      <c r="G67" s="2998" t="s">
        <v>3285</v>
      </c>
      <c r="H67" s="2997" t="s">
        <v>3220</v>
      </c>
      <c r="I67" s="2997">
        <v>222.93</v>
      </c>
    </row>
    <row r="68" spans="1:9">
      <c r="A68" s="2997">
        <v>69</v>
      </c>
      <c r="B68" s="2997" t="s">
        <v>3221</v>
      </c>
      <c r="C68" s="2997" t="s">
        <v>3222</v>
      </c>
      <c r="D68" s="2998" t="s">
        <v>3292</v>
      </c>
      <c r="E68" s="2997" t="s">
        <v>3217</v>
      </c>
      <c r="F68" s="2997" t="s">
        <v>3218</v>
      </c>
      <c r="G68" s="2998" t="s">
        <v>3285</v>
      </c>
      <c r="H68" s="2997" t="s">
        <v>3220</v>
      </c>
      <c r="I68" s="2997">
        <v>152.03</v>
      </c>
    </row>
    <row r="69" spans="1:9">
      <c r="A69" s="2997">
        <v>70</v>
      </c>
      <c r="B69" s="2997" t="s">
        <v>3221</v>
      </c>
      <c r="C69" s="2997" t="s">
        <v>3222</v>
      </c>
      <c r="D69" s="2998" t="s">
        <v>3293</v>
      </c>
      <c r="E69" s="2997" t="s">
        <v>3217</v>
      </c>
      <c r="F69" s="2997" t="s">
        <v>3218</v>
      </c>
      <c r="G69" s="2998" t="s">
        <v>3285</v>
      </c>
      <c r="H69" s="2997" t="s">
        <v>3220</v>
      </c>
      <c r="I69" s="2997">
        <v>116.9</v>
      </c>
    </row>
    <row r="70" spans="1:9">
      <c r="A70" s="2997">
        <v>72</v>
      </c>
      <c r="B70" s="2997" t="s">
        <v>3221</v>
      </c>
      <c r="C70" s="2997" t="s">
        <v>3222</v>
      </c>
      <c r="D70" s="2998" t="s">
        <v>3294</v>
      </c>
      <c r="E70" s="2997" t="s">
        <v>3217</v>
      </c>
      <c r="F70" s="2997" t="s">
        <v>3218</v>
      </c>
      <c r="G70" s="2998" t="s">
        <v>3296</v>
      </c>
      <c r="H70" s="2997" t="s">
        <v>3220</v>
      </c>
      <c r="I70" s="2997">
        <v>160.65</v>
      </c>
    </row>
    <row r="71" spans="1:9">
      <c r="A71" s="2997">
        <v>73</v>
      </c>
      <c r="B71" s="2997" t="s">
        <v>3221</v>
      </c>
      <c r="C71" s="2997" t="s">
        <v>3222</v>
      </c>
      <c r="D71" s="2998" t="s">
        <v>3297</v>
      </c>
      <c r="E71" s="2997" t="s">
        <v>3217</v>
      </c>
      <c r="F71" s="2997" t="s">
        <v>3218</v>
      </c>
      <c r="G71" s="2998" t="s">
        <v>3296</v>
      </c>
      <c r="H71" s="2997" t="s">
        <v>3220</v>
      </c>
      <c r="I71" s="2997">
        <v>152</v>
      </c>
    </row>
    <row r="72" spans="1:9">
      <c r="A72" s="2997">
        <v>74</v>
      </c>
      <c r="B72" s="2997" t="s">
        <v>3221</v>
      </c>
      <c r="C72" s="2997" t="s">
        <v>3222</v>
      </c>
      <c r="D72" s="2998" t="s">
        <v>3298</v>
      </c>
      <c r="E72" s="2997" t="s">
        <v>3237</v>
      </c>
      <c r="F72" s="2997" t="s">
        <v>3218</v>
      </c>
      <c r="G72" s="2998" t="s">
        <v>3299</v>
      </c>
      <c r="H72" s="2997" t="s">
        <v>3195</v>
      </c>
      <c r="I72" s="2997">
        <v>152</v>
      </c>
    </row>
    <row r="73" spans="1:9">
      <c r="A73" s="2997">
        <v>75</v>
      </c>
      <c r="B73" s="2997" t="s">
        <v>3300</v>
      </c>
      <c r="C73" s="2997" t="s">
        <v>3301</v>
      </c>
      <c r="D73" s="2998" t="s">
        <v>3302</v>
      </c>
      <c r="E73" s="2997" t="s">
        <v>3237</v>
      </c>
      <c r="F73" s="2997" t="s">
        <v>3218</v>
      </c>
      <c r="G73" s="2998" t="s">
        <v>3299</v>
      </c>
      <c r="H73" s="2997" t="s">
        <v>3195</v>
      </c>
      <c r="I73" s="2997">
        <v>152</v>
      </c>
    </row>
    <row r="74" spans="1:9">
      <c r="A74" s="2997">
        <v>76</v>
      </c>
      <c r="B74" s="2997" t="s">
        <v>3300</v>
      </c>
      <c r="C74" s="2997" t="s">
        <v>3301</v>
      </c>
      <c r="D74" s="2998" t="s">
        <v>3303</v>
      </c>
      <c r="E74" s="2997" t="s">
        <v>3237</v>
      </c>
      <c r="F74" s="2997" t="s">
        <v>3218</v>
      </c>
      <c r="G74" s="2998" t="s">
        <v>3299</v>
      </c>
      <c r="H74" s="2997" t="s">
        <v>3195</v>
      </c>
      <c r="I74" s="2997">
        <v>152</v>
      </c>
    </row>
    <row r="75" spans="1:9">
      <c r="A75" s="2997">
        <v>77</v>
      </c>
      <c r="B75" s="2997" t="s">
        <v>3300</v>
      </c>
      <c r="C75" s="2997" t="s">
        <v>3301</v>
      </c>
      <c r="D75" s="2998" t="s">
        <v>3304</v>
      </c>
      <c r="E75" s="2997" t="s">
        <v>3237</v>
      </c>
      <c r="F75" s="2997" t="s">
        <v>3218</v>
      </c>
      <c r="G75" s="2998" t="s">
        <v>3299</v>
      </c>
      <c r="H75" s="2997" t="s">
        <v>3195</v>
      </c>
      <c r="I75" s="2997">
        <v>208.31</v>
      </c>
    </row>
    <row r="76" spans="1:9">
      <c r="A76" s="2997">
        <v>78</v>
      </c>
      <c r="B76" s="2997" t="s">
        <v>3300</v>
      </c>
      <c r="C76" s="2997" t="s">
        <v>3301</v>
      </c>
      <c r="D76" s="2998" t="s">
        <v>3305</v>
      </c>
      <c r="E76" s="2997" t="s">
        <v>3237</v>
      </c>
      <c r="F76" s="2997" t="s">
        <v>3218</v>
      </c>
      <c r="G76" s="2998" t="s">
        <v>3299</v>
      </c>
      <c r="H76" s="2997" t="s">
        <v>3195</v>
      </c>
      <c r="I76" s="2997">
        <v>222.93</v>
      </c>
    </row>
    <row r="77" spans="1:9">
      <c r="A77" s="2997">
        <v>79</v>
      </c>
      <c r="B77" s="2997" t="s">
        <v>3300</v>
      </c>
      <c r="C77" s="2997" t="s">
        <v>3301</v>
      </c>
      <c r="D77" s="2998" t="s">
        <v>3306</v>
      </c>
      <c r="E77" s="2997" t="s">
        <v>3237</v>
      </c>
      <c r="F77" s="2997" t="s">
        <v>3218</v>
      </c>
      <c r="G77" s="2998" t="s">
        <v>3299</v>
      </c>
      <c r="H77" s="2997" t="s">
        <v>3195</v>
      </c>
      <c r="I77" s="2997">
        <v>152.03</v>
      </c>
    </row>
    <row r="78" spans="1:9">
      <c r="A78" s="2997">
        <v>80</v>
      </c>
      <c r="B78" s="2997" t="s">
        <v>3300</v>
      </c>
      <c r="C78" s="2997" t="s">
        <v>3301</v>
      </c>
      <c r="D78" s="2998" t="s">
        <v>3307</v>
      </c>
      <c r="E78" s="2997" t="s">
        <v>3237</v>
      </c>
      <c r="F78" s="2997" t="s">
        <v>3218</v>
      </c>
      <c r="G78" s="2998" t="s">
        <v>3299</v>
      </c>
      <c r="H78" s="2997" t="s">
        <v>3195</v>
      </c>
      <c r="I78" s="2997">
        <v>116.9</v>
      </c>
    </row>
    <row r="79" spans="1:9">
      <c r="A79" s="2997">
        <v>82</v>
      </c>
      <c r="B79" s="2997" t="s">
        <v>3300</v>
      </c>
      <c r="C79" s="2997" t="s">
        <v>3301</v>
      </c>
      <c r="D79" s="2998" t="s">
        <v>3310</v>
      </c>
      <c r="E79" s="2997" t="s">
        <v>3237</v>
      </c>
      <c r="F79" s="2997" t="s">
        <v>3218</v>
      </c>
      <c r="G79" s="2998" t="s">
        <v>3311</v>
      </c>
      <c r="H79" s="2997" t="s">
        <v>3195</v>
      </c>
      <c r="I79" s="2997">
        <v>160.65</v>
      </c>
    </row>
    <row r="80" spans="1:9">
      <c r="A80" s="2997">
        <v>83</v>
      </c>
      <c r="B80" s="2997" t="s">
        <v>3300</v>
      </c>
      <c r="C80" s="2997" t="s">
        <v>3301</v>
      </c>
      <c r="D80" s="2998" t="s">
        <v>3312</v>
      </c>
      <c r="E80" s="2997" t="s">
        <v>3237</v>
      </c>
      <c r="F80" s="2997" t="s">
        <v>3218</v>
      </c>
      <c r="G80" s="2998" t="s">
        <v>3311</v>
      </c>
      <c r="H80" s="2997" t="s">
        <v>3195</v>
      </c>
      <c r="I80" s="2997">
        <v>152</v>
      </c>
    </row>
    <row r="81" spans="1:9">
      <c r="A81" s="2997">
        <v>84</v>
      </c>
      <c r="B81" s="2997" t="s">
        <v>3300</v>
      </c>
      <c r="C81" s="2997" t="s">
        <v>3301</v>
      </c>
      <c r="D81" s="2998" t="s">
        <v>3313</v>
      </c>
      <c r="E81" s="2997" t="s">
        <v>3237</v>
      </c>
      <c r="F81" s="2997" t="s">
        <v>3218</v>
      </c>
      <c r="G81" s="2998" t="s">
        <v>3311</v>
      </c>
      <c r="H81" s="2997" t="s">
        <v>3195</v>
      </c>
      <c r="I81" s="2997">
        <v>152</v>
      </c>
    </row>
    <row r="82" spans="1:9">
      <c r="A82" s="2997">
        <v>85</v>
      </c>
      <c r="B82" s="2997" t="s">
        <v>3300</v>
      </c>
      <c r="C82" s="2997" t="s">
        <v>3301</v>
      </c>
      <c r="D82" s="2998" t="s">
        <v>3314</v>
      </c>
      <c r="E82" s="2997" t="s">
        <v>3237</v>
      </c>
      <c r="F82" s="2997" t="s">
        <v>3218</v>
      </c>
      <c r="G82" s="2998" t="s">
        <v>3311</v>
      </c>
      <c r="H82" s="2997" t="s">
        <v>3195</v>
      </c>
      <c r="I82" s="2997">
        <v>152</v>
      </c>
    </row>
    <row r="83" spans="1:9">
      <c r="A83" s="2997">
        <v>86</v>
      </c>
      <c r="B83" s="2997" t="s">
        <v>3300</v>
      </c>
      <c r="C83" s="2997" t="s">
        <v>3301</v>
      </c>
      <c r="D83" s="2998" t="s">
        <v>3315</v>
      </c>
      <c r="E83" s="2997" t="s">
        <v>3237</v>
      </c>
      <c r="F83" s="2997" t="s">
        <v>3218</v>
      </c>
      <c r="G83" s="2998" t="s">
        <v>3311</v>
      </c>
      <c r="H83" s="2997" t="s">
        <v>3195</v>
      </c>
      <c r="I83" s="2997">
        <v>152</v>
      </c>
    </row>
    <row r="84" spans="1:9">
      <c r="A84" s="2997">
        <v>87</v>
      </c>
      <c r="B84" s="2997" t="s">
        <v>3300</v>
      </c>
      <c r="C84" s="2997" t="s">
        <v>3301</v>
      </c>
      <c r="D84" s="2998" t="s">
        <v>3316</v>
      </c>
      <c r="E84" s="2997" t="s">
        <v>3237</v>
      </c>
      <c r="F84" s="2997" t="s">
        <v>3218</v>
      </c>
      <c r="G84" s="2998" t="s">
        <v>3311</v>
      </c>
      <c r="H84" s="2997" t="s">
        <v>3195</v>
      </c>
      <c r="I84" s="2997">
        <v>208.31</v>
      </c>
    </row>
    <row r="85" spans="1:9">
      <c r="A85" s="2997">
        <v>88</v>
      </c>
      <c r="B85" s="2997" t="s">
        <v>3300</v>
      </c>
      <c r="C85" s="2997" t="s">
        <v>3301</v>
      </c>
      <c r="D85" s="2998" t="s">
        <v>3317</v>
      </c>
      <c r="E85" s="2997" t="s">
        <v>3237</v>
      </c>
      <c r="F85" s="2997" t="s">
        <v>3218</v>
      </c>
      <c r="G85" s="2998" t="s">
        <v>3311</v>
      </c>
      <c r="H85" s="2997" t="s">
        <v>3195</v>
      </c>
      <c r="I85" s="2997">
        <v>222.93</v>
      </c>
    </row>
    <row r="86" spans="1:9">
      <c r="A86" s="2997">
        <v>89</v>
      </c>
      <c r="B86" s="2997" t="s">
        <v>3300</v>
      </c>
      <c r="C86" s="2997" t="s">
        <v>3301</v>
      </c>
      <c r="D86" s="2998" t="s">
        <v>3318</v>
      </c>
      <c r="E86" s="2997" t="s">
        <v>3237</v>
      </c>
      <c r="F86" s="2997" t="s">
        <v>3218</v>
      </c>
      <c r="G86" s="2998" t="s">
        <v>3311</v>
      </c>
      <c r="H86" s="2997" t="s">
        <v>3195</v>
      </c>
      <c r="I86" s="2997">
        <v>152.03</v>
      </c>
    </row>
    <row r="87" spans="1:9">
      <c r="A87" s="2997">
        <v>90</v>
      </c>
      <c r="B87" s="2997" t="s">
        <v>3300</v>
      </c>
      <c r="C87" s="2997" t="s">
        <v>3301</v>
      </c>
      <c r="D87" s="2998" t="s">
        <v>3319</v>
      </c>
      <c r="E87" s="2997" t="s">
        <v>3217</v>
      </c>
      <c r="F87" s="2997" t="s">
        <v>3218</v>
      </c>
      <c r="G87" s="2998" t="s">
        <v>3311</v>
      </c>
      <c r="H87" s="2997" t="s">
        <v>3220</v>
      </c>
      <c r="I87" s="2997">
        <v>116.9</v>
      </c>
    </row>
    <row r="88" spans="1:9">
      <c r="A88" s="2997">
        <v>92</v>
      </c>
      <c r="B88" s="2997" t="s">
        <v>3221</v>
      </c>
      <c r="C88" s="2997" t="s">
        <v>3222</v>
      </c>
      <c r="D88" s="2998" t="s">
        <v>3323</v>
      </c>
      <c r="E88" s="2997" t="s">
        <v>3217</v>
      </c>
      <c r="F88" s="2997" t="s">
        <v>3218</v>
      </c>
      <c r="G88" s="2998" t="s">
        <v>3324</v>
      </c>
      <c r="H88" s="2997" t="s">
        <v>3220</v>
      </c>
      <c r="I88" s="2997">
        <v>160.65</v>
      </c>
    </row>
    <row r="89" spans="1:9">
      <c r="A89" s="2997">
        <v>93</v>
      </c>
      <c r="B89" s="2997" t="s">
        <v>3221</v>
      </c>
      <c r="C89" s="2997" t="s">
        <v>3222</v>
      </c>
      <c r="D89" s="2998" t="s">
        <v>3325</v>
      </c>
      <c r="E89" s="2997" t="s">
        <v>3217</v>
      </c>
      <c r="F89" s="2997" t="s">
        <v>3218</v>
      </c>
      <c r="G89" s="2998" t="s">
        <v>3324</v>
      </c>
      <c r="H89" s="2997" t="s">
        <v>3220</v>
      </c>
      <c r="I89" s="2997">
        <v>152</v>
      </c>
    </row>
    <row r="90" spans="1:9">
      <c r="A90" s="2997">
        <v>94</v>
      </c>
      <c r="B90" s="2997" t="s">
        <v>3221</v>
      </c>
      <c r="C90" s="2997" t="s">
        <v>3222</v>
      </c>
      <c r="D90" s="2998" t="s">
        <v>3326</v>
      </c>
      <c r="E90" s="2997" t="s">
        <v>3217</v>
      </c>
      <c r="F90" s="2997" t="s">
        <v>3218</v>
      </c>
      <c r="G90" s="2998" t="s">
        <v>3324</v>
      </c>
      <c r="H90" s="2997" t="s">
        <v>3220</v>
      </c>
      <c r="I90" s="2997">
        <v>152</v>
      </c>
    </row>
    <row r="91" spans="1:9">
      <c r="A91" s="2997">
        <v>95</v>
      </c>
      <c r="B91" s="2997" t="s">
        <v>3221</v>
      </c>
      <c r="C91" s="2997" t="s">
        <v>3222</v>
      </c>
      <c r="D91" s="2998" t="s">
        <v>3327</v>
      </c>
      <c r="E91" s="2997" t="s">
        <v>3217</v>
      </c>
      <c r="F91" s="2997" t="s">
        <v>3218</v>
      </c>
      <c r="G91" s="2998" t="s">
        <v>3324</v>
      </c>
      <c r="H91" s="2997" t="s">
        <v>3220</v>
      </c>
      <c r="I91" s="2997">
        <v>152</v>
      </c>
    </row>
    <row r="92" spans="1:9">
      <c r="A92" s="2997">
        <v>96</v>
      </c>
      <c r="B92" s="2997" t="s">
        <v>3221</v>
      </c>
      <c r="C92" s="2997" t="s">
        <v>3222</v>
      </c>
      <c r="D92" s="2998" t="s">
        <v>3328</v>
      </c>
      <c r="E92" s="2997" t="s">
        <v>3217</v>
      </c>
      <c r="F92" s="2997" t="s">
        <v>3218</v>
      </c>
      <c r="G92" s="2998" t="s">
        <v>3324</v>
      </c>
      <c r="H92" s="2997" t="s">
        <v>3220</v>
      </c>
      <c r="I92" s="2997">
        <v>152</v>
      </c>
    </row>
    <row r="93" spans="1:9">
      <c r="A93" s="2997">
        <v>97</v>
      </c>
      <c r="B93" s="2997" t="s">
        <v>3221</v>
      </c>
      <c r="C93" s="2997" t="s">
        <v>3222</v>
      </c>
      <c r="D93" s="2998" t="s">
        <v>3329</v>
      </c>
      <c r="E93" s="2997" t="s">
        <v>3217</v>
      </c>
      <c r="F93" s="2997" t="s">
        <v>3218</v>
      </c>
      <c r="G93" s="2998" t="s">
        <v>3324</v>
      </c>
      <c r="H93" s="2997" t="s">
        <v>3220</v>
      </c>
      <c r="I93" s="2997">
        <v>208.31</v>
      </c>
    </row>
    <row r="94" spans="1:9">
      <c r="A94" s="2997">
        <v>98</v>
      </c>
      <c r="B94" s="2997" t="s">
        <v>3221</v>
      </c>
      <c r="C94" s="2997" t="s">
        <v>3222</v>
      </c>
      <c r="D94" s="2998" t="s">
        <v>3330</v>
      </c>
      <c r="E94" s="2997" t="s">
        <v>3217</v>
      </c>
      <c r="F94" s="2997" t="s">
        <v>3218</v>
      </c>
      <c r="G94" s="2998" t="s">
        <v>3324</v>
      </c>
      <c r="H94" s="2997" t="s">
        <v>3220</v>
      </c>
      <c r="I94" s="2997">
        <v>222.93</v>
      </c>
    </row>
    <row r="95" spans="1:9">
      <c r="A95" s="2997">
        <v>99</v>
      </c>
      <c r="B95" s="2997" t="s">
        <v>3221</v>
      </c>
      <c r="C95" s="2997" t="s">
        <v>3222</v>
      </c>
      <c r="D95" s="2998" t="s">
        <v>3331</v>
      </c>
      <c r="E95" s="2997" t="s">
        <v>3217</v>
      </c>
      <c r="F95" s="2997" t="s">
        <v>3218</v>
      </c>
      <c r="G95" s="2998" t="s">
        <v>3324</v>
      </c>
      <c r="H95" s="2997" t="s">
        <v>3220</v>
      </c>
      <c r="I95" s="2997">
        <v>152.03</v>
      </c>
    </row>
    <row r="96" spans="1:9">
      <c r="A96" s="2997">
        <v>100</v>
      </c>
      <c r="B96" s="2997" t="s">
        <v>3221</v>
      </c>
      <c r="C96" s="2997" t="s">
        <v>3222</v>
      </c>
      <c r="D96" s="2998" t="s">
        <v>3332</v>
      </c>
      <c r="E96" s="2997" t="s">
        <v>3217</v>
      </c>
      <c r="F96" s="2997" t="s">
        <v>3218</v>
      </c>
      <c r="G96" s="2998" t="s">
        <v>3324</v>
      </c>
      <c r="H96" s="2997" t="s">
        <v>3220</v>
      </c>
      <c r="I96" s="2997">
        <v>116.9</v>
      </c>
    </row>
    <row r="97" spans="1:9">
      <c r="A97" s="2997">
        <v>102</v>
      </c>
      <c r="B97" s="2997" t="s">
        <v>3221</v>
      </c>
      <c r="C97" s="2997" t="s">
        <v>3222</v>
      </c>
      <c r="D97" s="2998" t="s">
        <v>3335</v>
      </c>
      <c r="E97" s="2997" t="s">
        <v>3217</v>
      </c>
      <c r="F97" s="2997" t="s">
        <v>3218</v>
      </c>
      <c r="G97" s="2998" t="s">
        <v>3336</v>
      </c>
      <c r="H97" s="2997" t="s">
        <v>3220</v>
      </c>
      <c r="I97" s="2997">
        <v>160.65</v>
      </c>
    </row>
    <row r="98" spans="1:9">
      <c r="A98" s="2997">
        <v>103</v>
      </c>
      <c r="B98" s="2997" t="s">
        <v>3221</v>
      </c>
      <c r="C98" s="2997" t="s">
        <v>3222</v>
      </c>
      <c r="D98" s="2998" t="s">
        <v>3337</v>
      </c>
      <c r="E98" s="2997" t="s">
        <v>3217</v>
      </c>
      <c r="F98" s="2997" t="s">
        <v>3218</v>
      </c>
      <c r="G98" s="2998" t="s">
        <v>3336</v>
      </c>
      <c r="H98" s="2997" t="s">
        <v>3220</v>
      </c>
      <c r="I98" s="2997">
        <v>152</v>
      </c>
    </row>
    <row r="99" spans="1:9">
      <c r="A99" s="2997">
        <v>104</v>
      </c>
      <c r="B99" s="2997" t="s">
        <v>3221</v>
      </c>
      <c r="C99" s="2997" t="s">
        <v>3222</v>
      </c>
      <c r="D99" s="2998" t="s">
        <v>3338</v>
      </c>
      <c r="E99" s="2997" t="s">
        <v>3217</v>
      </c>
      <c r="F99" s="2997" t="s">
        <v>3218</v>
      </c>
      <c r="G99" s="2998" t="s">
        <v>3336</v>
      </c>
      <c r="H99" s="2997" t="s">
        <v>3220</v>
      </c>
      <c r="I99" s="2997">
        <v>152</v>
      </c>
    </row>
    <row r="100" spans="1:9">
      <c r="A100" s="2997">
        <v>105</v>
      </c>
      <c r="B100" s="2997" t="s">
        <v>3221</v>
      </c>
      <c r="C100" s="2997" t="s">
        <v>3222</v>
      </c>
      <c r="D100" s="2998" t="s">
        <v>3339</v>
      </c>
      <c r="E100" s="2997" t="s">
        <v>3217</v>
      </c>
      <c r="F100" s="2997" t="s">
        <v>3218</v>
      </c>
      <c r="G100" s="2998" t="s">
        <v>3336</v>
      </c>
      <c r="H100" s="2997" t="s">
        <v>3220</v>
      </c>
      <c r="I100" s="2997">
        <v>152</v>
      </c>
    </row>
    <row r="101" spans="1:9">
      <c r="A101" s="2997">
        <v>106</v>
      </c>
      <c r="B101" s="2997" t="s">
        <v>3221</v>
      </c>
      <c r="C101" s="2997" t="s">
        <v>3222</v>
      </c>
      <c r="D101" s="2998" t="s">
        <v>3340</v>
      </c>
      <c r="E101" s="2997" t="s">
        <v>3217</v>
      </c>
      <c r="F101" s="2997" t="s">
        <v>3218</v>
      </c>
      <c r="G101" s="2998" t="s">
        <v>3336</v>
      </c>
      <c r="H101" s="2997" t="s">
        <v>3220</v>
      </c>
      <c r="I101" s="2997">
        <v>152</v>
      </c>
    </row>
    <row r="102" spans="1:9">
      <c r="A102" s="2997">
        <v>107</v>
      </c>
      <c r="B102" s="2997" t="s">
        <v>3221</v>
      </c>
      <c r="C102" s="2997" t="s">
        <v>3222</v>
      </c>
      <c r="D102" s="2998" t="s">
        <v>3341</v>
      </c>
      <c r="E102" s="2997" t="s">
        <v>3217</v>
      </c>
      <c r="F102" s="2997" t="s">
        <v>3218</v>
      </c>
      <c r="G102" s="2998" t="s">
        <v>3336</v>
      </c>
      <c r="H102" s="2997" t="s">
        <v>3220</v>
      </c>
      <c r="I102" s="2997">
        <v>208.31</v>
      </c>
    </row>
    <row r="103" spans="1:9">
      <c r="A103" s="2997">
        <v>108</v>
      </c>
      <c r="B103" s="2997" t="s">
        <v>3221</v>
      </c>
      <c r="C103" s="2997" t="s">
        <v>3222</v>
      </c>
      <c r="D103" s="2998" t="s">
        <v>3342</v>
      </c>
      <c r="E103" s="2997" t="s">
        <v>3217</v>
      </c>
      <c r="F103" s="2997" t="s">
        <v>3218</v>
      </c>
      <c r="G103" s="2998" t="s">
        <v>3336</v>
      </c>
      <c r="H103" s="2997" t="s">
        <v>3220</v>
      </c>
      <c r="I103" s="2997">
        <v>222.93</v>
      </c>
    </row>
    <row r="104" spans="1:9">
      <c r="A104" s="2997">
        <v>109</v>
      </c>
      <c r="B104" s="2997" t="s">
        <v>3221</v>
      </c>
      <c r="C104" s="2997" t="s">
        <v>3222</v>
      </c>
      <c r="D104" s="2998" t="s">
        <v>3343</v>
      </c>
      <c r="E104" s="2997" t="s">
        <v>3217</v>
      </c>
      <c r="F104" s="2997" t="s">
        <v>3218</v>
      </c>
      <c r="G104" s="2998" t="s">
        <v>3336</v>
      </c>
      <c r="H104" s="2997" t="s">
        <v>3220</v>
      </c>
      <c r="I104" s="2997">
        <v>152.03</v>
      </c>
    </row>
    <row r="105" spans="1:9">
      <c r="A105" s="2997">
        <v>110</v>
      </c>
      <c r="B105" s="2997" t="s">
        <v>3221</v>
      </c>
      <c r="C105" s="2997" t="s">
        <v>3222</v>
      </c>
      <c r="D105" s="2998" t="s">
        <v>3344</v>
      </c>
      <c r="E105" s="2997" t="s">
        <v>3217</v>
      </c>
      <c r="F105" s="2997" t="s">
        <v>3218</v>
      </c>
      <c r="G105" s="2998" t="s">
        <v>3336</v>
      </c>
      <c r="H105" s="2997" t="s">
        <v>3220</v>
      </c>
      <c r="I105" s="2997">
        <v>116.9</v>
      </c>
    </row>
    <row r="106" spans="1:9">
      <c r="A106" s="2997">
        <v>112</v>
      </c>
      <c r="B106" s="2997" t="s">
        <v>3221</v>
      </c>
      <c r="C106" s="2997" t="s">
        <v>3222</v>
      </c>
      <c r="D106" s="2998" t="s">
        <v>3347</v>
      </c>
      <c r="E106" s="2997" t="s">
        <v>3217</v>
      </c>
      <c r="F106" s="2997" t="s">
        <v>3218</v>
      </c>
      <c r="G106" s="2998" t="s">
        <v>3348</v>
      </c>
      <c r="H106" s="2997" t="s">
        <v>3220</v>
      </c>
      <c r="I106" s="2997">
        <v>160.65</v>
      </c>
    </row>
    <row r="107" spans="1:9">
      <c r="A107" s="2997">
        <v>113</v>
      </c>
      <c r="B107" s="2997" t="s">
        <v>3221</v>
      </c>
      <c r="C107" s="2997" t="s">
        <v>3222</v>
      </c>
      <c r="D107" s="2998" t="s">
        <v>3349</v>
      </c>
      <c r="E107" s="2997" t="s">
        <v>3217</v>
      </c>
      <c r="F107" s="2997" t="s">
        <v>3218</v>
      </c>
      <c r="G107" s="2998" t="s">
        <v>3348</v>
      </c>
      <c r="H107" s="2997" t="s">
        <v>3220</v>
      </c>
      <c r="I107" s="2997">
        <v>152</v>
      </c>
    </row>
    <row r="108" spans="1:9">
      <c r="A108" s="2997">
        <v>114</v>
      </c>
      <c r="B108" s="2997" t="s">
        <v>3221</v>
      </c>
      <c r="C108" s="2997" t="s">
        <v>3222</v>
      </c>
      <c r="D108" s="2998" t="s">
        <v>3350</v>
      </c>
      <c r="E108" s="2997" t="s">
        <v>3217</v>
      </c>
      <c r="F108" s="2997" t="s">
        <v>3218</v>
      </c>
      <c r="G108" s="2998" t="s">
        <v>3348</v>
      </c>
      <c r="H108" s="2997" t="s">
        <v>3220</v>
      </c>
      <c r="I108" s="2997">
        <v>152</v>
      </c>
    </row>
    <row r="109" spans="1:9">
      <c r="A109" s="2997">
        <v>115</v>
      </c>
      <c r="B109" s="2997" t="s">
        <v>3221</v>
      </c>
      <c r="C109" s="2997" t="s">
        <v>3222</v>
      </c>
      <c r="D109" s="2998" t="s">
        <v>3351</v>
      </c>
      <c r="E109" s="2997" t="s">
        <v>3217</v>
      </c>
      <c r="F109" s="2997" t="s">
        <v>3218</v>
      </c>
      <c r="G109" s="2998" t="s">
        <v>3348</v>
      </c>
      <c r="H109" s="2997" t="s">
        <v>3220</v>
      </c>
      <c r="I109" s="2997">
        <v>152</v>
      </c>
    </row>
    <row r="110" spans="1:9">
      <c r="A110" s="2997">
        <v>116</v>
      </c>
      <c r="B110" s="2997" t="s">
        <v>3221</v>
      </c>
      <c r="C110" s="2997" t="s">
        <v>3222</v>
      </c>
      <c r="D110" s="2998" t="s">
        <v>3352</v>
      </c>
      <c r="E110" s="2997" t="s">
        <v>3217</v>
      </c>
      <c r="F110" s="2997" t="s">
        <v>3218</v>
      </c>
      <c r="G110" s="2998" t="s">
        <v>3348</v>
      </c>
      <c r="H110" s="2997" t="s">
        <v>3220</v>
      </c>
      <c r="I110" s="2997">
        <v>152</v>
      </c>
    </row>
    <row r="111" spans="1:9">
      <c r="A111" s="2997">
        <v>117</v>
      </c>
      <c r="B111" s="2997" t="s">
        <v>3221</v>
      </c>
      <c r="C111" s="2997" t="s">
        <v>3222</v>
      </c>
      <c r="D111" s="2998" t="s">
        <v>3353</v>
      </c>
      <c r="E111" s="2997" t="s">
        <v>3217</v>
      </c>
      <c r="F111" s="2997" t="s">
        <v>3218</v>
      </c>
      <c r="G111" s="2998" t="s">
        <v>3348</v>
      </c>
      <c r="H111" s="2997" t="s">
        <v>3220</v>
      </c>
      <c r="I111" s="2997">
        <v>208.31</v>
      </c>
    </row>
    <row r="112" spans="1:9">
      <c r="A112" s="2997">
        <v>118</v>
      </c>
      <c r="B112" s="2997" t="s">
        <v>3221</v>
      </c>
      <c r="C112" s="2997" t="s">
        <v>3222</v>
      </c>
      <c r="D112" s="2998" t="s">
        <v>3354</v>
      </c>
      <c r="E112" s="2997" t="s">
        <v>3217</v>
      </c>
      <c r="F112" s="2997" t="s">
        <v>3218</v>
      </c>
      <c r="G112" s="2998" t="s">
        <v>3348</v>
      </c>
      <c r="H112" s="2997" t="s">
        <v>3220</v>
      </c>
      <c r="I112" s="2997">
        <v>222.93</v>
      </c>
    </row>
    <row r="113" spans="1:9">
      <c r="A113" s="2997">
        <v>119</v>
      </c>
      <c r="B113" s="2997" t="s">
        <v>3221</v>
      </c>
      <c r="C113" s="2997" t="s">
        <v>3222</v>
      </c>
      <c r="D113" s="2998" t="s">
        <v>3355</v>
      </c>
      <c r="E113" s="2997" t="s">
        <v>3217</v>
      </c>
      <c r="F113" s="2997" t="s">
        <v>3218</v>
      </c>
      <c r="G113" s="2998" t="s">
        <v>3348</v>
      </c>
      <c r="H113" s="2997" t="s">
        <v>3220</v>
      </c>
      <c r="I113" s="2997">
        <v>152.03</v>
      </c>
    </row>
    <row r="114" spans="1:9">
      <c r="A114" s="2997">
        <v>120</v>
      </c>
      <c r="B114" s="2997" t="s">
        <v>3221</v>
      </c>
      <c r="C114" s="2997" t="s">
        <v>3222</v>
      </c>
      <c r="D114" s="2998" t="s">
        <v>3356</v>
      </c>
      <c r="E114" s="2997" t="s">
        <v>3217</v>
      </c>
      <c r="F114" s="2997" t="s">
        <v>3218</v>
      </c>
      <c r="G114" s="2998" t="s">
        <v>3348</v>
      </c>
      <c r="H114" s="2997" t="s">
        <v>3220</v>
      </c>
      <c r="I114" s="2997">
        <v>116.9</v>
      </c>
    </row>
    <row r="115" spans="1:9">
      <c r="A115" s="2997">
        <v>1</v>
      </c>
      <c r="B115" s="2997" t="s">
        <v>3182</v>
      </c>
      <c r="C115" s="2997" t="s">
        <v>3183</v>
      </c>
      <c r="D115" s="2998" t="s">
        <v>3184</v>
      </c>
      <c r="E115" s="2997" t="s">
        <v>3122</v>
      </c>
      <c r="F115" s="2997" t="s">
        <v>3186</v>
      </c>
      <c r="G115" s="2998" t="s">
        <v>3187</v>
      </c>
      <c r="H115" s="2997" t="s">
        <v>3188</v>
      </c>
      <c r="I115" s="2997">
        <v>5960.53</v>
      </c>
    </row>
    <row r="116" spans="1:9">
      <c r="A116" s="2997">
        <v>2</v>
      </c>
      <c r="B116" s="2997" t="s">
        <v>3182</v>
      </c>
      <c r="C116" s="2997" t="s">
        <v>3183</v>
      </c>
      <c r="D116" s="2998" t="s">
        <v>3189</v>
      </c>
      <c r="E116" s="2997" t="s">
        <v>3122</v>
      </c>
      <c r="F116" s="2997" t="s">
        <v>3186</v>
      </c>
      <c r="G116" s="2998" t="s">
        <v>3187</v>
      </c>
      <c r="H116" s="2997" t="s">
        <v>3188</v>
      </c>
      <c r="I116" s="2997">
        <v>2831.2</v>
      </c>
    </row>
    <row r="117" spans="1:9">
      <c r="A117" s="2997">
        <v>3</v>
      </c>
      <c r="B117" s="2997" t="s">
        <v>3182</v>
      </c>
      <c r="C117" s="2997" t="s">
        <v>3183</v>
      </c>
      <c r="D117" s="2998" t="s">
        <v>3190</v>
      </c>
      <c r="E117" s="2997" t="s">
        <v>3122</v>
      </c>
      <c r="F117" s="2997" t="s">
        <v>3186</v>
      </c>
      <c r="G117" s="2998" t="s">
        <v>3187</v>
      </c>
      <c r="H117" s="2997" t="s">
        <v>3188</v>
      </c>
      <c r="I117" s="2997">
        <v>973.41</v>
      </c>
    </row>
    <row r="118" spans="1:9">
      <c r="A118" s="2997">
        <v>5</v>
      </c>
      <c r="B118" s="2997" t="s">
        <v>3182</v>
      </c>
      <c r="C118" s="2997" t="s">
        <v>3183</v>
      </c>
      <c r="D118" s="2998" t="s">
        <v>3196</v>
      </c>
      <c r="E118" s="2997" t="s">
        <v>3122</v>
      </c>
      <c r="F118" s="2997" t="s">
        <v>3197</v>
      </c>
      <c r="G118" s="2998" t="s">
        <v>3198</v>
      </c>
      <c r="H118" s="2997" t="s">
        <v>3188</v>
      </c>
      <c r="I118" s="2997">
        <v>8925.85</v>
      </c>
    </row>
    <row r="119" spans="1:9">
      <c r="A119" s="2997">
        <v>6</v>
      </c>
      <c r="B119" s="2997" t="s">
        <v>3182</v>
      </c>
      <c r="C119" s="2997" t="s">
        <v>3183</v>
      </c>
      <c r="D119" s="2998" t="s">
        <v>3199</v>
      </c>
      <c r="E119" s="2997" t="s">
        <v>3122</v>
      </c>
      <c r="F119" s="2997" t="s">
        <v>3186</v>
      </c>
      <c r="G119" s="2998" t="s">
        <v>3198</v>
      </c>
      <c r="H119" s="2997" t="s">
        <v>3188</v>
      </c>
      <c r="I119" s="2997">
        <v>1999.18</v>
      </c>
    </row>
    <row r="120" spans="1:9">
      <c r="A120" s="2997">
        <v>7</v>
      </c>
      <c r="B120" s="2997" t="s">
        <v>3182</v>
      </c>
      <c r="C120" s="2997" t="s">
        <v>3183</v>
      </c>
      <c r="D120" s="2998" t="s">
        <v>3200</v>
      </c>
      <c r="E120" s="2997" t="s">
        <v>3122</v>
      </c>
      <c r="F120" s="2997" t="s">
        <v>3186</v>
      </c>
      <c r="G120" s="2998" t="s">
        <v>1027</v>
      </c>
      <c r="H120" s="2997" t="s">
        <v>3188</v>
      </c>
      <c r="I120" s="2997">
        <v>8965.7800000000007</v>
      </c>
    </row>
    <row r="121" spans="1:9">
      <c r="A121" s="2997">
        <v>8</v>
      </c>
      <c r="B121" s="2997" t="s">
        <v>3182</v>
      </c>
      <c r="C121" s="2997" t="s">
        <v>3202</v>
      </c>
      <c r="D121" s="2998" t="s">
        <v>3203</v>
      </c>
      <c r="E121" s="2997" t="s">
        <v>3122</v>
      </c>
      <c r="F121" s="2997" t="s">
        <v>3186</v>
      </c>
      <c r="G121" s="2998" t="s">
        <v>1027</v>
      </c>
      <c r="H121" s="2997" t="s">
        <v>3188</v>
      </c>
      <c r="I121" s="2997">
        <v>1991.5</v>
      </c>
    </row>
    <row r="122" spans="1:9">
      <c r="A122" s="2997">
        <v>10</v>
      </c>
      <c r="B122" s="2997" t="s">
        <v>3182</v>
      </c>
      <c r="C122" s="2997" t="s">
        <v>3183</v>
      </c>
      <c r="D122" s="2998" t="s">
        <v>3208</v>
      </c>
      <c r="E122" s="2997" t="s">
        <v>3122</v>
      </c>
      <c r="F122" s="2997" t="s">
        <v>3186</v>
      </c>
      <c r="G122" s="2998" t="s">
        <v>1028</v>
      </c>
      <c r="H122" s="2997" t="s">
        <v>3188</v>
      </c>
      <c r="I122" s="2997">
        <v>10095.84</v>
      </c>
    </row>
    <row r="123" spans="1:9">
      <c r="A123" s="2997">
        <v>122</v>
      </c>
      <c r="B123" s="2997" t="s">
        <v>3182</v>
      </c>
      <c r="C123" s="2997" t="s">
        <v>3202</v>
      </c>
      <c r="D123" s="2998" t="s">
        <v>3362</v>
      </c>
      <c r="E123" s="2997" t="s">
        <v>3217</v>
      </c>
      <c r="F123" s="2997" t="s">
        <v>3186</v>
      </c>
      <c r="G123" s="2998" t="s">
        <v>3358</v>
      </c>
      <c r="H123" s="2997" t="s">
        <v>3359</v>
      </c>
      <c r="I123" s="2997">
        <v>21.37</v>
      </c>
    </row>
    <row r="124" spans="1:9">
      <c r="A124" s="2997">
        <v>123</v>
      </c>
      <c r="B124" s="2997" t="s">
        <v>3182</v>
      </c>
      <c r="C124" s="2997" t="s">
        <v>3202</v>
      </c>
      <c r="D124" s="2998" t="s">
        <v>3364</v>
      </c>
      <c r="E124" s="2997" t="s">
        <v>3217</v>
      </c>
      <c r="F124" s="2997" t="s">
        <v>3186</v>
      </c>
      <c r="G124" s="2998" t="s">
        <v>3358</v>
      </c>
      <c r="H124" s="2997" t="s">
        <v>3359</v>
      </c>
      <c r="I124" s="2997">
        <v>7.56</v>
      </c>
    </row>
    <row r="125" spans="1:9">
      <c r="A125" s="2997">
        <v>124</v>
      </c>
      <c r="B125" s="2997" t="s">
        <v>3182</v>
      </c>
      <c r="C125" s="2997" t="s">
        <v>3202</v>
      </c>
      <c r="D125" s="2998" t="s">
        <v>3365</v>
      </c>
      <c r="E125" s="2997" t="s">
        <v>3217</v>
      </c>
      <c r="F125" s="2997" t="s">
        <v>3186</v>
      </c>
      <c r="G125" s="2998" t="s">
        <v>3358</v>
      </c>
      <c r="H125" s="2997" t="s">
        <v>3359</v>
      </c>
      <c r="I125" s="2997">
        <v>36.07</v>
      </c>
    </row>
    <row r="126" spans="1:9">
      <c r="A126" s="2997">
        <v>125</v>
      </c>
      <c r="B126" s="2997" t="s">
        <v>3182</v>
      </c>
      <c r="C126" s="2997" t="s">
        <v>3202</v>
      </c>
      <c r="D126" s="2998" t="s">
        <v>3366</v>
      </c>
      <c r="E126" s="2997" t="s">
        <v>3217</v>
      </c>
      <c r="F126" s="2997" t="s">
        <v>3186</v>
      </c>
      <c r="G126" s="2998" t="s">
        <v>3358</v>
      </c>
      <c r="H126" s="2997" t="s">
        <v>3359</v>
      </c>
      <c r="I126" s="2997">
        <v>21.25</v>
      </c>
    </row>
    <row r="127" spans="1:9">
      <c r="A127" s="2997">
        <v>126</v>
      </c>
      <c r="B127" s="2997" t="s">
        <v>3182</v>
      </c>
      <c r="C127" s="2997" t="s">
        <v>3202</v>
      </c>
      <c r="D127" s="2998" t="s">
        <v>3367</v>
      </c>
      <c r="E127" s="2997" t="s">
        <v>3217</v>
      </c>
      <c r="F127" s="2997" t="s">
        <v>3186</v>
      </c>
      <c r="G127" s="2998" t="s">
        <v>3358</v>
      </c>
      <c r="H127" s="2997" t="s">
        <v>3359</v>
      </c>
      <c r="I127" s="2997">
        <v>57.48</v>
      </c>
    </row>
    <row r="128" spans="1:9">
      <c r="A128" s="2997">
        <v>127</v>
      </c>
      <c r="B128" s="2997" t="s">
        <v>3182</v>
      </c>
      <c r="C128" s="2997" t="s">
        <v>3202</v>
      </c>
      <c r="D128" s="2998" t="s">
        <v>3368</v>
      </c>
      <c r="E128" s="2997" t="s">
        <v>3217</v>
      </c>
      <c r="F128" s="2997" t="s">
        <v>3186</v>
      </c>
      <c r="G128" s="2998" t="s">
        <v>3358</v>
      </c>
      <c r="H128" s="2997" t="s">
        <v>3359</v>
      </c>
      <c r="I128" s="2997">
        <v>50.19</v>
      </c>
    </row>
    <row r="129" spans="1:9">
      <c r="A129" s="2997">
        <v>128</v>
      </c>
      <c r="B129" s="2997" t="s">
        <v>3182</v>
      </c>
      <c r="C129" s="2997" t="s">
        <v>3202</v>
      </c>
      <c r="D129" s="2998" t="s">
        <v>3369</v>
      </c>
      <c r="E129" s="2997" t="s">
        <v>3217</v>
      </c>
      <c r="F129" s="2997" t="s">
        <v>3186</v>
      </c>
      <c r="G129" s="2998" t="s">
        <v>3358</v>
      </c>
      <c r="H129" s="2997" t="s">
        <v>3359</v>
      </c>
      <c r="I129" s="2997">
        <v>6828.51</v>
      </c>
    </row>
    <row r="130" spans="1:9">
      <c r="A130" s="2997">
        <v>129</v>
      </c>
      <c r="B130" s="2997" t="s">
        <v>3182</v>
      </c>
      <c r="C130" s="2997" t="s">
        <v>3202</v>
      </c>
      <c r="D130" s="2998" t="s">
        <v>3370</v>
      </c>
      <c r="E130" s="2997" t="s">
        <v>3217</v>
      </c>
      <c r="F130" s="2997" t="s">
        <v>3186</v>
      </c>
      <c r="G130" s="2998" t="s">
        <v>3358</v>
      </c>
      <c r="H130" s="2997" t="s">
        <v>3371</v>
      </c>
      <c r="I130" s="2997">
        <v>1940.16</v>
      </c>
    </row>
    <row r="131" spans="1:9">
      <c r="A131" s="2997">
        <v>130</v>
      </c>
      <c r="B131" s="2997" t="s">
        <v>3182</v>
      </c>
      <c r="C131" s="2997" t="s">
        <v>3202</v>
      </c>
      <c r="D131" s="2998" t="s">
        <v>3372</v>
      </c>
      <c r="E131" s="2997" t="s">
        <v>3217</v>
      </c>
      <c r="F131" s="2997" t="s">
        <v>3186</v>
      </c>
      <c r="G131" s="2998" t="s">
        <v>3358</v>
      </c>
      <c r="H131" s="2997" t="s">
        <v>3359</v>
      </c>
      <c r="I131" s="2997">
        <v>69.25</v>
      </c>
    </row>
    <row r="132" spans="1:9">
      <c r="A132" s="2997">
        <v>131</v>
      </c>
      <c r="B132" s="2997" t="s">
        <v>3182</v>
      </c>
      <c r="C132" s="2997" t="s">
        <v>3202</v>
      </c>
      <c r="D132" s="2998" t="s">
        <v>3373</v>
      </c>
      <c r="E132" s="2997" t="s">
        <v>3217</v>
      </c>
      <c r="F132" s="2997" t="s">
        <v>3186</v>
      </c>
      <c r="G132" s="2998" t="s">
        <v>3358</v>
      </c>
      <c r="H132" s="2997" t="s">
        <v>3359</v>
      </c>
      <c r="I132" s="2997">
        <v>48.56</v>
      </c>
    </row>
    <row r="133" spans="1:9">
      <c r="A133" s="2997">
        <v>132</v>
      </c>
      <c r="B133" s="2997" t="s">
        <v>3182</v>
      </c>
      <c r="C133" s="2997" t="s">
        <v>3202</v>
      </c>
      <c r="D133" s="2998" t="s">
        <v>3374</v>
      </c>
      <c r="E133" s="2997" t="s">
        <v>3217</v>
      </c>
      <c r="F133" s="2997" t="s">
        <v>3186</v>
      </c>
      <c r="G133" s="2998" t="s">
        <v>3358</v>
      </c>
      <c r="H133" s="2997" t="s">
        <v>3359</v>
      </c>
      <c r="I133" s="2997">
        <v>48.56</v>
      </c>
    </row>
    <row r="134" spans="1:9">
      <c r="A134" s="2997">
        <v>133</v>
      </c>
      <c r="B134" s="2997" t="s">
        <v>3182</v>
      </c>
      <c r="C134" s="2997" t="s">
        <v>3202</v>
      </c>
      <c r="D134" s="2998" t="s">
        <v>3375</v>
      </c>
      <c r="E134" s="2997" t="s">
        <v>3217</v>
      </c>
      <c r="F134" s="2997" t="s">
        <v>3186</v>
      </c>
      <c r="G134" s="2998" t="s">
        <v>3358</v>
      </c>
      <c r="H134" s="2997" t="s">
        <v>3359</v>
      </c>
      <c r="I134" s="2997">
        <v>47.76</v>
      </c>
    </row>
    <row r="135" spans="1:9">
      <c r="A135" s="2997">
        <v>134</v>
      </c>
      <c r="B135" s="2997" t="s">
        <v>3182</v>
      </c>
      <c r="C135" s="2997" t="s">
        <v>3202</v>
      </c>
      <c r="D135" s="2998" t="s">
        <v>3376</v>
      </c>
      <c r="E135" s="2997" t="s">
        <v>3217</v>
      </c>
      <c r="F135" s="2997" t="s">
        <v>3186</v>
      </c>
      <c r="G135" s="2998" t="s">
        <v>3358</v>
      </c>
      <c r="H135" s="2997" t="s">
        <v>3359</v>
      </c>
      <c r="I135" s="2997">
        <v>53.68</v>
      </c>
    </row>
    <row r="136" spans="1:9">
      <c r="A136" s="2997">
        <v>135</v>
      </c>
      <c r="B136" s="2997" t="s">
        <v>3182</v>
      </c>
      <c r="C136" s="2997" t="s">
        <v>3202</v>
      </c>
      <c r="D136" s="2998" t="s">
        <v>3377</v>
      </c>
      <c r="E136" s="2997" t="s">
        <v>3217</v>
      </c>
      <c r="F136" s="2997" t="s">
        <v>3186</v>
      </c>
      <c r="G136" s="2998" t="s">
        <v>3358</v>
      </c>
      <c r="H136" s="2997" t="s">
        <v>3359</v>
      </c>
      <c r="I136" s="2997">
        <v>53.68</v>
      </c>
    </row>
    <row r="137" spans="1:9">
      <c r="A137" s="2997">
        <v>136</v>
      </c>
      <c r="B137" s="2997" t="s">
        <v>3182</v>
      </c>
      <c r="C137" s="2997" t="s">
        <v>3202</v>
      </c>
      <c r="D137" s="2998" t="s">
        <v>3378</v>
      </c>
      <c r="E137" s="2997" t="s">
        <v>3217</v>
      </c>
      <c r="F137" s="2997" t="s">
        <v>3186</v>
      </c>
      <c r="G137" s="2998" t="s">
        <v>3358</v>
      </c>
      <c r="H137" s="2997" t="s">
        <v>3359</v>
      </c>
      <c r="I137" s="2997">
        <v>53.68</v>
      </c>
    </row>
    <row r="138" spans="1:9">
      <c r="A138" s="2997">
        <v>137</v>
      </c>
      <c r="B138" s="2997" t="s">
        <v>3182</v>
      </c>
      <c r="C138" s="2997" t="s">
        <v>3202</v>
      </c>
      <c r="D138" s="2998" t="s">
        <v>3379</v>
      </c>
      <c r="E138" s="2997" t="s">
        <v>3217</v>
      </c>
      <c r="F138" s="2997" t="s">
        <v>3186</v>
      </c>
      <c r="G138" s="2998" t="s">
        <v>3358</v>
      </c>
      <c r="H138" s="2997" t="s">
        <v>3359</v>
      </c>
      <c r="I138" s="2997">
        <v>53.68</v>
      </c>
    </row>
    <row r="139" spans="1:9">
      <c r="A139" s="2997">
        <v>138</v>
      </c>
      <c r="B139" s="2997" t="s">
        <v>3182</v>
      </c>
      <c r="C139" s="2997" t="s">
        <v>3202</v>
      </c>
      <c r="D139" s="2998" t="s">
        <v>3380</v>
      </c>
      <c r="E139" s="2997" t="s">
        <v>3217</v>
      </c>
      <c r="F139" s="2997" t="s">
        <v>3186</v>
      </c>
      <c r="G139" s="2998" t="s">
        <v>3358</v>
      </c>
      <c r="H139" s="2997" t="s">
        <v>3359</v>
      </c>
      <c r="I139" s="2997">
        <v>47.55</v>
      </c>
    </row>
    <row r="140" spans="1:9">
      <c r="A140" s="2997">
        <v>139</v>
      </c>
      <c r="B140" s="2997" t="s">
        <v>3182</v>
      </c>
      <c r="C140" s="2997" t="s">
        <v>3202</v>
      </c>
      <c r="D140" s="2998" t="s">
        <v>3381</v>
      </c>
      <c r="E140" s="2997" t="s">
        <v>3217</v>
      </c>
      <c r="F140" s="2997" t="s">
        <v>3186</v>
      </c>
      <c r="G140" s="2998" t="s">
        <v>3358</v>
      </c>
      <c r="H140" s="2997" t="s">
        <v>3359</v>
      </c>
      <c r="I140" s="2997">
        <v>54.7</v>
      </c>
    </row>
    <row r="141" spans="1:9">
      <c r="A141" s="2997">
        <v>140</v>
      </c>
      <c r="B141" s="2997" t="s">
        <v>3182</v>
      </c>
      <c r="C141" s="2997" t="s">
        <v>3202</v>
      </c>
      <c r="D141" s="2998" t="s">
        <v>3382</v>
      </c>
      <c r="E141" s="2997" t="s">
        <v>3217</v>
      </c>
      <c r="F141" s="2997" t="s">
        <v>3186</v>
      </c>
      <c r="G141" s="2998" t="s">
        <v>3383</v>
      </c>
      <c r="H141" s="2997" t="s">
        <v>3359</v>
      </c>
      <c r="I141" s="2997">
        <v>21.21</v>
      </c>
    </row>
    <row r="142" spans="1:9">
      <c r="A142" s="2997">
        <v>141</v>
      </c>
      <c r="B142" s="2997" t="s">
        <v>3182</v>
      </c>
      <c r="C142" s="2997" t="s">
        <v>3202</v>
      </c>
      <c r="D142" s="2998" t="s">
        <v>3384</v>
      </c>
      <c r="E142" s="2997" t="s">
        <v>3217</v>
      </c>
      <c r="F142" s="2997" t="s">
        <v>3186</v>
      </c>
      <c r="G142" s="2998" t="s">
        <v>3383</v>
      </c>
      <c r="H142" s="2997" t="s">
        <v>3359</v>
      </c>
      <c r="I142" s="2997">
        <v>46.3</v>
      </c>
    </row>
    <row r="143" spans="1:9">
      <c r="A143" s="2997">
        <v>142</v>
      </c>
      <c r="B143" s="2997" t="s">
        <v>3182</v>
      </c>
      <c r="C143" s="2997" t="s">
        <v>3202</v>
      </c>
      <c r="D143" s="2998" t="s">
        <v>3385</v>
      </c>
      <c r="E143" s="2997" t="s">
        <v>3217</v>
      </c>
      <c r="F143" s="2997" t="s">
        <v>3186</v>
      </c>
      <c r="G143" s="2998" t="s">
        <v>3383</v>
      </c>
      <c r="H143" s="2997" t="s">
        <v>3359</v>
      </c>
      <c r="I143" s="2997">
        <v>37.840000000000003</v>
      </c>
    </row>
    <row r="144" spans="1:9">
      <c r="A144" s="2997">
        <v>143</v>
      </c>
      <c r="B144" s="2997" t="s">
        <v>3182</v>
      </c>
      <c r="C144" s="2997" t="s">
        <v>3202</v>
      </c>
      <c r="D144" s="2998" t="s">
        <v>3386</v>
      </c>
      <c r="E144" s="2997" t="s">
        <v>3217</v>
      </c>
      <c r="F144" s="2997" t="s">
        <v>3186</v>
      </c>
      <c r="G144" s="2998" t="s">
        <v>3383</v>
      </c>
      <c r="H144" s="2997" t="s">
        <v>3359</v>
      </c>
      <c r="I144" s="2997">
        <v>50.82</v>
      </c>
    </row>
    <row r="145" spans="1:9">
      <c r="A145" s="2997">
        <v>144</v>
      </c>
      <c r="B145" s="2997" t="s">
        <v>3182</v>
      </c>
      <c r="C145" s="2997" t="s">
        <v>3202</v>
      </c>
      <c r="D145" s="2998" t="s">
        <v>3387</v>
      </c>
      <c r="E145" s="2997" t="s">
        <v>3217</v>
      </c>
      <c r="F145" s="2997" t="s">
        <v>3186</v>
      </c>
      <c r="G145" s="2998" t="s">
        <v>3383</v>
      </c>
      <c r="H145" s="2997" t="s">
        <v>3359</v>
      </c>
      <c r="I145" s="2997">
        <v>1951.24</v>
      </c>
    </row>
    <row r="146" spans="1:9">
      <c r="A146" s="2997">
        <v>145</v>
      </c>
      <c r="B146" s="2997" t="s">
        <v>3182</v>
      </c>
      <c r="C146" s="2997" t="s">
        <v>3202</v>
      </c>
      <c r="D146" s="2998" t="s">
        <v>3388</v>
      </c>
      <c r="E146" s="2997" t="s">
        <v>3217</v>
      </c>
      <c r="F146" s="2997" t="s">
        <v>3186</v>
      </c>
      <c r="G146" s="2998" t="s">
        <v>3389</v>
      </c>
      <c r="H146" s="2997" t="s">
        <v>3359</v>
      </c>
      <c r="I146" s="2997">
        <v>179.13</v>
      </c>
    </row>
    <row r="147" spans="1:9">
      <c r="A147" s="2997">
        <v>146</v>
      </c>
      <c r="B147" s="2997" t="s">
        <v>3182</v>
      </c>
      <c r="C147" s="2997" t="s">
        <v>3202</v>
      </c>
      <c r="D147" s="2998" t="s">
        <v>3390</v>
      </c>
      <c r="E147" s="2997" t="s">
        <v>3217</v>
      </c>
      <c r="F147" s="2997" t="s">
        <v>3186</v>
      </c>
      <c r="G147" s="2998" t="s">
        <v>3389</v>
      </c>
      <c r="H147" s="2997" t="s">
        <v>3359</v>
      </c>
      <c r="I147" s="2997">
        <v>21.21</v>
      </c>
    </row>
    <row r="148" spans="1:9">
      <c r="A148" s="2997">
        <v>147</v>
      </c>
      <c r="B148" s="2997" t="s">
        <v>3182</v>
      </c>
      <c r="C148" s="2997" t="s">
        <v>3202</v>
      </c>
      <c r="D148" s="2998" t="s">
        <v>3391</v>
      </c>
      <c r="E148" s="2997" t="s">
        <v>3217</v>
      </c>
      <c r="F148" s="2997" t="s">
        <v>3186</v>
      </c>
      <c r="G148" s="2998" t="s">
        <v>3389</v>
      </c>
      <c r="H148" s="2997" t="s">
        <v>3359</v>
      </c>
      <c r="I148" s="2997">
        <v>49.91</v>
      </c>
    </row>
    <row r="149" spans="1:9">
      <c r="A149" s="2997">
        <v>148</v>
      </c>
      <c r="B149" s="2997" t="s">
        <v>3182</v>
      </c>
      <c r="C149" s="2997" t="s">
        <v>3202</v>
      </c>
      <c r="D149" s="2998" t="s">
        <v>3392</v>
      </c>
      <c r="E149" s="2997" t="s">
        <v>3217</v>
      </c>
      <c r="F149" s="2997" t="s">
        <v>3186</v>
      </c>
      <c r="G149" s="2998" t="s">
        <v>3389</v>
      </c>
      <c r="H149" s="2997" t="s">
        <v>3359</v>
      </c>
      <c r="I149" s="2997">
        <v>2544.79</v>
      </c>
    </row>
    <row r="150" spans="1:9">
      <c r="A150" s="2997"/>
      <c r="B150" s="2997" t="s">
        <v>3393</v>
      </c>
      <c r="C150" s="2997"/>
      <c r="D150" s="2998"/>
      <c r="E150" s="2997"/>
      <c r="F150" s="2997"/>
      <c r="G150" s="2998"/>
      <c r="H150" s="2997"/>
      <c r="I150" s="2997">
        <f>SUM(I2:I149)</f>
        <v>89988.24000000002</v>
      </c>
    </row>
    <row r="152" spans="1:9">
      <c r="D152" s="2999"/>
      <c r="G152" s="2999"/>
    </row>
    <row r="153" spans="1:9">
      <c r="A153" s="2997" t="s">
        <v>3404</v>
      </c>
      <c r="B153" s="2997">
        <f>SUM(I115,I116,I117,I15)</f>
        <v>9797.0999999999985</v>
      </c>
      <c r="D153" s="2999"/>
      <c r="G153" s="2999"/>
    </row>
    <row r="154" spans="1:9">
      <c r="A154" s="2997" t="s">
        <v>3405</v>
      </c>
      <c r="B154" s="2997">
        <f>SUM(I118:I119)</f>
        <v>10925.03</v>
      </c>
      <c r="D154" s="2999"/>
      <c r="G154" s="2999"/>
    </row>
    <row r="155" spans="1:9">
      <c r="A155" s="2997" t="s">
        <v>3406</v>
      </c>
      <c r="B155" s="2997">
        <f>SUM(I120:I121)</f>
        <v>10957.28</v>
      </c>
      <c r="D155" s="2999"/>
      <c r="G155" s="2999"/>
    </row>
    <row r="156" spans="1:9">
      <c r="A156" s="2997" t="s">
        <v>3407</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9">
      <c r="A161" s="2997" t="s">
        <v>3432</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3411</v>
      </c>
      <c r="C164" s="3000" t="s">
        <v>3412</v>
      </c>
      <c r="D164" s="3000" t="s">
        <v>3413</v>
      </c>
      <c r="E164" s="3000" t="s">
        <v>3417</v>
      </c>
      <c r="F164" s="3000" t="s">
        <v>3414</v>
      </c>
      <c r="G164" s="3000" t="s">
        <v>3415</v>
      </c>
      <c r="H164" s="3000" t="s">
        <v>3426</v>
      </c>
      <c r="I164" s="3000" t="s">
        <v>3430</v>
      </c>
    </row>
    <row r="165" spans="1:9">
      <c r="A165" s="3000" t="s">
        <v>3416</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3408</v>
      </c>
      <c r="B166" s="3000">
        <v>0.6</v>
      </c>
      <c r="C166" s="3000">
        <f>B154</f>
        <v>10925.03</v>
      </c>
      <c r="D166" s="3001">
        <v>11050</v>
      </c>
      <c r="E166" s="3001">
        <v>0</v>
      </c>
      <c r="F166" s="3003">
        <v>731009.43125000002</v>
      </c>
      <c r="G166" s="3003">
        <v>2.2051566553544495</v>
      </c>
      <c r="H166" s="3003"/>
      <c r="I166" s="3003">
        <f>$I$165*B166</f>
        <v>8.4</v>
      </c>
    </row>
    <row r="167" spans="1:9">
      <c r="A167" s="3000" t="s">
        <v>3409</v>
      </c>
      <c r="B167" s="3000">
        <v>0.5</v>
      </c>
      <c r="C167" s="3000">
        <f>B155</f>
        <v>10957.28</v>
      </c>
      <c r="D167" s="3001">
        <v>10989.5</v>
      </c>
      <c r="E167" s="3001">
        <v>0</v>
      </c>
      <c r="F167" s="3003">
        <v>663600.43124999991</v>
      </c>
      <c r="G167" s="3003">
        <v>2.0128317371126982</v>
      </c>
      <c r="H167" s="3003"/>
      <c r="I167" s="3003">
        <f>$I$165*B167</f>
        <v>7</v>
      </c>
    </row>
    <row r="168" spans="1:9">
      <c r="A168" s="3000" t="s">
        <v>3410</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t="e">
        <f ca="1">结果表商!G20</f>
        <v>#REF!</v>
      </c>
      <c r="D170" s="2999"/>
      <c r="G170" s="2999"/>
    </row>
    <row r="171" spans="1:9">
      <c r="C171" s="2999" t="e">
        <f ca="1">C170/B170</f>
        <v>#REF!</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5" sqref="H15"/>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82" t="str">
        <f>IF(B10="北京市","北京市",C10)&amp;F10&amp;IF(结果表商!G1="在建","出让国有建设用地使用权及在建建筑物",IF(结果表商!G1="土地","出让国有建设用地使用权",))&amp;B9&amp;"预评估"</f>
        <v>北京市朝阳区广顺北大街16号院1、2、3号楼房地产抵押价值预评估</v>
      </c>
      <c r="C1" s="3483"/>
      <c r="D1" s="3483"/>
      <c r="E1" s="3483"/>
      <c r="F1" s="3483"/>
      <c r="G1" s="3483"/>
      <c r="H1" s="3483"/>
      <c r="I1" s="3484"/>
      <c r="J1" s="2005"/>
      <c r="K1" s="2006"/>
      <c r="L1" s="2007"/>
      <c r="M1" s="2007"/>
      <c r="N1" s="2008"/>
      <c r="O1" s="2009"/>
      <c r="P1" s="2008"/>
      <c r="Q1" s="2008"/>
      <c r="R1" s="2008"/>
      <c r="S1" s="2010" t="str">
        <f>IF(B10="北京市","北京市",C10)&amp;F10&amp;IF(结果表商!G1="在建","出让国有建设用地使用权及在建建筑物房地产抵押价值",IF(结果表商!G1="土地","出让国有建设用地使用权抵押价值",B9))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IF(B10="北京市","北京市",C10)&amp;F10&amp;IF(结果表商!G1="在建","出让国有建设用地使用权及在建建筑物房地产",IF(结果表商!G1="土地","出让国有建设用地使用权","房地产"))</f>
        <v>北京市朝阳区广顺北大街16号院1、2、3号楼房地产</v>
      </c>
    </row>
    <row r="3" spans="1:19" ht="18" customHeight="1">
      <c r="A3" s="2014" t="s">
        <v>1765</v>
      </c>
      <c r="B3" s="2015">
        <v>43983</v>
      </c>
      <c r="C3" s="2016" t="s">
        <v>1766</v>
      </c>
      <c r="D3" s="2015">
        <f>B3</f>
        <v>43983</v>
      </c>
      <c r="E3" s="2005"/>
      <c r="F3" s="2005"/>
      <c r="G3" s="2005"/>
      <c r="H3" s="2005"/>
      <c r="I3" s="2005"/>
      <c r="J3" s="2005"/>
      <c r="K3" s="2006"/>
      <c r="L3" s="2007"/>
      <c r="M3" s="2007"/>
      <c r="N3" s="2008"/>
      <c r="O3" s="2009"/>
      <c r="P3" s="2008"/>
      <c r="Q3" s="2008"/>
      <c r="R3" s="2008"/>
      <c r="S3" s="2010"/>
    </row>
    <row r="4" spans="1:19" ht="18" customHeight="1" thickBot="1">
      <c r="A4" s="2017" t="s">
        <v>1767</v>
      </c>
      <c r="B4" s="2018" t="s">
        <v>3394</v>
      </c>
      <c r="C4" s="1027">
        <f ca="1">SUMIF(注册房地产估价师,B4,估价师及机构信息!B3:B24)</f>
        <v>1120100036</v>
      </c>
      <c r="D4" s="2018" t="s">
        <v>3395</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3396</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85"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86"/>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3397</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44804</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22.8</v>
      </c>
      <c r="F15" s="1039" t="str">
        <f>IF(B12="出让",IF(F13="","",ROUNDDOWN(MIN((F13-$D$3)/365,F14),2)),F14)</f>
        <v/>
      </c>
      <c r="G15" s="1039">
        <f>IF(B12="出让",IF(G13="","",ROUNDDOWN(MIN((G13-$D$3)/365,G14),2)),G14)</f>
        <v>32.81</v>
      </c>
      <c r="H15" s="1039">
        <f>IF(B12="出让",IF(H13="","",ROUNDDOWN(MIN((H13-$D$3)/365,H14),2)),H14)</f>
        <v>2.2400000000000002</v>
      </c>
      <c r="I15" s="1039" t="str">
        <f>IF(B12="出让",IF(I13="","",ROUNDDOWN(MIN((I13-$D$3)/365,I14),2)),I14)</f>
        <v/>
      </c>
      <c r="J15" s="2021"/>
      <c r="K15" s="2057"/>
      <c r="L15" s="2058"/>
      <c r="M15" s="2058"/>
      <c r="N15" s="2059"/>
      <c r="O15" s="2058"/>
      <c r="P15" s="2059"/>
      <c r="Q15" s="2008"/>
      <c r="R15" s="2008"/>
    </row>
    <row r="16" spans="1:19" ht="30.75" customHeight="1">
      <c r="A16" s="2041" t="s">
        <v>1788</v>
      </c>
      <c r="B16" s="3492" t="s">
        <v>3036</v>
      </c>
      <c r="C16" s="3493"/>
      <c r="D16" s="3494"/>
      <c r="E16" s="2060" t="s">
        <v>1789</v>
      </c>
      <c r="F16" s="3495" t="s">
        <v>3037</v>
      </c>
      <c r="G16" s="3496"/>
      <c r="H16" s="3496"/>
      <c r="I16" s="3497"/>
      <c r="J16" s="2008"/>
      <c r="K16" s="2057"/>
      <c r="L16" s="2058"/>
      <c r="M16" s="2058"/>
      <c r="N16" s="2059"/>
      <c r="O16" s="2058"/>
      <c r="P16" s="2059"/>
      <c r="Q16" s="2008"/>
      <c r="R16" s="2008"/>
    </row>
    <row r="17" spans="1:22" ht="18" customHeight="1">
      <c r="A17" s="2061" t="s">
        <v>1790</v>
      </c>
      <c r="B17" s="2014" t="s">
        <v>1791</v>
      </c>
      <c r="C17" s="1044">
        <f>'数据-汇总表'!E3</f>
        <v>47823.990000000005</v>
      </c>
      <c r="D17" s="2062" t="s">
        <v>1792</v>
      </c>
      <c r="E17" s="3498" t="s">
        <v>1793</v>
      </c>
      <c r="F17" s="3499"/>
      <c r="G17" s="3499"/>
      <c r="H17" s="3499"/>
      <c r="I17" s="3500"/>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10980.19</v>
      </c>
      <c r="D18" s="2065" t="s">
        <v>1792</v>
      </c>
      <c r="E18" s="3501" t="s">
        <v>1796</v>
      </c>
      <c r="F18" s="3502"/>
      <c r="G18" s="3502"/>
      <c r="H18" s="3502"/>
      <c r="I18" s="3503"/>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88" t="s">
        <v>1801</v>
      </c>
      <c r="C20" s="3489"/>
      <c r="D20" s="3490" t="s">
        <v>1802</v>
      </c>
      <c r="E20" s="3491"/>
      <c r="F20" s="2072" t="s">
        <v>1803</v>
      </c>
      <c r="G20" s="2021"/>
      <c r="H20" s="2021"/>
      <c r="I20" s="2021"/>
      <c r="J20" s="2021"/>
      <c r="K20" s="3487"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8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87"/>
      <c r="L22" s="744"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505"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505"/>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505"/>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506"/>
      <c r="B30" s="2014" t="s">
        <v>1820</v>
      </c>
      <c r="C30" s="3507"/>
      <c r="D30" s="3508"/>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509"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510"/>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510"/>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3398</v>
      </c>
      <c r="C34" s="2108" t="s">
        <v>3399</v>
      </c>
      <c r="D34" s="2108" t="s">
        <v>3400</v>
      </c>
      <c r="E34" s="2108" t="s">
        <v>3401</v>
      </c>
      <c r="F34" s="2108" t="s">
        <v>3402</v>
      </c>
      <c r="G34" s="2108" t="s">
        <v>3403</v>
      </c>
      <c r="H34" s="2108"/>
      <c r="I34" s="2021"/>
      <c r="J34" s="2021"/>
      <c r="K34" s="1775">
        <f>COUNTIF(B34:H34,"——")</f>
        <v>0</v>
      </c>
      <c r="L34" s="2049" t="s">
        <v>1823</v>
      </c>
      <c r="M34" s="2049" t="s">
        <v>1824</v>
      </c>
      <c r="N34" s="2049" t="s">
        <v>1825</v>
      </c>
      <c r="O34" s="2049" t="s">
        <v>1826</v>
      </c>
      <c r="P34" s="2049" t="s">
        <v>1827</v>
      </c>
      <c r="Q34" s="2049" t="s">
        <v>1828</v>
      </c>
      <c r="R34" s="2049" t="s">
        <v>1829</v>
      </c>
      <c r="S34" s="3504" t="s">
        <v>1830</v>
      </c>
      <c r="T34" s="2109" t="str">
        <f>NUMBERSTRING(7-K34,1)&amp;"通"</f>
        <v>七通</v>
      </c>
      <c r="U34" s="2008"/>
      <c r="V34" s="2008"/>
    </row>
    <row r="35" spans="1:22" ht="18" customHeight="1">
      <c r="A35" s="2110"/>
      <c r="B35" s="3511" t="s">
        <v>1831</v>
      </c>
      <c r="C35" s="3511"/>
      <c r="D35" s="3511"/>
      <c r="E35" s="3511"/>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504"/>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3697</v>
      </c>
      <c r="C15" s="1994"/>
    </row>
    <row r="16" spans="1:23">
      <c r="A16" s="1993" t="s">
        <v>1752</v>
      </c>
      <c r="B16" s="1993" t="s">
        <v>756</v>
      </c>
      <c r="C16" s="1994"/>
    </row>
    <row r="17" spans="1:3">
      <c r="A17" s="1993" t="s">
        <v>1753</v>
      </c>
      <c r="B17" s="1996" t="s">
        <v>3689</v>
      </c>
      <c r="C17" s="1994"/>
    </row>
    <row r="18" spans="1:3">
      <c r="A18" s="1993" t="s">
        <v>1754</v>
      </c>
      <c r="B18" s="1993" t="s">
        <v>3686</v>
      </c>
      <c r="C18" s="1994"/>
    </row>
    <row r="19" spans="1:3">
      <c r="A19" s="1993" t="s">
        <v>1755</v>
      </c>
      <c r="B19" s="1993" t="s">
        <v>3649</v>
      </c>
      <c r="C19" s="1994"/>
    </row>
    <row r="20" spans="1:3">
      <c r="A20" s="1993" t="s">
        <v>1756</v>
      </c>
      <c r="B20" s="1993" t="s">
        <v>3629</v>
      </c>
      <c r="C20" s="1994"/>
    </row>
    <row r="21" spans="1:3">
      <c r="A21" s="1993" t="s">
        <v>1757</v>
      </c>
      <c r="B21" s="1993" t="s">
        <v>3630</v>
      </c>
      <c r="C21" s="1994"/>
    </row>
    <row r="22" spans="1:3">
      <c r="A22" s="1993" t="s">
        <v>1758</v>
      </c>
      <c r="B22" s="1993" t="s">
        <v>3651</v>
      </c>
      <c r="C22" s="1994"/>
    </row>
    <row r="23" spans="1:3">
      <c r="A23" s="1993" t="s">
        <v>1759</v>
      </c>
      <c r="B23" s="1993" t="s">
        <v>3687</v>
      </c>
      <c r="C23" s="1994"/>
    </row>
    <row r="24" spans="1:3">
      <c r="A24" s="1993" t="s">
        <v>1760</v>
      </c>
      <c r="B24" s="1996" t="s">
        <v>3691</v>
      </c>
      <c r="C24" s="1994"/>
    </row>
    <row r="25" spans="1:3">
      <c r="A25" s="1993" t="s">
        <v>1761</v>
      </c>
      <c r="B25" s="1993" t="s">
        <v>3693</v>
      </c>
      <c r="C25" s="1994"/>
    </row>
    <row r="26" spans="1:3">
      <c r="A26" s="1993" t="s">
        <v>1762</v>
      </c>
      <c r="B26" s="1993" t="s">
        <v>3695</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12"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12"/>
      <c r="B54" s="2001" t="s">
        <v>861</v>
      </c>
      <c r="C54" s="1998" t="s">
        <v>1270</v>
      </c>
    </row>
    <row r="55" spans="1:4">
      <c r="A55" s="3512"/>
      <c r="B55" s="2001" t="s">
        <v>862</v>
      </c>
      <c r="C55" s="1998" t="s">
        <v>1271</v>
      </c>
    </row>
    <row r="56" spans="1:4">
      <c r="A56" s="3512"/>
      <c r="B56" s="2001" t="s">
        <v>863</v>
      </c>
      <c r="C56" s="1998" t="s">
        <v>1275</v>
      </c>
    </row>
    <row r="57" spans="1:4">
      <c r="A57" s="3512"/>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42164.249999999993</v>
      </c>
      <c r="J5" s="16">
        <f t="shared" si="0"/>
        <v>0</v>
      </c>
      <c r="K5" s="16">
        <f t="shared" si="0"/>
        <v>16157.019999999999</v>
      </c>
      <c r="L5" s="16">
        <f t="shared" si="0"/>
        <v>0</v>
      </c>
      <c r="M5" s="16">
        <f t="shared" si="0"/>
        <v>13156.989999999996</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47823.990000000005</v>
      </c>
      <c r="BA5" s="18">
        <f t="shared" si="1"/>
        <v>45883.83</v>
      </c>
      <c r="BB5" s="18">
        <f t="shared" si="1"/>
        <v>0</v>
      </c>
      <c r="BC5" s="18">
        <f t="shared" si="1"/>
        <v>16157.019999999999</v>
      </c>
      <c r="BD5" s="18">
        <f t="shared" si="1"/>
        <v>13156.989999999996</v>
      </c>
      <c r="BE5" s="18">
        <f t="shared" si="1"/>
        <v>16569.820000000003</v>
      </c>
      <c r="BF5" s="18">
        <f t="shared" si="1"/>
        <v>0</v>
      </c>
      <c r="BG5" s="18">
        <f t="shared" si="1"/>
        <v>0</v>
      </c>
      <c r="BH5" s="18">
        <f t="shared" si="1"/>
        <v>0</v>
      </c>
      <c r="BI5" s="18">
        <f t="shared" si="1"/>
        <v>0</v>
      </c>
      <c r="BJ5" s="18">
        <f t="shared" si="1"/>
        <v>0</v>
      </c>
      <c r="BK5" s="18">
        <f t="shared" si="1"/>
        <v>0</v>
      </c>
      <c r="BL5" s="18">
        <f t="shared" si="1"/>
        <v>1940.16</v>
      </c>
      <c r="BM5" s="18">
        <f t="shared" si="1"/>
        <v>0</v>
      </c>
      <c r="BN5" s="18">
        <f t="shared" si="1"/>
        <v>0</v>
      </c>
      <c r="BO5" s="18">
        <f t="shared" si="1"/>
        <v>0</v>
      </c>
      <c r="BP5" s="18">
        <f t="shared" si="1"/>
        <v>0</v>
      </c>
      <c r="BQ5" s="18">
        <f t="shared" si="1"/>
        <v>1940.16</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9680.74</v>
      </c>
      <c r="J6" s="16">
        <f t="shared" si="2"/>
        <v>0</v>
      </c>
      <c r="K6" s="16">
        <f t="shared" si="2"/>
        <v>3709.59</v>
      </c>
      <c r="L6" s="16">
        <f t="shared" si="2"/>
        <v>0</v>
      </c>
      <c r="M6" s="16">
        <f t="shared" si="2"/>
        <v>3020.79</v>
      </c>
      <c r="N6" s="16">
        <f t="shared" si="2"/>
        <v>0</v>
      </c>
      <c r="O6" s="16">
        <f t="shared" si="2"/>
        <v>3804.36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10980.19</v>
      </c>
      <c r="AZ6" s="16" t="s">
        <v>3</v>
      </c>
      <c r="BA6" s="16">
        <f>ROUND($AY$6*BA5/$AZ$5,2)</f>
        <v>10534.74</v>
      </c>
      <c r="BB6" s="16">
        <f>ROUND($AY$6*BB5/$AZ$5,2)</f>
        <v>0</v>
      </c>
      <c r="BC6" s="16">
        <f t="shared" ref="BC6:BH6" si="4">ROUND($AY$6*BC5/$AZ$5,2)</f>
        <v>3709.58</v>
      </c>
      <c r="BD6" s="16">
        <f t="shared" si="4"/>
        <v>3020.79</v>
      </c>
      <c r="BE6" s="16">
        <f t="shared" si="4"/>
        <v>3804.36</v>
      </c>
      <c r="BF6" s="16">
        <f t="shared" si="4"/>
        <v>0</v>
      </c>
      <c r="BG6" s="16">
        <f t="shared" si="4"/>
        <v>0</v>
      </c>
      <c r="BH6" s="16">
        <f t="shared" si="4"/>
        <v>0</v>
      </c>
      <c r="BI6" s="16">
        <f t="shared" ref="BI6:BT6" si="5">ROUND($AY$6*BI5/$AZ$5,2)</f>
        <v>0</v>
      </c>
      <c r="BJ6" s="16">
        <f t="shared" si="5"/>
        <v>0</v>
      </c>
      <c r="BK6" s="16">
        <f t="shared" si="5"/>
        <v>0</v>
      </c>
      <c r="BL6" s="16">
        <f t="shared" si="5"/>
        <v>445.45</v>
      </c>
      <c r="BM6" s="16">
        <f t="shared" si="5"/>
        <v>0</v>
      </c>
      <c r="BN6" s="16">
        <f t="shared" si="5"/>
        <v>0</v>
      </c>
      <c r="BO6" s="16">
        <f t="shared" si="5"/>
        <v>0</v>
      </c>
      <c r="BP6" s="16">
        <f t="shared" si="5"/>
        <v>0</v>
      </c>
      <c r="BQ6" s="16">
        <f t="shared" si="5"/>
        <v>445.45</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3418</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3418</v>
      </c>
      <c r="N11" s="2178"/>
      <c r="O11" s="2177" t="s">
        <v>3636</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3419</v>
      </c>
      <c r="D13" s="2188" t="s">
        <v>3094</v>
      </c>
      <c r="E13" s="16">
        <f>IF($C$3="是",ROUND($A$3*G13/$B$3,2),ROUND($A$3*(G13-AT13)/$B$3,2))</f>
        <v>9680.74</v>
      </c>
      <c r="F13" s="32"/>
      <c r="G13" s="33">
        <f>H13+AC13+AT13</f>
        <v>42164.249999999993</v>
      </c>
      <c r="H13" s="20">
        <f>SUMIF(I$12:AB$12,"总值",I13:AB13)</f>
        <v>42164.249999999993</v>
      </c>
      <c r="I13" s="2953">
        <f>按楼清单!D156+按楼清单!D157+按楼清单!D158</f>
        <v>42164.249999999993</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3420</v>
      </c>
      <c r="D14" s="2188" t="s">
        <v>3042</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3709.58</v>
      </c>
      <c r="AZ14" s="16">
        <f>BA14+BL14</f>
        <v>16157.019999999999</v>
      </c>
      <c r="BA14" s="16">
        <f>SUM(BB14:BK14)</f>
        <v>16157.019999999999</v>
      </c>
      <c r="BB14" s="16">
        <f>IF($D14="是",I14-J14,0)</f>
        <v>0</v>
      </c>
      <c r="BC14" s="16">
        <f>IF($D14="是",K14-L14,0)</f>
        <v>16157.019999999999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3421</v>
      </c>
      <c r="D15" s="2188" t="s">
        <v>3042</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3020.79</v>
      </c>
      <c r="AZ15" s="16">
        <f>BA15+BL15</f>
        <v>13156.989999999996</v>
      </c>
      <c r="BA15" s="16">
        <f>SUM(BB15:BK15)</f>
        <v>13156.989999999996</v>
      </c>
      <c r="BB15" s="16">
        <f>IF($D15="是",I15-J15,0)</f>
        <v>0</v>
      </c>
      <c r="BC15" s="16">
        <f>IF($D15="是",K15-L15,0)</f>
        <v>0</v>
      </c>
      <c r="BD15" s="16">
        <f>IF($D15="是",M15-N15,0)</f>
        <v>13156.989999999996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3631</v>
      </c>
      <c r="D16" s="2188" t="s">
        <v>3042</v>
      </c>
      <c r="E16" s="16">
        <f>IF($C$3="是",ROUND($A$3*G16/$B$3,2),ROUND($A$3*(G16-AT16)/$B$3,2))</f>
        <v>3804.36</v>
      </c>
      <c r="F16" s="32"/>
      <c r="G16" s="33">
        <f>H16+AC16+AT16</f>
        <v>16569.820000000003</v>
      </c>
      <c r="H16" s="20">
        <f>SUMIF(I$12:AB$12,"总值",I16:AB16)</f>
        <v>16569.820000000003</v>
      </c>
      <c r="I16" s="2953"/>
      <c r="J16" s="2953"/>
      <c r="K16" s="2953"/>
      <c r="L16" s="2953"/>
      <c r="M16" s="2953"/>
      <c r="N16" s="2953"/>
      <c r="O16" s="2189">
        <v>16569.820000000003</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3804.36</v>
      </c>
      <c r="AZ16" s="16">
        <f>BA16+BL16</f>
        <v>16569.820000000003</v>
      </c>
      <c r="BA16" s="16">
        <f>SUM(BB16:BK16)</f>
        <v>16569.820000000003</v>
      </c>
      <c r="BB16" s="16">
        <f>IF($D16="是",I16-J16,0)</f>
        <v>0</v>
      </c>
      <c r="BC16" s="16">
        <f>IF($D16="是",K16-L16,0)</f>
        <v>0</v>
      </c>
      <c r="BD16" s="16">
        <f>IF($D16="是",M16-N16,0)</f>
        <v>0</v>
      </c>
      <c r="BE16" s="16">
        <f>IF($D16="是",O16-P16,0)</f>
        <v>16569.820000000003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3633</v>
      </c>
      <c r="D17" s="2188" t="s">
        <v>3042</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445.45</v>
      </c>
      <c r="AZ17" s="16">
        <f>BA17+BL17</f>
        <v>1940.16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1940.16</v>
      </c>
      <c r="BM17" s="16">
        <f>IF($D17="是",AD17-AE17,0)</f>
        <v>0</v>
      </c>
      <c r="BN17" s="16">
        <f>IF($D17="是",AF17-AG17,0)</f>
        <v>0</v>
      </c>
      <c r="BO17" s="16">
        <f>IF($D17="是",AH17-AI17,0)</f>
        <v>0</v>
      </c>
      <c r="BP17" s="16">
        <f>IF($D17="是",AJ17-AK17,0)</f>
        <v>0</v>
      </c>
      <c r="BQ17" s="16">
        <f>IF($D17="是",AL17-AM17,0)</f>
        <v>1940.16</v>
      </c>
      <c r="BR17" s="16">
        <f>IF($D17="是",AN17-AO17,0)</f>
        <v>0</v>
      </c>
      <c r="BS17" s="16">
        <f>IF($D17="是",AP17-AQ17,0)</f>
        <v>0</v>
      </c>
      <c r="BT17" s="22">
        <f>IF($D17="是",AR17-AS17,0)</f>
        <v>0</v>
      </c>
    </row>
    <row r="18" spans="1:72">
      <c r="A18" s="9"/>
      <c r="B18" s="34"/>
      <c r="C18" s="34"/>
      <c r="D18" s="2188" t="s">
        <v>3094</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3094</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3094</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3094</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3094</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3094</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3094</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3094</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3094</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3094</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3094</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3094</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3094</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3094</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3094</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3094</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3094</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3094</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3094</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3094</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3094</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3094</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3094</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3094</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3094</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3094</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3094</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3094</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3094</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3094</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3094</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3094</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3094</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3094</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3094</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3094</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3094</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3094</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3094</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3094</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3094</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13" t="s">
        <v>0</v>
      </c>
      <c r="B1" s="3513" t="s">
        <v>4</v>
      </c>
      <c r="C1" s="3513" t="s">
        <v>5</v>
      </c>
      <c r="D1" s="3514" t="s">
        <v>53</v>
      </c>
      <c r="E1" s="3514" t="s">
        <v>54</v>
      </c>
      <c r="F1" s="3514"/>
      <c r="G1" s="3514"/>
      <c r="H1" s="3514"/>
      <c r="I1" s="3514"/>
      <c r="J1" s="3514"/>
      <c r="K1" s="3514"/>
      <c r="L1" s="3514"/>
      <c r="M1" s="3514"/>
    </row>
    <row r="2" spans="1:13" ht="27" customHeight="1">
      <c r="A2" s="3513"/>
      <c r="B2" s="3513"/>
      <c r="C2" s="3513"/>
      <c r="D2" s="3514"/>
      <c r="E2" s="3514" t="s">
        <v>37</v>
      </c>
      <c r="F2" s="3514" t="s">
        <v>38</v>
      </c>
      <c r="G2" s="3514"/>
      <c r="H2" s="3514"/>
      <c r="I2" s="3514"/>
      <c r="J2" s="3514" t="s">
        <v>39</v>
      </c>
      <c r="K2" s="3514"/>
      <c r="L2" s="3514"/>
      <c r="M2" s="3514"/>
    </row>
    <row r="3" spans="1:13" ht="28.5">
      <c r="A3" s="3513"/>
      <c r="B3" s="3513"/>
      <c r="C3" s="3513"/>
      <c r="D3" s="3514"/>
      <c r="E3" s="35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14" t="s">
        <v>55</v>
      </c>
      <c r="B9" s="3514"/>
      <c r="C9" s="35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G25" sqref="G25"/>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24" t="s">
        <v>1927</v>
      </c>
      <c r="B2" s="3524"/>
      <c r="C2" s="3524"/>
      <c r="D2" s="957" t="s">
        <v>1903</v>
      </c>
      <c r="E2" s="2202" t="s">
        <v>1904</v>
      </c>
      <c r="F2" s="1373"/>
      <c r="G2" s="2203"/>
      <c r="H2" s="2204"/>
      <c r="I2" s="2205" t="s">
        <v>1928</v>
      </c>
      <c r="J2" s="1373"/>
      <c r="K2" s="1373"/>
      <c r="L2" s="1373"/>
      <c r="M2" s="1373"/>
      <c r="N2" s="1408"/>
      <c r="O2" s="1373"/>
      <c r="P2" s="1373"/>
    </row>
    <row r="3" spans="1:16" ht="15.75" thickBot="1">
      <c r="A3" s="3525" t="s">
        <v>1901</v>
      </c>
      <c r="B3" s="3525"/>
      <c r="C3" s="3525"/>
      <c r="D3" s="46">
        <f>'数据-基础表'!AY6</f>
        <v>10980.19</v>
      </c>
      <c r="E3" s="46">
        <f>'数据-基础表'!AZ5</f>
        <v>47823.990000000005</v>
      </c>
      <c r="F3" s="1373"/>
      <c r="G3" s="1380"/>
      <c r="H3" s="1229" t="s">
        <v>1902</v>
      </c>
      <c r="I3" s="55">
        <f>ROUND('数据-基础表'!B3/'数据-基础表'!A3,2)</f>
        <v>4.3600000000000003</v>
      </c>
      <c r="J3" s="1373"/>
      <c r="K3" s="1373"/>
      <c r="L3" s="1373"/>
      <c r="M3" s="1373"/>
      <c r="N3" s="1408"/>
      <c r="O3" s="1373"/>
      <c r="P3" s="1373"/>
    </row>
    <row r="4" spans="1:16" ht="15">
      <c r="A4" s="3526"/>
      <c r="B4" s="3527"/>
      <c r="C4" s="3528"/>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29" t="s">
        <v>1906</v>
      </c>
      <c r="C5" s="3529"/>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29" t="s">
        <v>1907</v>
      </c>
      <c r="C6" s="3529"/>
      <c r="D6" s="48">
        <f>ROUND($D$3*E6/$E$3,2)</f>
        <v>10980.19</v>
      </c>
      <c r="E6" s="49">
        <f>E3-E5</f>
        <v>47823.990000000005</v>
      </c>
      <c r="F6" s="1373"/>
      <c r="G6" s="2210" t="s">
        <v>1908</v>
      </c>
      <c r="H6" s="1380" t="s">
        <v>1909</v>
      </c>
      <c r="I6" s="929">
        <f>ROUND(F31/D31,2)</f>
        <v>3.16</v>
      </c>
      <c r="J6" s="1373"/>
      <c r="K6" s="1373"/>
      <c r="L6" s="1373"/>
      <c r="M6" s="1373"/>
      <c r="N6" s="1373"/>
      <c r="O6" s="1373"/>
      <c r="P6" s="1373"/>
    </row>
    <row r="7" spans="1:16" ht="15">
      <c r="A7" s="3521"/>
      <c r="B7" s="3522"/>
      <c r="C7" s="3523"/>
      <c r="D7" s="2206" t="s">
        <v>1903</v>
      </c>
      <c r="E7" s="2211" t="s">
        <v>1910</v>
      </c>
      <c r="F7" s="1373"/>
      <c r="G7" s="2203" t="s">
        <v>1911</v>
      </c>
      <c r="H7" s="64"/>
      <c r="I7" s="419">
        <f>I6</f>
        <v>3.16</v>
      </c>
      <c r="J7" s="1373"/>
      <c r="K7" s="1373"/>
      <c r="L7" s="1373"/>
      <c r="M7" s="1373"/>
      <c r="N7" s="1373"/>
      <c r="O7" s="1373"/>
      <c r="P7" s="1373"/>
    </row>
    <row r="8" spans="1:16">
      <c r="A8" s="47" t="s">
        <v>1912</v>
      </c>
      <c r="B8" s="50" t="s">
        <v>1913</v>
      </c>
      <c r="C8" s="48" t="s">
        <v>1914</v>
      </c>
      <c r="D8" s="48">
        <f t="shared" ref="D8:D15" si="0">ROUND($D$3*E8/$E$3,2)</f>
        <v>7513.95</v>
      </c>
      <c r="E8" s="51">
        <f>SUMIF('数据-基础表'!BB10:BK10,"地上",'数据-基础表'!BB5:BK5)</f>
        <v>32726.840000000004</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3020.79</v>
      </c>
      <c r="E13" s="51">
        <f>SUMPRODUCT(('数据-基础表'!BB10:BK10="地下")*('数据-基础表'!BB11:BK11="车库")*('数据-基础表'!BB5:BK5))</f>
        <v>13156.989999999996</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10534.74</v>
      </c>
      <c r="E16" s="53">
        <f>SUM(E8:E15)</f>
        <v>45883.83</v>
      </c>
      <c r="F16" s="1373"/>
      <c r="G16" s="2212"/>
      <c r="H16" s="2215" t="s">
        <v>1931</v>
      </c>
      <c r="I16" s="2216"/>
      <c r="J16" s="1373"/>
      <c r="K16" s="3518" t="s">
        <v>1931</v>
      </c>
      <c r="L16" s="3519"/>
      <c r="M16" s="3519"/>
      <c r="N16" s="3519"/>
      <c r="O16" s="3519"/>
      <c r="P16" s="3520"/>
    </row>
    <row r="17" spans="1:19" ht="15">
      <c r="A17" s="2217" t="s">
        <v>1932</v>
      </c>
      <c r="B17" s="2218" t="s">
        <v>1933</v>
      </c>
      <c r="C17" s="2219" t="s">
        <v>1934</v>
      </c>
      <c r="D17" s="2220" t="s">
        <v>1922</v>
      </c>
      <c r="E17" s="2221" t="s">
        <v>1923</v>
      </c>
      <c r="F17" s="2222"/>
      <c r="G17" s="2223"/>
      <c r="H17" s="2224" t="s">
        <v>1935</v>
      </c>
      <c r="I17" s="2225" t="s">
        <v>1920</v>
      </c>
      <c r="J17" s="1373"/>
      <c r="K17" s="3515" t="s">
        <v>1936</v>
      </c>
      <c r="L17" s="3516"/>
      <c r="M17" s="3517"/>
      <c r="N17" s="3515" t="s">
        <v>1937</v>
      </c>
      <c r="O17" s="3516"/>
      <c r="P17" s="3517"/>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3681</v>
      </c>
      <c r="D19" s="48">
        <f>ROUND($D$3*E19/$E$3,2)</f>
        <v>0</v>
      </c>
      <c r="E19" s="56">
        <f t="shared" ref="E19:E26" si="1">SUM(F19:G19)</f>
        <v>0</v>
      </c>
      <c r="F19" s="57"/>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0</v>
      </c>
      <c r="S19" s="1230">
        <f t="shared" si="5"/>
        <v>0</v>
      </c>
    </row>
    <row r="20" spans="1:19">
      <c r="A20" s="2237"/>
      <c r="B20" s="50" t="s">
        <v>1949</v>
      </c>
      <c r="C20" s="2954" t="s">
        <v>3679</v>
      </c>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0</v>
      </c>
      <c r="S20" s="1230">
        <f t="shared" si="5"/>
        <v>0</v>
      </c>
    </row>
    <row r="21" spans="1:19">
      <c r="A21" s="2237"/>
      <c r="B21" s="50" t="s">
        <v>1949</v>
      </c>
      <c r="C21" s="2954" t="s">
        <v>3683</v>
      </c>
      <c r="D21" s="48">
        <f t="shared" si="6"/>
        <v>934.32</v>
      </c>
      <c r="E21" s="56">
        <f t="shared" si="1"/>
        <v>4069.3900000000003</v>
      </c>
      <c r="F21" s="57">
        <v>4069.3900000000003</v>
      </c>
      <c r="G21" s="58"/>
      <c r="H21" s="719">
        <f t="shared" si="7"/>
        <v>39.51</v>
      </c>
      <c r="I21" s="51">
        <f t="shared" si="2"/>
        <v>172.07</v>
      </c>
      <c r="J21" s="1373"/>
      <c r="K21" s="1372">
        <f t="shared" si="3"/>
        <v>172.07</v>
      </c>
      <c r="L21" s="1229">
        <f t="shared" si="4"/>
        <v>0</v>
      </c>
      <c r="M21" s="1384">
        <f t="shared" si="8"/>
        <v>172.07</v>
      </c>
      <c r="N21" s="2235"/>
      <c r="O21" s="2236"/>
      <c r="P21" s="1384">
        <f t="shared" si="9"/>
        <v>0</v>
      </c>
      <c r="R21" s="1229">
        <f t="shared" si="5"/>
        <v>973.83</v>
      </c>
      <c r="S21" s="1230">
        <f t="shared" si="5"/>
        <v>4241.46</v>
      </c>
    </row>
    <row r="22" spans="1:19">
      <c r="A22" s="2237"/>
      <c r="B22" s="50" t="s">
        <v>1949</v>
      </c>
      <c r="C22" s="2954" t="s">
        <v>3685</v>
      </c>
      <c r="D22" s="48">
        <f t="shared" si="6"/>
        <v>2775.27</v>
      </c>
      <c r="E22" s="56">
        <f t="shared" si="1"/>
        <v>12087.629999999997</v>
      </c>
      <c r="F22" s="61">
        <f>'数据-基础表'!K14-'数据-汇总表'!F21</f>
        <v>12087.629999999997</v>
      </c>
      <c r="G22" s="62"/>
      <c r="H22" s="719">
        <f t="shared" si="7"/>
        <v>117.35</v>
      </c>
      <c r="I22" s="51">
        <f t="shared" si="2"/>
        <v>511.12</v>
      </c>
      <c r="J22" s="1373"/>
      <c r="K22" s="1372">
        <f t="shared" si="3"/>
        <v>511.12</v>
      </c>
      <c r="L22" s="1229">
        <f t="shared" si="4"/>
        <v>0</v>
      </c>
      <c r="M22" s="1384">
        <f t="shared" si="8"/>
        <v>511.12</v>
      </c>
      <c r="N22" s="2235"/>
      <c r="O22" s="2236"/>
      <c r="P22" s="1384">
        <f t="shared" si="9"/>
        <v>0</v>
      </c>
      <c r="R22" s="1229">
        <f t="shared" si="5"/>
        <v>2892.62</v>
      </c>
      <c r="S22" s="1230">
        <f t="shared" si="5"/>
        <v>12598.749999999998</v>
      </c>
    </row>
    <row r="23" spans="1:19">
      <c r="A23" s="2237"/>
      <c r="B23" s="50" t="s">
        <v>1949</v>
      </c>
      <c r="C23" s="2954" t="s">
        <v>3634</v>
      </c>
      <c r="D23" s="48">
        <f>ROUND($D$3*E23/$E$3,2)</f>
        <v>3020.79</v>
      </c>
      <c r="E23" s="56">
        <f>SUM(F23:G23)</f>
        <v>13156.989999999996</v>
      </c>
      <c r="F23" s="61"/>
      <c r="G23" s="62">
        <f>'数据-基础表'!M15</f>
        <v>13156.989999999996</v>
      </c>
      <c r="H23" s="719">
        <f>ROUND($D$3*I23/$E$3,2)</f>
        <v>127.73</v>
      </c>
      <c r="I23" s="51">
        <f t="shared" si="2"/>
        <v>556.33000000000004</v>
      </c>
      <c r="J23" s="1373"/>
      <c r="K23" s="1372">
        <f t="shared" si="3"/>
        <v>556.33000000000004</v>
      </c>
      <c r="L23" s="1229">
        <f t="shared" si="4"/>
        <v>0</v>
      </c>
      <c r="M23" s="1384">
        <f t="shared" si="8"/>
        <v>556.33000000000004</v>
      </c>
      <c r="N23" s="2235"/>
      <c r="O23" s="2236"/>
      <c r="P23" s="1384">
        <f t="shared" si="9"/>
        <v>0</v>
      </c>
      <c r="R23" s="1229">
        <f t="shared" si="5"/>
        <v>3148.52</v>
      </c>
      <c r="S23" s="1230">
        <f t="shared" si="5"/>
        <v>13713.319999999996</v>
      </c>
    </row>
    <row r="24" spans="1:19">
      <c r="A24" s="2237"/>
      <c r="B24" s="50" t="s">
        <v>1949</v>
      </c>
      <c r="C24" s="2954" t="s">
        <v>3635</v>
      </c>
      <c r="D24" s="48">
        <f>ROUND($D$3*E24/$E$3,2)</f>
        <v>3804.36</v>
      </c>
      <c r="E24" s="56">
        <f>SUM(F24:G24)</f>
        <v>16569.820000000003</v>
      </c>
      <c r="F24" s="61">
        <f>'数据-基础表'!O16</f>
        <v>16569.820000000003</v>
      </c>
      <c r="G24" s="62"/>
      <c r="H24" s="719">
        <f>ROUND($D$3*I24/$E$3,2)</f>
        <v>160.86000000000001</v>
      </c>
      <c r="I24" s="51">
        <f t="shared" si="2"/>
        <v>700.64</v>
      </c>
      <c r="J24" s="1373"/>
      <c r="K24" s="1372">
        <f t="shared" si="3"/>
        <v>700.64</v>
      </c>
      <c r="L24" s="1229">
        <f t="shared" si="4"/>
        <v>0</v>
      </c>
      <c r="M24" s="1384">
        <f t="shared" si="8"/>
        <v>700.64</v>
      </c>
      <c r="N24" s="2235"/>
      <c r="O24" s="2236"/>
      <c r="P24" s="1384">
        <f t="shared" si="9"/>
        <v>0</v>
      </c>
      <c r="R24" s="1229">
        <f t="shared" si="5"/>
        <v>3965.2200000000003</v>
      </c>
      <c r="S24" s="1230">
        <f t="shared" si="5"/>
        <v>17270.460000000003</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10534.74</v>
      </c>
      <c r="E27" s="1375">
        <f>IF(SUM(E19:E26)='数据-基础表'!BA5,SUM(E19:E26),IF(F27="地上面积有误","面积有误","地下面积有误"))</f>
        <v>45883.83</v>
      </c>
      <c r="F27" s="1374">
        <f>IF(SUM(F19:F26)=E8,SUM(F19:F26),"地上面积有误")</f>
        <v>32726.84</v>
      </c>
      <c r="G27" s="1376">
        <f>SUM(G19:G26)</f>
        <v>13156.989999999996</v>
      </c>
      <c r="H27" s="1377">
        <f>SUM(H19:H26)</f>
        <v>445.45</v>
      </c>
      <c r="I27" s="1378">
        <f>SUM(I19:I26)</f>
        <v>1940.1599999999999</v>
      </c>
      <c r="J27" s="1373"/>
      <c r="K27" s="1381">
        <f>SUM(K19:K26)</f>
        <v>1940.1599999999999</v>
      </c>
      <c r="L27" s="1382">
        <f>SUM(L19:L26)</f>
        <v>0</v>
      </c>
      <c r="M27" s="1385">
        <f>SUM(M19:M26)</f>
        <v>1940.1599999999999</v>
      </c>
      <c r="N27" s="1381">
        <f t="shared" ref="N27:O27" si="10">SUM(N19:N26)</f>
        <v>0</v>
      </c>
      <c r="O27" s="1382">
        <f t="shared" si="10"/>
        <v>0</v>
      </c>
      <c r="P27" s="1383">
        <f>SUM(P19:P26)</f>
        <v>0</v>
      </c>
      <c r="R27" s="1231">
        <f>IF(SUM(R19:R26)=$D$3,SUM(R19:R26),SUM(R19:R26)&amp;"误差"&amp;ROUND(SUM(R19:R26)-$D$3,2))</f>
        <v>10980.189999999999</v>
      </c>
      <c r="S27" s="1229">
        <f>IF(SUM(S19:S26)=$E$3,SUM(S19:S26),SUM(S19:S26)&amp;"误差"&amp;ROUND(SUM(S19:S26)-E3,2))</f>
        <v>47823.99</v>
      </c>
    </row>
    <row r="28" spans="1:19">
      <c r="A28" s="2237"/>
      <c r="B28" s="50" t="s">
        <v>1951</v>
      </c>
      <c r="C28" s="1241" t="s">
        <v>1952</v>
      </c>
      <c r="D28" s="48">
        <f>ROUND($D$3*E28/$E$3,2)</f>
        <v>445.45</v>
      </c>
      <c r="E28" s="56">
        <f>SUM(F28:G28)</f>
        <v>1940.16</v>
      </c>
      <c r="F28" s="64">
        <f>'数据-基础表'!BQ5+'数据-基础表'!BS5</f>
        <v>1940.16</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445.45</v>
      </c>
      <c r="E30" s="1374">
        <f>SUM(E28:E29)</f>
        <v>1940.16</v>
      </c>
      <c r="F30" s="1374">
        <f>SUM(F28:F29)</f>
        <v>1940.16</v>
      </c>
      <c r="G30" s="1376">
        <f>SUM(G28:G29)</f>
        <v>0</v>
      </c>
      <c r="H30" s="1373"/>
      <c r="I30" s="1373"/>
      <c r="J30" s="1373"/>
      <c r="K30" s="1373"/>
      <c r="L30" s="1373"/>
      <c r="M30" s="1373"/>
      <c r="N30" s="1373"/>
      <c r="O30" s="1373"/>
      <c r="P30" s="1373"/>
    </row>
    <row r="31" spans="1:19" ht="15.75" thickBot="1">
      <c r="A31" s="2243"/>
      <c r="B31" s="2244"/>
      <c r="C31" s="997" t="s">
        <v>1954</v>
      </c>
      <c r="D31" s="725">
        <f>D27+D30</f>
        <v>10980.19</v>
      </c>
      <c r="E31" s="725">
        <f>E27+E30</f>
        <v>47823.990000000005</v>
      </c>
      <c r="F31" s="726">
        <f>F27+F30</f>
        <v>34667</v>
      </c>
      <c r="G31" s="727">
        <f>G27+G30</f>
        <v>13156.989999999996</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7">
      <c r="D33" s="2245"/>
    </row>
    <row r="40" spans="4:7">
      <c r="F40" s="2201">
        <f>D3+'[3]数据-汇总表'!$D$3</f>
        <v>20819.169999999998</v>
      </c>
      <c r="G40" s="2201">
        <f>E3+'[3]数据-汇总表'!$E$3</f>
        <v>90677.47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2"/>
  <sheetViews>
    <sheetView topLeftCell="A122" workbookViewId="0">
      <selection activeCell="H171" sqref="H171"/>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3173</v>
      </c>
      <c r="B1" s="2995" t="s">
        <v>3174</v>
      </c>
      <c r="C1" s="2995" t="s">
        <v>3175</v>
      </c>
      <c r="D1" s="2996" t="s">
        <v>3176</v>
      </c>
      <c r="E1" s="2995" t="s">
        <v>3177</v>
      </c>
      <c r="F1" s="2995" t="s">
        <v>3178</v>
      </c>
      <c r="G1" s="2996" t="s">
        <v>3179</v>
      </c>
      <c r="H1" s="2995" t="s">
        <v>3180</v>
      </c>
      <c r="I1" s="2995" t="s">
        <v>3181</v>
      </c>
    </row>
    <row r="2" spans="1:12">
      <c r="A2" s="2995">
        <v>9</v>
      </c>
      <c r="B2" s="2995" t="s">
        <v>3225</v>
      </c>
      <c r="C2" s="2995" t="s">
        <v>3205</v>
      </c>
      <c r="D2" s="2996" t="s">
        <v>3206</v>
      </c>
      <c r="E2" s="2995" t="s">
        <v>3185</v>
      </c>
      <c r="F2" s="2995" t="s">
        <v>3194</v>
      </c>
      <c r="G2" s="2996" t="s">
        <v>3207</v>
      </c>
      <c r="H2" s="2995" t="s">
        <v>3195</v>
      </c>
      <c r="I2" s="2995">
        <v>1078.23</v>
      </c>
    </row>
    <row r="3" spans="1:12">
      <c r="A3" s="2992">
        <v>11</v>
      </c>
      <c r="B3" s="2992" t="s">
        <v>3204</v>
      </c>
      <c r="C3" s="2992" t="s">
        <v>3205</v>
      </c>
      <c r="D3" s="2993" t="s">
        <v>3209</v>
      </c>
      <c r="E3" s="2992" t="s">
        <v>3185</v>
      </c>
      <c r="F3" s="2992" t="s">
        <v>3194</v>
      </c>
      <c r="G3" s="2993" t="s">
        <v>3210</v>
      </c>
      <c r="H3" s="2992" t="s">
        <v>3195</v>
      </c>
      <c r="I3" s="2992">
        <v>1443.69</v>
      </c>
    </row>
    <row r="4" spans="1:12">
      <c r="A4" s="2992">
        <v>21</v>
      </c>
      <c r="B4" s="2992" t="s">
        <v>3225</v>
      </c>
      <c r="C4" s="2992" t="s">
        <v>3226</v>
      </c>
      <c r="D4" s="2993" t="s">
        <v>3227</v>
      </c>
      <c r="E4" s="2992" t="s">
        <v>3217</v>
      </c>
      <c r="F4" s="2992" t="s">
        <v>3218</v>
      </c>
      <c r="G4" s="2993" t="s">
        <v>3228</v>
      </c>
      <c r="H4" s="2992" t="s">
        <v>3220</v>
      </c>
      <c r="I4" s="2992">
        <v>1443.69</v>
      </c>
    </row>
    <row r="5" spans="1:12">
      <c r="A5" s="2992">
        <v>31</v>
      </c>
      <c r="B5" s="2992" t="s">
        <v>3241</v>
      </c>
      <c r="C5" s="2992" t="s">
        <v>3242</v>
      </c>
      <c r="D5" s="2993" t="s">
        <v>3243</v>
      </c>
      <c r="E5" s="2992" t="s">
        <v>3244</v>
      </c>
      <c r="F5" s="2992" t="s">
        <v>3245</v>
      </c>
      <c r="G5" s="2993" t="s">
        <v>3246</v>
      </c>
      <c r="H5" s="2992" t="s">
        <v>3247</v>
      </c>
      <c r="I5" s="2992">
        <v>1443.69</v>
      </c>
    </row>
    <row r="6" spans="1:12">
      <c r="A6" s="2992">
        <v>41</v>
      </c>
      <c r="B6" s="2992" t="s">
        <v>3225</v>
      </c>
      <c r="C6" s="2992" t="s">
        <v>3226</v>
      </c>
      <c r="D6" s="2993" t="s">
        <v>3259</v>
      </c>
      <c r="E6" s="2992" t="s">
        <v>3217</v>
      </c>
      <c r="F6" s="2992" t="s">
        <v>3218</v>
      </c>
      <c r="G6" s="2993" t="s">
        <v>3260</v>
      </c>
      <c r="H6" s="2992" t="s">
        <v>3220</v>
      </c>
      <c r="I6" s="2992">
        <v>1443.69</v>
      </c>
    </row>
    <row r="7" spans="1:12">
      <c r="A7" s="2992">
        <v>51</v>
      </c>
      <c r="B7" s="2992" t="s">
        <v>3225</v>
      </c>
      <c r="C7" s="2992" t="s">
        <v>3226</v>
      </c>
      <c r="D7" s="2993" t="s">
        <v>3270</v>
      </c>
      <c r="E7" s="2992" t="s">
        <v>3244</v>
      </c>
      <c r="F7" s="2992" t="s">
        <v>3245</v>
      </c>
      <c r="G7" s="2993" t="s">
        <v>3271</v>
      </c>
      <c r="H7" s="2992" t="s">
        <v>3247</v>
      </c>
      <c r="I7" s="2992">
        <v>1443.69</v>
      </c>
    </row>
    <row r="8" spans="1:12">
      <c r="A8" s="2992">
        <v>61</v>
      </c>
      <c r="B8" s="2992" t="s">
        <v>3281</v>
      </c>
      <c r="C8" s="2992" t="s">
        <v>3282</v>
      </c>
      <c r="D8" s="2993" t="s">
        <v>3283</v>
      </c>
      <c r="E8" s="2992" t="s">
        <v>3217</v>
      </c>
      <c r="F8" s="2992" t="s">
        <v>3218</v>
      </c>
      <c r="G8" s="2993" t="s">
        <v>3284</v>
      </c>
      <c r="H8" s="2992" t="s">
        <v>3220</v>
      </c>
      <c r="I8" s="2992">
        <v>1443.69</v>
      </c>
      <c r="K8" s="3004"/>
      <c r="L8" s="3004"/>
    </row>
    <row r="9" spans="1:12">
      <c r="A9" s="2992">
        <v>71</v>
      </c>
      <c r="B9" s="2992" t="s">
        <v>3225</v>
      </c>
      <c r="C9" s="2992" t="s">
        <v>3226</v>
      </c>
      <c r="D9" s="2993" t="s">
        <v>3294</v>
      </c>
      <c r="E9" s="2992" t="s">
        <v>3217</v>
      </c>
      <c r="F9" s="2992" t="s">
        <v>3218</v>
      </c>
      <c r="G9" s="2993" t="s">
        <v>3295</v>
      </c>
      <c r="H9" s="2992" t="s">
        <v>3220</v>
      </c>
      <c r="I9" s="2992">
        <v>1443.69</v>
      </c>
    </row>
    <row r="10" spans="1:12">
      <c r="A10" s="2992">
        <v>81</v>
      </c>
      <c r="B10" s="2992" t="s">
        <v>3241</v>
      </c>
      <c r="C10" s="2992" t="s">
        <v>3242</v>
      </c>
      <c r="D10" s="2993" t="s">
        <v>3308</v>
      </c>
      <c r="E10" s="2992" t="s">
        <v>3237</v>
      </c>
      <c r="F10" s="2992" t="s">
        <v>3238</v>
      </c>
      <c r="G10" s="2993" t="s">
        <v>3309</v>
      </c>
      <c r="H10" s="2992" t="s">
        <v>3240</v>
      </c>
      <c r="I10" s="2992">
        <v>1443.69</v>
      </c>
    </row>
    <row r="11" spans="1:12">
      <c r="A11" s="2992">
        <v>91</v>
      </c>
      <c r="B11" s="2992" t="s">
        <v>3225</v>
      </c>
      <c r="C11" s="2992" t="s">
        <v>3226</v>
      </c>
      <c r="D11" s="2993" t="s">
        <v>3321</v>
      </c>
      <c r="E11" s="2992" t="s">
        <v>3217</v>
      </c>
      <c r="F11" s="2992" t="s">
        <v>3218</v>
      </c>
      <c r="G11" s="2993" t="s">
        <v>3322</v>
      </c>
      <c r="H11" s="2992" t="s">
        <v>3220</v>
      </c>
      <c r="I11" s="2992">
        <v>1443.69</v>
      </c>
    </row>
    <row r="12" spans="1:12">
      <c r="A12" s="2992">
        <v>101</v>
      </c>
      <c r="B12" s="2992" t="s">
        <v>3225</v>
      </c>
      <c r="C12" s="2992" t="s">
        <v>3226</v>
      </c>
      <c r="D12" s="2993" t="s">
        <v>3333</v>
      </c>
      <c r="E12" s="2992" t="s">
        <v>3217</v>
      </c>
      <c r="F12" s="2992" t="s">
        <v>3218</v>
      </c>
      <c r="G12" s="2993" t="s">
        <v>3334</v>
      </c>
      <c r="H12" s="2992" t="s">
        <v>3220</v>
      </c>
      <c r="I12" s="2992">
        <v>1443.69</v>
      </c>
    </row>
    <row r="13" spans="1:12">
      <c r="A13" s="2992">
        <v>111</v>
      </c>
      <c r="B13" s="2992" t="s">
        <v>3225</v>
      </c>
      <c r="C13" s="2992" t="s">
        <v>3226</v>
      </c>
      <c r="D13" s="2993" t="s">
        <v>3345</v>
      </c>
      <c r="E13" s="2992" t="s">
        <v>3217</v>
      </c>
      <c r="F13" s="2992" t="s">
        <v>3218</v>
      </c>
      <c r="G13" s="2993" t="s">
        <v>3346</v>
      </c>
      <c r="H13" s="2992" t="s">
        <v>3220</v>
      </c>
      <c r="I13" s="2992">
        <v>1443.69</v>
      </c>
    </row>
    <row r="14" spans="1:12">
      <c r="A14" s="2992">
        <v>121</v>
      </c>
      <c r="B14" s="2992" t="s">
        <v>3225</v>
      </c>
      <c r="C14" s="2992" t="s">
        <v>3226</v>
      </c>
      <c r="D14" s="2993" t="s">
        <v>3357</v>
      </c>
      <c r="E14" s="2992" t="s">
        <v>3217</v>
      </c>
      <c r="F14" s="2992" t="s">
        <v>3218</v>
      </c>
      <c r="G14" s="2993" t="s">
        <v>3358</v>
      </c>
      <c r="H14" s="2992" t="s">
        <v>3359</v>
      </c>
      <c r="I14" s="2992">
        <v>701.01</v>
      </c>
    </row>
    <row r="15" spans="1:12">
      <c r="A15" s="2995">
        <v>4</v>
      </c>
      <c r="B15" s="2995" t="s">
        <v>3191</v>
      </c>
      <c r="C15" s="2995" t="s">
        <v>3192</v>
      </c>
      <c r="D15" s="2996" t="s">
        <v>3193</v>
      </c>
      <c r="E15" s="2995" t="s">
        <v>3185</v>
      </c>
      <c r="F15" s="2995" t="s">
        <v>3194</v>
      </c>
      <c r="G15" s="2996" t="s">
        <v>3187</v>
      </c>
      <c r="H15" s="2995" t="s">
        <v>3195</v>
      </c>
      <c r="I15" s="2995">
        <v>31.96</v>
      </c>
    </row>
    <row r="16" spans="1:12">
      <c r="A16" s="2992">
        <v>12</v>
      </c>
      <c r="B16" s="2992" t="s">
        <v>3191</v>
      </c>
      <c r="C16" s="2992" t="s">
        <v>3192</v>
      </c>
      <c r="D16" s="2993" t="s">
        <v>3209</v>
      </c>
      <c r="E16" s="2992" t="s">
        <v>3185</v>
      </c>
      <c r="F16" s="2992" t="s">
        <v>3194</v>
      </c>
      <c r="G16" s="2993" t="s">
        <v>3210</v>
      </c>
      <c r="H16" s="2992" t="s">
        <v>3195</v>
      </c>
      <c r="I16" s="2992">
        <v>160.65</v>
      </c>
    </row>
    <row r="17" spans="1:18">
      <c r="A17" s="2992">
        <v>13</v>
      </c>
      <c r="B17" s="2992" t="s">
        <v>3191</v>
      </c>
      <c r="C17" s="2992" t="s">
        <v>3192</v>
      </c>
      <c r="D17" s="2993" t="s">
        <v>3211</v>
      </c>
      <c r="E17" s="2992" t="s">
        <v>3185</v>
      </c>
      <c r="F17" s="2992" t="s">
        <v>3194</v>
      </c>
      <c r="G17" s="2993" t="s">
        <v>3210</v>
      </c>
      <c r="H17" s="2992" t="s">
        <v>3195</v>
      </c>
      <c r="I17" s="2992">
        <v>152</v>
      </c>
    </row>
    <row r="18" spans="1:18">
      <c r="A18" s="2992">
        <v>14</v>
      </c>
      <c r="B18" s="2992" t="s">
        <v>3191</v>
      </c>
      <c r="C18" s="2992" t="s">
        <v>3192</v>
      </c>
      <c r="D18" s="2993" t="s">
        <v>3212</v>
      </c>
      <c r="E18" s="2992" t="s">
        <v>3185</v>
      </c>
      <c r="F18" s="2992" t="s">
        <v>3194</v>
      </c>
      <c r="G18" s="2993" t="s">
        <v>3210</v>
      </c>
      <c r="H18" s="2992" t="s">
        <v>3195</v>
      </c>
      <c r="I18" s="2992">
        <v>152</v>
      </c>
    </row>
    <row r="19" spans="1:18">
      <c r="A19" s="2992">
        <v>15</v>
      </c>
      <c r="B19" s="2992" t="s">
        <v>3191</v>
      </c>
      <c r="C19" s="2992" t="s">
        <v>3192</v>
      </c>
      <c r="D19" s="2993" t="s">
        <v>3213</v>
      </c>
      <c r="E19" s="2992" t="s">
        <v>3185</v>
      </c>
      <c r="F19" s="2992" t="s">
        <v>3194</v>
      </c>
      <c r="G19" s="2993" t="s">
        <v>3210</v>
      </c>
      <c r="H19" s="2992" t="s">
        <v>3195</v>
      </c>
      <c r="I19" s="2992">
        <v>152</v>
      </c>
    </row>
    <row r="20" spans="1:18">
      <c r="A20" s="2992">
        <v>16</v>
      </c>
      <c r="B20" s="2992" t="s">
        <v>3191</v>
      </c>
      <c r="C20" s="2992" t="s">
        <v>3192</v>
      </c>
      <c r="D20" s="2993" t="s">
        <v>3214</v>
      </c>
      <c r="E20" s="2992" t="s">
        <v>3185</v>
      </c>
      <c r="F20" s="2992" t="s">
        <v>3194</v>
      </c>
      <c r="G20" s="2993" t="s">
        <v>3210</v>
      </c>
      <c r="H20" s="2992" t="s">
        <v>3195</v>
      </c>
      <c r="I20" s="2992">
        <v>152</v>
      </c>
    </row>
    <row r="21" spans="1:18">
      <c r="A21" s="2992">
        <v>17</v>
      </c>
      <c r="B21" s="2992" t="s">
        <v>3191</v>
      </c>
      <c r="C21" s="2992" t="s">
        <v>3192</v>
      </c>
      <c r="D21" s="2993" t="s">
        <v>3215</v>
      </c>
      <c r="E21" s="2992" t="s">
        <v>3185</v>
      </c>
      <c r="F21" s="2992" t="s">
        <v>3194</v>
      </c>
      <c r="G21" s="2993" t="s">
        <v>3210</v>
      </c>
      <c r="H21" s="2992" t="s">
        <v>3195</v>
      </c>
      <c r="I21" s="2992">
        <v>208.31</v>
      </c>
    </row>
    <row r="22" spans="1:18">
      <c r="A22" s="2992">
        <v>18</v>
      </c>
      <c r="B22" s="2992" t="s">
        <v>3191</v>
      </c>
      <c r="C22" s="2992" t="s">
        <v>3192</v>
      </c>
      <c r="D22" s="2993" t="s">
        <v>3216</v>
      </c>
      <c r="E22" s="2992" t="s">
        <v>3217</v>
      </c>
      <c r="F22" s="2992" t="s">
        <v>3218</v>
      </c>
      <c r="G22" s="2993" t="s">
        <v>3219</v>
      </c>
      <c r="H22" s="2992" t="s">
        <v>3220</v>
      </c>
      <c r="I22" s="2992">
        <v>222.93</v>
      </c>
    </row>
    <row r="23" spans="1:18">
      <c r="A23" s="2992">
        <v>19</v>
      </c>
      <c r="B23" s="2992" t="s">
        <v>3221</v>
      </c>
      <c r="C23" s="2992" t="s">
        <v>3222</v>
      </c>
      <c r="D23" s="2993" t="s">
        <v>3223</v>
      </c>
      <c r="E23" s="2992" t="s">
        <v>3217</v>
      </c>
      <c r="F23" s="2992" t="s">
        <v>3218</v>
      </c>
      <c r="G23" s="2993" t="s">
        <v>3219</v>
      </c>
      <c r="H23" s="2992" t="s">
        <v>3220</v>
      </c>
      <c r="I23" s="2992">
        <v>152.03</v>
      </c>
    </row>
    <row r="24" spans="1:18">
      <c r="A24" s="2992">
        <v>20</v>
      </c>
      <c r="B24" s="2992" t="s">
        <v>3221</v>
      </c>
      <c r="C24" s="2992" t="s">
        <v>3222</v>
      </c>
      <c r="D24" s="2993" t="s">
        <v>3224</v>
      </c>
      <c r="E24" s="2992" t="s">
        <v>3217</v>
      </c>
      <c r="F24" s="2992" t="s">
        <v>3218</v>
      </c>
      <c r="G24" s="2993" t="s">
        <v>3219</v>
      </c>
      <c r="H24" s="2992" t="s">
        <v>3220</v>
      </c>
      <c r="I24" s="2992">
        <v>116.9</v>
      </c>
    </row>
    <row r="25" spans="1:18">
      <c r="A25" s="2992">
        <v>22</v>
      </c>
      <c r="B25" s="2992" t="s">
        <v>3221</v>
      </c>
      <c r="C25" s="2992" t="s">
        <v>3222</v>
      </c>
      <c r="D25" s="2993" t="s">
        <v>3227</v>
      </c>
      <c r="E25" s="2992" t="s">
        <v>3217</v>
      </c>
      <c r="F25" s="2992" t="s">
        <v>3218</v>
      </c>
      <c r="G25" s="2993" t="s">
        <v>3228</v>
      </c>
      <c r="H25" s="2992" t="s">
        <v>3220</v>
      </c>
      <c r="I25" s="2992">
        <v>160.65</v>
      </c>
    </row>
    <row r="26" spans="1:18">
      <c r="A26" s="2992">
        <v>23</v>
      </c>
      <c r="B26" s="2992" t="s">
        <v>3221</v>
      </c>
      <c r="C26" s="2992" t="s">
        <v>3222</v>
      </c>
      <c r="D26" s="2993" t="s">
        <v>3229</v>
      </c>
      <c r="E26" s="2992" t="s">
        <v>3217</v>
      </c>
      <c r="F26" s="2992" t="s">
        <v>3218</v>
      </c>
      <c r="G26" s="2993" t="s">
        <v>3228</v>
      </c>
      <c r="H26" s="2992" t="s">
        <v>3220</v>
      </c>
      <c r="I26" s="2992">
        <v>152</v>
      </c>
    </row>
    <row r="27" spans="1:18">
      <c r="A27" s="2992">
        <v>24</v>
      </c>
      <c r="B27" s="2992" t="s">
        <v>3221</v>
      </c>
      <c r="C27" s="2992" t="s">
        <v>3222</v>
      </c>
      <c r="D27" s="2993" t="s">
        <v>3230</v>
      </c>
      <c r="E27" s="2992" t="s">
        <v>3217</v>
      </c>
      <c r="F27" s="2992" t="s">
        <v>3218</v>
      </c>
      <c r="G27" s="2993" t="s">
        <v>3228</v>
      </c>
      <c r="H27" s="2992" t="s">
        <v>3220</v>
      </c>
      <c r="I27" s="2992">
        <v>152</v>
      </c>
    </row>
    <row r="28" spans="1:18">
      <c r="A28" s="2992">
        <v>25</v>
      </c>
      <c r="B28" s="2992" t="s">
        <v>3221</v>
      </c>
      <c r="C28" s="2992" t="s">
        <v>3222</v>
      </c>
      <c r="D28" s="2993" t="s">
        <v>3231</v>
      </c>
      <c r="E28" s="2992" t="s">
        <v>3217</v>
      </c>
      <c r="F28" s="2992" t="s">
        <v>3218</v>
      </c>
      <c r="G28" s="2993" t="s">
        <v>3228</v>
      </c>
      <c r="H28" s="2992" t="s">
        <v>3220</v>
      </c>
      <c r="I28" s="2992">
        <v>152</v>
      </c>
    </row>
    <row r="29" spans="1:18">
      <c r="A29" s="2992">
        <v>26</v>
      </c>
      <c r="B29" s="2992" t="s">
        <v>3221</v>
      </c>
      <c r="C29" s="2992" t="s">
        <v>3222</v>
      </c>
      <c r="D29" s="2993" t="s">
        <v>3232</v>
      </c>
      <c r="E29" s="2992" t="s">
        <v>3217</v>
      </c>
      <c r="F29" s="2992" t="s">
        <v>3218</v>
      </c>
      <c r="G29" s="2993" t="s">
        <v>3228</v>
      </c>
      <c r="H29" s="2992" t="s">
        <v>3220</v>
      </c>
      <c r="I29" s="2992">
        <v>152</v>
      </c>
    </row>
    <row r="30" spans="1:18">
      <c r="A30" s="2992">
        <v>27</v>
      </c>
      <c r="B30" s="2992" t="s">
        <v>3221</v>
      </c>
      <c r="C30" s="2992" t="s">
        <v>3222</v>
      </c>
      <c r="D30" s="2993" t="s">
        <v>3233</v>
      </c>
      <c r="E30" s="2992" t="s">
        <v>3217</v>
      </c>
      <c r="F30" s="2992" t="s">
        <v>3218</v>
      </c>
      <c r="G30" s="2993" t="s">
        <v>3228</v>
      </c>
      <c r="H30" s="2992" t="s">
        <v>3220</v>
      </c>
      <c r="I30" s="2992">
        <v>208.31</v>
      </c>
    </row>
    <row r="31" spans="1:18">
      <c r="A31" s="2992">
        <v>28</v>
      </c>
      <c r="B31" s="2992" t="s">
        <v>3221</v>
      </c>
      <c r="C31" s="2992" t="s">
        <v>3222</v>
      </c>
      <c r="D31" s="2993" t="s">
        <v>3234</v>
      </c>
      <c r="E31" s="2992" t="s">
        <v>3217</v>
      </c>
      <c r="F31" s="2992" t="s">
        <v>3218</v>
      </c>
      <c r="G31" s="2993" t="s">
        <v>3228</v>
      </c>
      <c r="H31" s="2992" t="s">
        <v>3220</v>
      </c>
      <c r="I31" s="2992">
        <v>222.93</v>
      </c>
      <c r="R31" s="2999" t="s">
        <v>3429</v>
      </c>
    </row>
    <row r="32" spans="1:18">
      <c r="A32" s="2992">
        <v>29</v>
      </c>
      <c r="B32" s="2992" t="s">
        <v>3221</v>
      </c>
      <c r="C32" s="2992" t="s">
        <v>3222</v>
      </c>
      <c r="D32" s="2993" t="s">
        <v>3235</v>
      </c>
      <c r="E32" s="2992" t="s">
        <v>3217</v>
      </c>
      <c r="F32" s="2992" t="s">
        <v>3218</v>
      </c>
      <c r="G32" s="2993" t="s">
        <v>3228</v>
      </c>
      <c r="H32" s="2992" t="s">
        <v>3220</v>
      </c>
      <c r="I32" s="2992">
        <v>152.03</v>
      </c>
    </row>
    <row r="33" spans="1:9">
      <c r="A33" s="2992">
        <v>30</v>
      </c>
      <c r="B33" s="2992" t="s">
        <v>3221</v>
      </c>
      <c r="C33" s="2992" t="s">
        <v>3222</v>
      </c>
      <c r="D33" s="2993" t="s">
        <v>3236</v>
      </c>
      <c r="E33" s="2992" t="s">
        <v>3237</v>
      </c>
      <c r="F33" s="2992" t="s">
        <v>3238</v>
      </c>
      <c r="G33" s="2993" t="s">
        <v>3239</v>
      </c>
      <c r="H33" s="2992" t="s">
        <v>3240</v>
      </c>
      <c r="I33" s="2992">
        <v>116.9</v>
      </c>
    </row>
    <row r="34" spans="1:9">
      <c r="A34" s="2992">
        <v>32</v>
      </c>
      <c r="B34" s="2992" t="s">
        <v>3248</v>
      </c>
      <c r="C34" s="2992" t="s">
        <v>3249</v>
      </c>
      <c r="D34" s="2993" t="s">
        <v>3243</v>
      </c>
      <c r="E34" s="2992" t="s">
        <v>3244</v>
      </c>
      <c r="F34" s="2992" t="s">
        <v>3245</v>
      </c>
      <c r="G34" s="2993" t="s">
        <v>3246</v>
      </c>
      <c r="H34" s="2992" t="s">
        <v>3247</v>
      </c>
      <c r="I34" s="2992">
        <v>160.65</v>
      </c>
    </row>
    <row r="35" spans="1:9">
      <c r="A35" s="2992">
        <v>33</v>
      </c>
      <c r="B35" s="2992" t="s">
        <v>3248</v>
      </c>
      <c r="C35" s="2992" t="s">
        <v>3249</v>
      </c>
      <c r="D35" s="2993" t="s">
        <v>3250</v>
      </c>
      <c r="E35" s="2992" t="s">
        <v>3244</v>
      </c>
      <c r="F35" s="2992" t="s">
        <v>3245</v>
      </c>
      <c r="G35" s="2993" t="s">
        <v>3246</v>
      </c>
      <c r="H35" s="2992" t="s">
        <v>3247</v>
      </c>
      <c r="I35" s="2992">
        <v>152</v>
      </c>
    </row>
    <row r="36" spans="1:9">
      <c r="A36" s="2992">
        <v>34</v>
      </c>
      <c r="B36" s="2992" t="s">
        <v>3248</v>
      </c>
      <c r="C36" s="2992" t="s">
        <v>3249</v>
      </c>
      <c r="D36" s="2993" t="s">
        <v>3251</v>
      </c>
      <c r="E36" s="2992" t="s">
        <v>3244</v>
      </c>
      <c r="F36" s="2992" t="s">
        <v>3245</v>
      </c>
      <c r="G36" s="2993" t="s">
        <v>3246</v>
      </c>
      <c r="H36" s="2992" t="s">
        <v>3247</v>
      </c>
      <c r="I36" s="2992">
        <v>152</v>
      </c>
    </row>
    <row r="37" spans="1:9">
      <c r="A37" s="2992">
        <v>35</v>
      </c>
      <c r="B37" s="2992" t="s">
        <v>3248</v>
      </c>
      <c r="C37" s="2992" t="s">
        <v>3249</v>
      </c>
      <c r="D37" s="2993" t="s">
        <v>3252</v>
      </c>
      <c r="E37" s="2992" t="s">
        <v>3244</v>
      </c>
      <c r="F37" s="2992" t="s">
        <v>3245</v>
      </c>
      <c r="G37" s="2993" t="s">
        <v>3246</v>
      </c>
      <c r="H37" s="2992" t="s">
        <v>3247</v>
      </c>
      <c r="I37" s="2992">
        <v>152</v>
      </c>
    </row>
    <row r="38" spans="1:9">
      <c r="A38" s="2992">
        <v>36</v>
      </c>
      <c r="B38" s="2992" t="s">
        <v>3248</v>
      </c>
      <c r="C38" s="2992" t="s">
        <v>3249</v>
      </c>
      <c r="D38" s="2993" t="s">
        <v>3253</v>
      </c>
      <c r="E38" s="2992" t="s">
        <v>3244</v>
      </c>
      <c r="F38" s="2992" t="s">
        <v>3245</v>
      </c>
      <c r="G38" s="2993" t="s">
        <v>3246</v>
      </c>
      <c r="H38" s="2992" t="s">
        <v>3247</v>
      </c>
      <c r="I38" s="2992">
        <v>152</v>
      </c>
    </row>
    <row r="39" spans="1:9">
      <c r="A39" s="2992">
        <v>37</v>
      </c>
      <c r="B39" s="2992" t="s">
        <v>3248</v>
      </c>
      <c r="C39" s="2992" t="s">
        <v>3249</v>
      </c>
      <c r="D39" s="2993" t="s">
        <v>3254</v>
      </c>
      <c r="E39" s="2992" t="s">
        <v>3217</v>
      </c>
      <c r="F39" s="2992" t="s">
        <v>3218</v>
      </c>
      <c r="G39" s="2993" t="s">
        <v>3255</v>
      </c>
      <c r="H39" s="2992" t="s">
        <v>3220</v>
      </c>
      <c r="I39" s="2992">
        <v>208.31</v>
      </c>
    </row>
    <row r="40" spans="1:9">
      <c r="A40" s="2992">
        <v>38</v>
      </c>
      <c r="B40" s="2992" t="s">
        <v>3221</v>
      </c>
      <c r="C40" s="2992" t="s">
        <v>3222</v>
      </c>
      <c r="D40" s="2993" t="s">
        <v>3256</v>
      </c>
      <c r="E40" s="2992" t="s">
        <v>3217</v>
      </c>
      <c r="F40" s="2992" t="s">
        <v>3218</v>
      </c>
      <c r="G40" s="2993" t="s">
        <v>3255</v>
      </c>
      <c r="H40" s="2992" t="s">
        <v>3220</v>
      </c>
      <c r="I40" s="2992">
        <v>222.93</v>
      </c>
    </row>
    <row r="41" spans="1:9">
      <c r="A41" s="2992">
        <v>39</v>
      </c>
      <c r="B41" s="2992" t="s">
        <v>3221</v>
      </c>
      <c r="C41" s="2992" t="s">
        <v>3222</v>
      </c>
      <c r="D41" s="2993" t="s">
        <v>3257</v>
      </c>
      <c r="E41" s="2992" t="s">
        <v>3217</v>
      </c>
      <c r="F41" s="2992" t="s">
        <v>3218</v>
      </c>
      <c r="G41" s="2993" t="s">
        <v>3255</v>
      </c>
      <c r="H41" s="2992" t="s">
        <v>3220</v>
      </c>
      <c r="I41" s="2992">
        <v>152.03</v>
      </c>
    </row>
    <row r="42" spans="1:9">
      <c r="A42" s="2992">
        <v>40</v>
      </c>
      <c r="B42" s="2992" t="s">
        <v>3221</v>
      </c>
      <c r="C42" s="2992" t="s">
        <v>3222</v>
      </c>
      <c r="D42" s="2993" t="s">
        <v>3258</v>
      </c>
      <c r="E42" s="2992" t="s">
        <v>3217</v>
      </c>
      <c r="F42" s="2992" t="s">
        <v>3218</v>
      </c>
      <c r="G42" s="2993" t="s">
        <v>3255</v>
      </c>
      <c r="H42" s="2992" t="s">
        <v>3220</v>
      </c>
      <c r="I42" s="2992">
        <v>116.9</v>
      </c>
    </row>
    <row r="43" spans="1:9">
      <c r="A43" s="2992">
        <v>42</v>
      </c>
      <c r="B43" s="2992" t="s">
        <v>3221</v>
      </c>
      <c r="C43" s="2992" t="s">
        <v>3222</v>
      </c>
      <c r="D43" s="2993" t="s">
        <v>3259</v>
      </c>
      <c r="E43" s="2992" t="s">
        <v>3217</v>
      </c>
      <c r="F43" s="2992" t="s">
        <v>3218</v>
      </c>
      <c r="G43" s="2993" t="s">
        <v>3261</v>
      </c>
      <c r="H43" s="2992" t="s">
        <v>3220</v>
      </c>
      <c r="I43" s="2992">
        <v>160.65</v>
      </c>
    </row>
    <row r="44" spans="1:9">
      <c r="A44" s="2992">
        <v>43</v>
      </c>
      <c r="B44" s="2992" t="s">
        <v>3221</v>
      </c>
      <c r="C44" s="2992" t="s">
        <v>3222</v>
      </c>
      <c r="D44" s="2993" t="s">
        <v>3262</v>
      </c>
      <c r="E44" s="2992" t="s">
        <v>3217</v>
      </c>
      <c r="F44" s="2992" t="s">
        <v>3218</v>
      </c>
      <c r="G44" s="2993" t="s">
        <v>3261</v>
      </c>
      <c r="H44" s="2992" t="s">
        <v>3220</v>
      </c>
      <c r="I44" s="2992">
        <v>152</v>
      </c>
    </row>
    <row r="45" spans="1:9">
      <c r="A45" s="2992">
        <v>44</v>
      </c>
      <c r="B45" s="2992" t="s">
        <v>3221</v>
      </c>
      <c r="C45" s="2992" t="s">
        <v>3222</v>
      </c>
      <c r="D45" s="2993" t="s">
        <v>3263</v>
      </c>
      <c r="E45" s="2992" t="s">
        <v>3217</v>
      </c>
      <c r="F45" s="2992" t="s">
        <v>3218</v>
      </c>
      <c r="G45" s="2993" t="s">
        <v>3261</v>
      </c>
      <c r="H45" s="2992" t="s">
        <v>3220</v>
      </c>
      <c r="I45" s="2992">
        <v>152</v>
      </c>
    </row>
    <row r="46" spans="1:9">
      <c r="A46" s="2992">
        <v>45</v>
      </c>
      <c r="B46" s="2992" t="s">
        <v>3221</v>
      </c>
      <c r="C46" s="2992" t="s">
        <v>3222</v>
      </c>
      <c r="D46" s="2993" t="s">
        <v>3264</v>
      </c>
      <c r="E46" s="2992" t="s">
        <v>3217</v>
      </c>
      <c r="F46" s="2992" t="s">
        <v>3218</v>
      </c>
      <c r="G46" s="2993" t="s">
        <v>3261</v>
      </c>
      <c r="H46" s="2992" t="s">
        <v>3220</v>
      </c>
      <c r="I46" s="2992">
        <v>152</v>
      </c>
    </row>
    <row r="47" spans="1:9">
      <c r="A47" s="2992">
        <v>46</v>
      </c>
      <c r="B47" s="2992" t="s">
        <v>3221</v>
      </c>
      <c r="C47" s="2992" t="s">
        <v>3222</v>
      </c>
      <c r="D47" s="2993" t="s">
        <v>3265</v>
      </c>
      <c r="E47" s="2992" t="s">
        <v>3217</v>
      </c>
      <c r="F47" s="2992" t="s">
        <v>3218</v>
      </c>
      <c r="G47" s="2993" t="s">
        <v>3261</v>
      </c>
      <c r="H47" s="2992" t="s">
        <v>3220</v>
      </c>
      <c r="I47" s="2992">
        <v>152</v>
      </c>
    </row>
    <row r="48" spans="1:9">
      <c r="A48" s="2992">
        <v>47</v>
      </c>
      <c r="B48" s="2992" t="s">
        <v>3221</v>
      </c>
      <c r="C48" s="2992" t="s">
        <v>3222</v>
      </c>
      <c r="D48" s="2993" t="s">
        <v>3266</v>
      </c>
      <c r="E48" s="2992" t="s">
        <v>3217</v>
      </c>
      <c r="F48" s="2992" t="s">
        <v>3218</v>
      </c>
      <c r="G48" s="2993" t="s">
        <v>3261</v>
      </c>
      <c r="H48" s="2992" t="s">
        <v>3220</v>
      </c>
      <c r="I48" s="2992">
        <v>208.31</v>
      </c>
    </row>
    <row r="49" spans="1:10">
      <c r="A49" s="2992">
        <v>48</v>
      </c>
      <c r="B49" s="2992" t="s">
        <v>3221</v>
      </c>
      <c r="C49" s="2992" t="s">
        <v>3222</v>
      </c>
      <c r="D49" s="2993" t="s">
        <v>3267</v>
      </c>
      <c r="E49" s="2992" t="s">
        <v>3217</v>
      </c>
      <c r="F49" s="2992" t="s">
        <v>3218</v>
      </c>
      <c r="G49" s="2993" t="s">
        <v>3261</v>
      </c>
      <c r="H49" s="2992" t="s">
        <v>3220</v>
      </c>
      <c r="I49" s="2992">
        <v>222.93</v>
      </c>
    </row>
    <row r="50" spans="1:10">
      <c r="A50" s="2992">
        <v>49</v>
      </c>
      <c r="B50" s="2992" t="s">
        <v>3221</v>
      </c>
      <c r="C50" s="2992" t="s">
        <v>3222</v>
      </c>
      <c r="D50" s="2993" t="s">
        <v>3268</v>
      </c>
      <c r="E50" s="2992" t="s">
        <v>3217</v>
      </c>
      <c r="F50" s="2992" t="s">
        <v>3218</v>
      </c>
      <c r="G50" s="2993" t="s">
        <v>3261</v>
      </c>
      <c r="H50" s="2992" t="s">
        <v>3220</v>
      </c>
      <c r="I50" s="2992">
        <v>152.03</v>
      </c>
    </row>
    <row r="51" spans="1:10">
      <c r="A51" s="2992">
        <v>50</v>
      </c>
      <c r="B51" s="2992" t="s">
        <v>3221</v>
      </c>
      <c r="C51" s="2992" t="s">
        <v>3222</v>
      </c>
      <c r="D51" s="2993" t="s">
        <v>3269</v>
      </c>
      <c r="E51" s="2992" t="s">
        <v>3217</v>
      </c>
      <c r="F51" s="2992" t="s">
        <v>3218</v>
      </c>
      <c r="G51" s="2993" t="s">
        <v>3261</v>
      </c>
      <c r="H51" s="2992" t="s">
        <v>3220</v>
      </c>
      <c r="I51" s="2992">
        <v>116.9</v>
      </c>
    </row>
    <row r="52" spans="1:10">
      <c r="A52" s="2992">
        <v>52</v>
      </c>
      <c r="B52" s="2992" t="s">
        <v>3248</v>
      </c>
      <c r="C52" s="2992" t="s">
        <v>3249</v>
      </c>
      <c r="D52" s="2993" t="s">
        <v>3270</v>
      </c>
      <c r="E52" s="2992" t="s">
        <v>3244</v>
      </c>
      <c r="F52" s="2992" t="s">
        <v>3245</v>
      </c>
      <c r="G52" s="2993" t="s">
        <v>3272</v>
      </c>
      <c r="H52" s="2992" t="s">
        <v>3247</v>
      </c>
      <c r="I52" s="2992">
        <v>160.65</v>
      </c>
    </row>
    <row r="53" spans="1:10">
      <c r="A53" s="2992">
        <v>53</v>
      </c>
      <c r="B53" s="2992" t="s">
        <v>3248</v>
      </c>
      <c r="C53" s="2992" t="s">
        <v>3249</v>
      </c>
      <c r="D53" s="2993" t="s">
        <v>3273</v>
      </c>
      <c r="E53" s="2992" t="s">
        <v>3244</v>
      </c>
      <c r="F53" s="2992" t="s">
        <v>3245</v>
      </c>
      <c r="G53" s="2993" t="s">
        <v>3272</v>
      </c>
      <c r="H53" s="2992" t="s">
        <v>3247</v>
      </c>
      <c r="I53" s="2992">
        <v>152</v>
      </c>
      <c r="J53" s="3004"/>
    </row>
    <row r="54" spans="1:10">
      <c r="A54" s="2992">
        <v>54</v>
      </c>
      <c r="B54" s="2992" t="s">
        <v>3248</v>
      </c>
      <c r="C54" s="2992" t="s">
        <v>3249</v>
      </c>
      <c r="D54" s="2993" t="s">
        <v>3274</v>
      </c>
      <c r="E54" s="2992" t="s">
        <v>3244</v>
      </c>
      <c r="F54" s="2992" t="s">
        <v>3245</v>
      </c>
      <c r="G54" s="2993" t="s">
        <v>3272</v>
      </c>
      <c r="H54" s="2992" t="s">
        <v>3247</v>
      </c>
      <c r="I54" s="2992">
        <v>152</v>
      </c>
    </row>
    <row r="55" spans="1:10">
      <c r="A55" s="2992">
        <v>55</v>
      </c>
      <c r="B55" s="2992" t="s">
        <v>3248</v>
      </c>
      <c r="C55" s="2992" t="s">
        <v>3249</v>
      </c>
      <c r="D55" s="2993" t="s">
        <v>3275</v>
      </c>
      <c r="E55" s="2992" t="s">
        <v>3244</v>
      </c>
      <c r="F55" s="2992" t="s">
        <v>3245</v>
      </c>
      <c r="G55" s="2993" t="s">
        <v>3272</v>
      </c>
      <c r="H55" s="2992" t="s">
        <v>3247</v>
      </c>
      <c r="I55" s="2992">
        <v>152</v>
      </c>
    </row>
    <row r="56" spans="1:10">
      <c r="A56" s="2992">
        <v>56</v>
      </c>
      <c r="B56" s="2992" t="s">
        <v>3248</v>
      </c>
      <c r="C56" s="2992" t="s">
        <v>3249</v>
      </c>
      <c r="D56" s="2993" t="s">
        <v>3276</v>
      </c>
      <c r="E56" s="2992" t="s">
        <v>3244</v>
      </c>
      <c r="F56" s="2992" t="s">
        <v>3245</v>
      </c>
      <c r="G56" s="2993" t="s">
        <v>3272</v>
      </c>
      <c r="H56" s="2992" t="s">
        <v>3247</v>
      </c>
      <c r="I56" s="2992">
        <v>152</v>
      </c>
    </row>
    <row r="57" spans="1:10">
      <c r="A57" s="2992">
        <v>57</v>
      </c>
      <c r="B57" s="2992" t="s">
        <v>3248</v>
      </c>
      <c r="C57" s="2992" t="s">
        <v>3249</v>
      </c>
      <c r="D57" s="2993" t="s">
        <v>3277</v>
      </c>
      <c r="E57" s="2992" t="s">
        <v>3244</v>
      </c>
      <c r="F57" s="2992" t="s">
        <v>3245</v>
      </c>
      <c r="G57" s="2993" t="s">
        <v>3272</v>
      </c>
      <c r="H57" s="2992" t="s">
        <v>3247</v>
      </c>
      <c r="I57" s="2992">
        <v>208.31</v>
      </c>
    </row>
    <row r="58" spans="1:10">
      <c r="A58" s="2992">
        <v>58</v>
      </c>
      <c r="B58" s="2992" t="s">
        <v>3248</v>
      </c>
      <c r="C58" s="2992" t="s">
        <v>3249</v>
      </c>
      <c r="D58" s="2993" t="s">
        <v>3278</v>
      </c>
      <c r="E58" s="2992" t="s">
        <v>3244</v>
      </c>
      <c r="F58" s="2992" t="s">
        <v>3245</v>
      </c>
      <c r="G58" s="2993" t="s">
        <v>3272</v>
      </c>
      <c r="H58" s="2992" t="s">
        <v>3247</v>
      </c>
      <c r="I58" s="2992">
        <v>222.93</v>
      </c>
    </row>
    <row r="59" spans="1:10">
      <c r="A59" s="2992">
        <v>59</v>
      </c>
      <c r="B59" s="2992" t="s">
        <v>3248</v>
      </c>
      <c r="C59" s="2992" t="s">
        <v>3249</v>
      </c>
      <c r="D59" s="2993" t="s">
        <v>3279</v>
      </c>
      <c r="E59" s="2992" t="s">
        <v>3244</v>
      </c>
      <c r="F59" s="2992" t="s">
        <v>3245</v>
      </c>
      <c r="G59" s="2993" t="s">
        <v>3272</v>
      </c>
      <c r="H59" s="2992" t="s">
        <v>3247</v>
      </c>
      <c r="I59" s="2992">
        <v>152.03</v>
      </c>
    </row>
    <row r="60" spans="1:10">
      <c r="A60" s="2992">
        <v>60</v>
      </c>
      <c r="B60" s="2992" t="s">
        <v>3248</v>
      </c>
      <c r="C60" s="2992" t="s">
        <v>3249</v>
      </c>
      <c r="D60" s="2993" t="s">
        <v>3280</v>
      </c>
      <c r="E60" s="2992" t="s">
        <v>3244</v>
      </c>
      <c r="F60" s="2992" t="s">
        <v>3245</v>
      </c>
      <c r="G60" s="2993" t="s">
        <v>3272</v>
      </c>
      <c r="H60" s="2992" t="s">
        <v>3247</v>
      </c>
      <c r="I60" s="2992">
        <v>116.9</v>
      </c>
      <c r="J60" s="3004"/>
    </row>
    <row r="61" spans="1:10">
      <c r="A61" s="2992">
        <v>62</v>
      </c>
      <c r="B61" s="2992" t="s">
        <v>3221</v>
      </c>
      <c r="C61" s="2992" t="s">
        <v>3222</v>
      </c>
      <c r="D61" s="2993" t="s">
        <v>3283</v>
      </c>
      <c r="E61" s="2992" t="s">
        <v>3217</v>
      </c>
      <c r="F61" s="2992" t="s">
        <v>3218</v>
      </c>
      <c r="G61" s="2993" t="s">
        <v>3285</v>
      </c>
      <c r="H61" s="2992" t="s">
        <v>3220</v>
      </c>
      <c r="I61" s="2992">
        <v>160.65</v>
      </c>
      <c r="J61" s="2997"/>
    </row>
    <row r="62" spans="1:10">
      <c r="A62" s="2992">
        <v>63</v>
      </c>
      <c r="B62" s="2992" t="s">
        <v>3221</v>
      </c>
      <c r="C62" s="2992" t="s">
        <v>3222</v>
      </c>
      <c r="D62" s="2993" t="s">
        <v>3286</v>
      </c>
      <c r="E62" s="2992" t="s">
        <v>3217</v>
      </c>
      <c r="F62" s="2992" t="s">
        <v>3218</v>
      </c>
      <c r="G62" s="2993" t="s">
        <v>3285</v>
      </c>
      <c r="H62" s="2992" t="s">
        <v>3220</v>
      </c>
      <c r="I62" s="2992">
        <v>152</v>
      </c>
    </row>
    <row r="63" spans="1:10">
      <c r="A63" s="2992">
        <v>64</v>
      </c>
      <c r="B63" s="2992" t="s">
        <v>3221</v>
      </c>
      <c r="C63" s="2992" t="s">
        <v>3222</v>
      </c>
      <c r="D63" s="2993" t="s">
        <v>3287</v>
      </c>
      <c r="E63" s="2992" t="s">
        <v>3217</v>
      </c>
      <c r="F63" s="2992" t="s">
        <v>3218</v>
      </c>
      <c r="G63" s="2993" t="s">
        <v>3285</v>
      </c>
      <c r="H63" s="2992" t="s">
        <v>3220</v>
      </c>
      <c r="I63" s="2992">
        <v>152</v>
      </c>
    </row>
    <row r="64" spans="1:10">
      <c r="A64" s="2992">
        <v>65</v>
      </c>
      <c r="B64" s="2992" t="s">
        <v>3221</v>
      </c>
      <c r="C64" s="2992" t="s">
        <v>3222</v>
      </c>
      <c r="D64" s="2993" t="s">
        <v>3288</v>
      </c>
      <c r="E64" s="2992" t="s">
        <v>3217</v>
      </c>
      <c r="F64" s="2992" t="s">
        <v>3218</v>
      </c>
      <c r="G64" s="2993" t="s">
        <v>3285</v>
      </c>
      <c r="H64" s="2992" t="s">
        <v>3220</v>
      </c>
      <c r="I64" s="2992">
        <v>152</v>
      </c>
    </row>
    <row r="65" spans="1:9">
      <c r="A65" s="2992">
        <v>66</v>
      </c>
      <c r="B65" s="2992" t="s">
        <v>3221</v>
      </c>
      <c r="C65" s="2992" t="s">
        <v>3222</v>
      </c>
      <c r="D65" s="2993" t="s">
        <v>3289</v>
      </c>
      <c r="E65" s="2992" t="s">
        <v>3217</v>
      </c>
      <c r="F65" s="2992" t="s">
        <v>3218</v>
      </c>
      <c r="G65" s="2993" t="s">
        <v>3285</v>
      </c>
      <c r="H65" s="2992" t="s">
        <v>3220</v>
      </c>
      <c r="I65" s="2992">
        <v>152</v>
      </c>
    </row>
    <row r="66" spans="1:9">
      <c r="A66" s="2992">
        <v>67</v>
      </c>
      <c r="B66" s="2992" t="s">
        <v>3221</v>
      </c>
      <c r="C66" s="2992" t="s">
        <v>3222</v>
      </c>
      <c r="D66" s="2993" t="s">
        <v>3290</v>
      </c>
      <c r="E66" s="2992" t="s">
        <v>3217</v>
      </c>
      <c r="F66" s="2992" t="s">
        <v>3218</v>
      </c>
      <c r="G66" s="2993" t="s">
        <v>3285</v>
      </c>
      <c r="H66" s="2992" t="s">
        <v>3220</v>
      </c>
      <c r="I66" s="2992">
        <v>208.31</v>
      </c>
    </row>
    <row r="67" spans="1:9">
      <c r="A67" s="2992">
        <v>68</v>
      </c>
      <c r="B67" s="2992" t="s">
        <v>3221</v>
      </c>
      <c r="C67" s="2992" t="s">
        <v>3222</v>
      </c>
      <c r="D67" s="2993" t="s">
        <v>3291</v>
      </c>
      <c r="E67" s="2992" t="s">
        <v>3217</v>
      </c>
      <c r="F67" s="2992" t="s">
        <v>3218</v>
      </c>
      <c r="G67" s="2993" t="s">
        <v>3285</v>
      </c>
      <c r="H67" s="2992" t="s">
        <v>3220</v>
      </c>
      <c r="I67" s="2992">
        <v>222.93</v>
      </c>
    </row>
    <row r="68" spans="1:9">
      <c r="A68" s="2992">
        <v>69</v>
      </c>
      <c r="B68" s="2992" t="s">
        <v>3221</v>
      </c>
      <c r="C68" s="2992" t="s">
        <v>3222</v>
      </c>
      <c r="D68" s="2993" t="s">
        <v>3292</v>
      </c>
      <c r="E68" s="2992" t="s">
        <v>3217</v>
      </c>
      <c r="F68" s="2992" t="s">
        <v>3218</v>
      </c>
      <c r="G68" s="2993" t="s">
        <v>3285</v>
      </c>
      <c r="H68" s="2992" t="s">
        <v>3220</v>
      </c>
      <c r="I68" s="2992">
        <v>152.03</v>
      </c>
    </row>
    <row r="69" spans="1:9">
      <c r="A69" s="2992">
        <v>70</v>
      </c>
      <c r="B69" s="2992" t="s">
        <v>3221</v>
      </c>
      <c r="C69" s="2992" t="s">
        <v>3222</v>
      </c>
      <c r="D69" s="2993" t="s">
        <v>3293</v>
      </c>
      <c r="E69" s="2992" t="s">
        <v>3217</v>
      </c>
      <c r="F69" s="2992" t="s">
        <v>3218</v>
      </c>
      <c r="G69" s="2993" t="s">
        <v>3285</v>
      </c>
      <c r="H69" s="2992" t="s">
        <v>3220</v>
      </c>
      <c r="I69" s="2992">
        <v>116.9</v>
      </c>
    </row>
    <row r="70" spans="1:9">
      <c r="A70" s="2992">
        <v>72</v>
      </c>
      <c r="B70" s="2992" t="s">
        <v>3221</v>
      </c>
      <c r="C70" s="2992" t="s">
        <v>3222</v>
      </c>
      <c r="D70" s="2993" t="s">
        <v>3294</v>
      </c>
      <c r="E70" s="2992" t="s">
        <v>3217</v>
      </c>
      <c r="F70" s="2992" t="s">
        <v>3218</v>
      </c>
      <c r="G70" s="2993" t="s">
        <v>3296</v>
      </c>
      <c r="H70" s="2992" t="s">
        <v>3220</v>
      </c>
      <c r="I70" s="2992">
        <v>160.65</v>
      </c>
    </row>
    <row r="71" spans="1:9">
      <c r="A71" s="2992">
        <v>73</v>
      </c>
      <c r="B71" s="2992" t="s">
        <v>3221</v>
      </c>
      <c r="C71" s="2992" t="s">
        <v>3222</v>
      </c>
      <c r="D71" s="2993" t="s">
        <v>3297</v>
      </c>
      <c r="E71" s="2992" t="s">
        <v>3217</v>
      </c>
      <c r="F71" s="2992" t="s">
        <v>3218</v>
      </c>
      <c r="G71" s="2993" t="s">
        <v>3296</v>
      </c>
      <c r="H71" s="2992" t="s">
        <v>3220</v>
      </c>
      <c r="I71" s="2992">
        <v>152</v>
      </c>
    </row>
    <row r="72" spans="1:9">
      <c r="A72" s="2992">
        <v>74</v>
      </c>
      <c r="B72" s="2992" t="s">
        <v>3221</v>
      </c>
      <c r="C72" s="2992" t="s">
        <v>3222</v>
      </c>
      <c r="D72" s="2993" t="s">
        <v>3298</v>
      </c>
      <c r="E72" s="2992" t="s">
        <v>3237</v>
      </c>
      <c r="F72" s="2992" t="s">
        <v>3238</v>
      </c>
      <c r="G72" s="2993" t="s">
        <v>3299</v>
      </c>
      <c r="H72" s="2992" t="s">
        <v>3240</v>
      </c>
      <c r="I72" s="2992">
        <v>152</v>
      </c>
    </row>
    <row r="73" spans="1:9">
      <c r="A73" s="2992">
        <v>75</v>
      </c>
      <c r="B73" s="2992" t="s">
        <v>3300</v>
      </c>
      <c r="C73" s="2992" t="s">
        <v>3301</v>
      </c>
      <c r="D73" s="2993" t="s">
        <v>3302</v>
      </c>
      <c r="E73" s="2992" t="s">
        <v>3237</v>
      </c>
      <c r="F73" s="2992" t="s">
        <v>3238</v>
      </c>
      <c r="G73" s="2993" t="s">
        <v>3299</v>
      </c>
      <c r="H73" s="2992" t="s">
        <v>3240</v>
      </c>
      <c r="I73" s="2992">
        <v>152</v>
      </c>
    </row>
    <row r="74" spans="1:9">
      <c r="A74" s="2992">
        <v>76</v>
      </c>
      <c r="B74" s="2992" t="s">
        <v>3300</v>
      </c>
      <c r="C74" s="2992" t="s">
        <v>3301</v>
      </c>
      <c r="D74" s="2993" t="s">
        <v>3303</v>
      </c>
      <c r="E74" s="2992" t="s">
        <v>3237</v>
      </c>
      <c r="F74" s="2992" t="s">
        <v>3238</v>
      </c>
      <c r="G74" s="2993" t="s">
        <v>3299</v>
      </c>
      <c r="H74" s="2992" t="s">
        <v>3240</v>
      </c>
      <c r="I74" s="2992">
        <v>152</v>
      </c>
    </row>
    <row r="75" spans="1:9">
      <c r="A75" s="2992">
        <v>77</v>
      </c>
      <c r="B75" s="2992" t="s">
        <v>3300</v>
      </c>
      <c r="C75" s="2992" t="s">
        <v>3301</v>
      </c>
      <c r="D75" s="2993" t="s">
        <v>3304</v>
      </c>
      <c r="E75" s="2992" t="s">
        <v>3237</v>
      </c>
      <c r="F75" s="2992" t="s">
        <v>3238</v>
      </c>
      <c r="G75" s="2993" t="s">
        <v>3299</v>
      </c>
      <c r="H75" s="2992" t="s">
        <v>3240</v>
      </c>
      <c r="I75" s="2992">
        <v>208.31</v>
      </c>
    </row>
    <row r="76" spans="1:9">
      <c r="A76" s="2992">
        <v>78</v>
      </c>
      <c r="B76" s="2992" t="s">
        <v>3300</v>
      </c>
      <c r="C76" s="2992" t="s">
        <v>3301</v>
      </c>
      <c r="D76" s="2993" t="s">
        <v>3305</v>
      </c>
      <c r="E76" s="2992" t="s">
        <v>3237</v>
      </c>
      <c r="F76" s="2992" t="s">
        <v>3238</v>
      </c>
      <c r="G76" s="2993" t="s">
        <v>3299</v>
      </c>
      <c r="H76" s="2992" t="s">
        <v>3240</v>
      </c>
      <c r="I76" s="2992">
        <v>222.93</v>
      </c>
    </row>
    <row r="77" spans="1:9">
      <c r="A77" s="2992">
        <v>79</v>
      </c>
      <c r="B77" s="2992" t="s">
        <v>3300</v>
      </c>
      <c r="C77" s="2992" t="s">
        <v>3301</v>
      </c>
      <c r="D77" s="2993" t="s">
        <v>3306</v>
      </c>
      <c r="E77" s="2992" t="s">
        <v>3237</v>
      </c>
      <c r="F77" s="2992" t="s">
        <v>3238</v>
      </c>
      <c r="G77" s="2993" t="s">
        <v>3299</v>
      </c>
      <c r="H77" s="2992" t="s">
        <v>3240</v>
      </c>
      <c r="I77" s="2992">
        <v>152.03</v>
      </c>
    </row>
    <row r="78" spans="1:9">
      <c r="A78" s="2992">
        <v>80</v>
      </c>
      <c r="B78" s="2992" t="s">
        <v>3300</v>
      </c>
      <c r="C78" s="2992" t="s">
        <v>3301</v>
      </c>
      <c r="D78" s="2993" t="s">
        <v>3307</v>
      </c>
      <c r="E78" s="2992" t="s">
        <v>3237</v>
      </c>
      <c r="F78" s="2992" t="s">
        <v>3238</v>
      </c>
      <c r="G78" s="2993" t="s">
        <v>3299</v>
      </c>
      <c r="H78" s="2992" t="s">
        <v>3240</v>
      </c>
      <c r="I78" s="2992">
        <v>116.9</v>
      </c>
    </row>
    <row r="79" spans="1:9">
      <c r="A79" s="2992">
        <v>82</v>
      </c>
      <c r="B79" s="2992" t="s">
        <v>3300</v>
      </c>
      <c r="C79" s="2992" t="s">
        <v>3301</v>
      </c>
      <c r="D79" s="2993" t="s">
        <v>3310</v>
      </c>
      <c r="E79" s="2992" t="s">
        <v>3237</v>
      </c>
      <c r="F79" s="2992" t="s">
        <v>3238</v>
      </c>
      <c r="G79" s="2993" t="s">
        <v>3311</v>
      </c>
      <c r="H79" s="2992" t="s">
        <v>3240</v>
      </c>
      <c r="I79" s="2992">
        <v>160.65</v>
      </c>
    </row>
    <row r="80" spans="1:9">
      <c r="A80" s="2992">
        <v>83</v>
      </c>
      <c r="B80" s="2992" t="s">
        <v>3300</v>
      </c>
      <c r="C80" s="2992" t="s">
        <v>3301</v>
      </c>
      <c r="D80" s="2993" t="s">
        <v>3312</v>
      </c>
      <c r="E80" s="2992" t="s">
        <v>3237</v>
      </c>
      <c r="F80" s="2992" t="s">
        <v>3238</v>
      </c>
      <c r="G80" s="2993" t="s">
        <v>3311</v>
      </c>
      <c r="H80" s="2992" t="s">
        <v>3240</v>
      </c>
      <c r="I80" s="2992">
        <v>152</v>
      </c>
    </row>
    <row r="81" spans="1:9">
      <c r="A81" s="2992">
        <v>84</v>
      </c>
      <c r="B81" s="2992" t="s">
        <v>3300</v>
      </c>
      <c r="C81" s="2992" t="s">
        <v>3301</v>
      </c>
      <c r="D81" s="2993" t="s">
        <v>3313</v>
      </c>
      <c r="E81" s="2992" t="s">
        <v>3237</v>
      </c>
      <c r="F81" s="2992" t="s">
        <v>3238</v>
      </c>
      <c r="G81" s="2993" t="s">
        <v>3311</v>
      </c>
      <c r="H81" s="2992" t="s">
        <v>3240</v>
      </c>
      <c r="I81" s="2992">
        <v>152</v>
      </c>
    </row>
    <row r="82" spans="1:9">
      <c r="A82" s="2992">
        <v>85</v>
      </c>
      <c r="B82" s="2992" t="s">
        <v>3300</v>
      </c>
      <c r="C82" s="2992" t="s">
        <v>3301</v>
      </c>
      <c r="D82" s="2993" t="s">
        <v>3314</v>
      </c>
      <c r="E82" s="2992" t="s">
        <v>3237</v>
      </c>
      <c r="F82" s="2992" t="s">
        <v>3238</v>
      </c>
      <c r="G82" s="2993" t="s">
        <v>3311</v>
      </c>
      <c r="H82" s="2992" t="s">
        <v>3240</v>
      </c>
      <c r="I82" s="2992">
        <v>152</v>
      </c>
    </row>
    <row r="83" spans="1:9">
      <c r="A83" s="2992">
        <v>86</v>
      </c>
      <c r="B83" s="2992" t="s">
        <v>3300</v>
      </c>
      <c r="C83" s="2992" t="s">
        <v>3301</v>
      </c>
      <c r="D83" s="2993" t="s">
        <v>3315</v>
      </c>
      <c r="E83" s="2992" t="s">
        <v>3237</v>
      </c>
      <c r="F83" s="2992" t="s">
        <v>3238</v>
      </c>
      <c r="G83" s="2993" t="s">
        <v>3311</v>
      </c>
      <c r="H83" s="2992" t="s">
        <v>3240</v>
      </c>
      <c r="I83" s="2992">
        <v>152</v>
      </c>
    </row>
    <row r="84" spans="1:9">
      <c r="A84" s="2992">
        <v>87</v>
      </c>
      <c r="B84" s="2992" t="s">
        <v>3300</v>
      </c>
      <c r="C84" s="2992" t="s">
        <v>3301</v>
      </c>
      <c r="D84" s="2993" t="s">
        <v>3316</v>
      </c>
      <c r="E84" s="2992" t="s">
        <v>3237</v>
      </c>
      <c r="F84" s="2992" t="s">
        <v>3238</v>
      </c>
      <c r="G84" s="2993" t="s">
        <v>3311</v>
      </c>
      <c r="H84" s="2992" t="s">
        <v>3240</v>
      </c>
      <c r="I84" s="2992">
        <v>208.31</v>
      </c>
    </row>
    <row r="85" spans="1:9">
      <c r="A85" s="2992">
        <v>88</v>
      </c>
      <c r="B85" s="2992" t="s">
        <v>3300</v>
      </c>
      <c r="C85" s="2992" t="s">
        <v>3301</v>
      </c>
      <c r="D85" s="2993" t="s">
        <v>3317</v>
      </c>
      <c r="E85" s="2992" t="s">
        <v>3237</v>
      </c>
      <c r="F85" s="2992" t="s">
        <v>3238</v>
      </c>
      <c r="G85" s="2993" t="s">
        <v>3311</v>
      </c>
      <c r="H85" s="2992" t="s">
        <v>3240</v>
      </c>
      <c r="I85" s="2992">
        <v>222.93</v>
      </c>
    </row>
    <row r="86" spans="1:9">
      <c r="A86" s="2992">
        <v>89</v>
      </c>
      <c r="B86" s="2992" t="s">
        <v>3300</v>
      </c>
      <c r="C86" s="2992" t="s">
        <v>3301</v>
      </c>
      <c r="D86" s="2993" t="s">
        <v>3318</v>
      </c>
      <c r="E86" s="2992" t="s">
        <v>3237</v>
      </c>
      <c r="F86" s="2992" t="s">
        <v>3238</v>
      </c>
      <c r="G86" s="2993" t="s">
        <v>3311</v>
      </c>
      <c r="H86" s="2992" t="s">
        <v>3240</v>
      </c>
      <c r="I86" s="2992">
        <v>152.03</v>
      </c>
    </row>
    <row r="87" spans="1:9">
      <c r="A87" s="2992">
        <v>90</v>
      </c>
      <c r="B87" s="2992" t="s">
        <v>3300</v>
      </c>
      <c r="C87" s="2992" t="s">
        <v>3301</v>
      </c>
      <c r="D87" s="2993" t="s">
        <v>3319</v>
      </c>
      <c r="E87" s="2992" t="s">
        <v>3217</v>
      </c>
      <c r="F87" s="2992" t="s">
        <v>3218</v>
      </c>
      <c r="G87" s="2993" t="s">
        <v>3320</v>
      </c>
      <c r="H87" s="2992" t="s">
        <v>3220</v>
      </c>
      <c r="I87" s="2992">
        <v>116.9</v>
      </c>
    </row>
    <row r="88" spans="1:9">
      <c r="A88" s="2992">
        <v>92</v>
      </c>
      <c r="B88" s="2992" t="s">
        <v>3221</v>
      </c>
      <c r="C88" s="2992" t="s">
        <v>3222</v>
      </c>
      <c r="D88" s="2993" t="s">
        <v>3323</v>
      </c>
      <c r="E88" s="2992" t="s">
        <v>3217</v>
      </c>
      <c r="F88" s="2992" t="s">
        <v>3218</v>
      </c>
      <c r="G88" s="2993" t="s">
        <v>3324</v>
      </c>
      <c r="H88" s="2992" t="s">
        <v>3220</v>
      </c>
      <c r="I88" s="2992">
        <v>160.65</v>
      </c>
    </row>
    <row r="89" spans="1:9">
      <c r="A89" s="2992">
        <v>93</v>
      </c>
      <c r="B89" s="2992" t="s">
        <v>3221</v>
      </c>
      <c r="C89" s="2992" t="s">
        <v>3222</v>
      </c>
      <c r="D89" s="2993" t="s">
        <v>3325</v>
      </c>
      <c r="E89" s="2992" t="s">
        <v>3217</v>
      </c>
      <c r="F89" s="2992" t="s">
        <v>3218</v>
      </c>
      <c r="G89" s="2993" t="s">
        <v>3324</v>
      </c>
      <c r="H89" s="2992" t="s">
        <v>3220</v>
      </c>
      <c r="I89" s="2992">
        <v>152</v>
      </c>
    </row>
    <row r="90" spans="1:9">
      <c r="A90" s="2992">
        <v>94</v>
      </c>
      <c r="B90" s="2992" t="s">
        <v>3221</v>
      </c>
      <c r="C90" s="2992" t="s">
        <v>3222</v>
      </c>
      <c r="D90" s="2993" t="s">
        <v>3326</v>
      </c>
      <c r="E90" s="2992" t="s">
        <v>3217</v>
      </c>
      <c r="F90" s="2992" t="s">
        <v>3218</v>
      </c>
      <c r="G90" s="2993" t="s">
        <v>3324</v>
      </c>
      <c r="H90" s="2992" t="s">
        <v>3220</v>
      </c>
      <c r="I90" s="2992">
        <v>152</v>
      </c>
    </row>
    <row r="91" spans="1:9">
      <c r="A91" s="2992">
        <v>95</v>
      </c>
      <c r="B91" s="2992" t="s">
        <v>3221</v>
      </c>
      <c r="C91" s="2992" t="s">
        <v>3222</v>
      </c>
      <c r="D91" s="2993" t="s">
        <v>3327</v>
      </c>
      <c r="E91" s="2992" t="s">
        <v>3217</v>
      </c>
      <c r="F91" s="2992" t="s">
        <v>3218</v>
      </c>
      <c r="G91" s="2993" t="s">
        <v>3324</v>
      </c>
      <c r="H91" s="2992" t="s">
        <v>3220</v>
      </c>
      <c r="I91" s="2992">
        <v>152</v>
      </c>
    </row>
    <row r="92" spans="1:9">
      <c r="A92" s="2992">
        <v>96</v>
      </c>
      <c r="B92" s="2992" t="s">
        <v>3221</v>
      </c>
      <c r="C92" s="2992" t="s">
        <v>3222</v>
      </c>
      <c r="D92" s="2993" t="s">
        <v>3328</v>
      </c>
      <c r="E92" s="2992" t="s">
        <v>3217</v>
      </c>
      <c r="F92" s="2992" t="s">
        <v>3218</v>
      </c>
      <c r="G92" s="2993" t="s">
        <v>3324</v>
      </c>
      <c r="H92" s="2992" t="s">
        <v>3220</v>
      </c>
      <c r="I92" s="2992">
        <v>152</v>
      </c>
    </row>
    <row r="93" spans="1:9">
      <c r="A93" s="2992">
        <v>97</v>
      </c>
      <c r="B93" s="2992" t="s">
        <v>3221</v>
      </c>
      <c r="C93" s="2992" t="s">
        <v>3222</v>
      </c>
      <c r="D93" s="2993" t="s">
        <v>3329</v>
      </c>
      <c r="E93" s="2992" t="s">
        <v>3217</v>
      </c>
      <c r="F93" s="2992" t="s">
        <v>3218</v>
      </c>
      <c r="G93" s="2993" t="s">
        <v>3324</v>
      </c>
      <c r="H93" s="2992" t="s">
        <v>3220</v>
      </c>
      <c r="I93" s="2992">
        <v>208.31</v>
      </c>
    </row>
    <row r="94" spans="1:9">
      <c r="A94" s="2992">
        <v>98</v>
      </c>
      <c r="B94" s="2992" t="s">
        <v>3221</v>
      </c>
      <c r="C94" s="2992" t="s">
        <v>3222</v>
      </c>
      <c r="D94" s="2993" t="s">
        <v>3330</v>
      </c>
      <c r="E94" s="2992" t="s">
        <v>3217</v>
      </c>
      <c r="F94" s="2992" t="s">
        <v>3218</v>
      </c>
      <c r="G94" s="2993" t="s">
        <v>3324</v>
      </c>
      <c r="H94" s="2992" t="s">
        <v>3220</v>
      </c>
      <c r="I94" s="2992">
        <v>222.93</v>
      </c>
    </row>
    <row r="95" spans="1:9">
      <c r="A95" s="2992">
        <v>99</v>
      </c>
      <c r="B95" s="2992" t="s">
        <v>3221</v>
      </c>
      <c r="C95" s="2992" t="s">
        <v>3222</v>
      </c>
      <c r="D95" s="2993" t="s">
        <v>3331</v>
      </c>
      <c r="E95" s="2992" t="s">
        <v>3217</v>
      </c>
      <c r="F95" s="2992" t="s">
        <v>3218</v>
      </c>
      <c r="G95" s="2993" t="s">
        <v>3324</v>
      </c>
      <c r="H95" s="2992" t="s">
        <v>3220</v>
      </c>
      <c r="I95" s="2992">
        <v>152.03</v>
      </c>
    </row>
    <row r="96" spans="1:9">
      <c r="A96" s="2992">
        <v>100</v>
      </c>
      <c r="B96" s="2992" t="s">
        <v>3221</v>
      </c>
      <c r="C96" s="2992" t="s">
        <v>3222</v>
      </c>
      <c r="D96" s="2993" t="s">
        <v>3332</v>
      </c>
      <c r="E96" s="2992" t="s">
        <v>3217</v>
      </c>
      <c r="F96" s="2992" t="s">
        <v>3218</v>
      </c>
      <c r="G96" s="2993" t="s">
        <v>3324</v>
      </c>
      <c r="H96" s="2992" t="s">
        <v>3220</v>
      </c>
      <c r="I96" s="2992">
        <v>116.9</v>
      </c>
    </row>
    <row r="97" spans="1:9">
      <c r="A97" s="2992">
        <v>102</v>
      </c>
      <c r="B97" s="2992" t="s">
        <v>3221</v>
      </c>
      <c r="C97" s="2992" t="s">
        <v>3222</v>
      </c>
      <c r="D97" s="2993" t="s">
        <v>3335</v>
      </c>
      <c r="E97" s="2992" t="s">
        <v>3217</v>
      </c>
      <c r="F97" s="2992" t="s">
        <v>3218</v>
      </c>
      <c r="G97" s="2993" t="s">
        <v>3336</v>
      </c>
      <c r="H97" s="2992" t="s">
        <v>3220</v>
      </c>
      <c r="I97" s="2992">
        <v>160.65</v>
      </c>
    </row>
    <row r="98" spans="1:9">
      <c r="A98" s="2992">
        <v>103</v>
      </c>
      <c r="B98" s="2992" t="s">
        <v>3221</v>
      </c>
      <c r="C98" s="2992" t="s">
        <v>3222</v>
      </c>
      <c r="D98" s="2993" t="s">
        <v>3337</v>
      </c>
      <c r="E98" s="2992" t="s">
        <v>3217</v>
      </c>
      <c r="F98" s="2992" t="s">
        <v>3218</v>
      </c>
      <c r="G98" s="2993" t="s">
        <v>3336</v>
      </c>
      <c r="H98" s="2992" t="s">
        <v>3220</v>
      </c>
      <c r="I98" s="2992">
        <v>152</v>
      </c>
    </row>
    <row r="99" spans="1:9">
      <c r="A99" s="2992">
        <v>104</v>
      </c>
      <c r="B99" s="2992" t="s">
        <v>3221</v>
      </c>
      <c r="C99" s="2992" t="s">
        <v>3222</v>
      </c>
      <c r="D99" s="2993" t="s">
        <v>3338</v>
      </c>
      <c r="E99" s="2992" t="s">
        <v>3217</v>
      </c>
      <c r="F99" s="2992" t="s">
        <v>3218</v>
      </c>
      <c r="G99" s="2993" t="s">
        <v>3336</v>
      </c>
      <c r="H99" s="2992" t="s">
        <v>3220</v>
      </c>
      <c r="I99" s="2992">
        <v>152</v>
      </c>
    </row>
    <row r="100" spans="1:9">
      <c r="A100" s="2992">
        <v>105</v>
      </c>
      <c r="B100" s="2992" t="s">
        <v>3221</v>
      </c>
      <c r="C100" s="2992" t="s">
        <v>3222</v>
      </c>
      <c r="D100" s="2993" t="s">
        <v>3339</v>
      </c>
      <c r="E100" s="2992" t="s">
        <v>3217</v>
      </c>
      <c r="F100" s="2992" t="s">
        <v>3218</v>
      </c>
      <c r="G100" s="2993" t="s">
        <v>3336</v>
      </c>
      <c r="H100" s="2992" t="s">
        <v>3220</v>
      </c>
      <c r="I100" s="2992">
        <v>152</v>
      </c>
    </row>
    <row r="101" spans="1:9">
      <c r="A101" s="2992">
        <v>106</v>
      </c>
      <c r="B101" s="2992" t="s">
        <v>3221</v>
      </c>
      <c r="C101" s="2992" t="s">
        <v>3222</v>
      </c>
      <c r="D101" s="2993" t="s">
        <v>3340</v>
      </c>
      <c r="E101" s="2992" t="s">
        <v>3217</v>
      </c>
      <c r="F101" s="2992" t="s">
        <v>3218</v>
      </c>
      <c r="G101" s="2993" t="s">
        <v>3336</v>
      </c>
      <c r="H101" s="2992" t="s">
        <v>3220</v>
      </c>
      <c r="I101" s="2992">
        <v>152</v>
      </c>
    </row>
    <row r="102" spans="1:9">
      <c r="A102" s="2992">
        <v>107</v>
      </c>
      <c r="B102" s="2992" t="s">
        <v>3221</v>
      </c>
      <c r="C102" s="2992" t="s">
        <v>3222</v>
      </c>
      <c r="D102" s="2993" t="s">
        <v>3341</v>
      </c>
      <c r="E102" s="2992" t="s">
        <v>3217</v>
      </c>
      <c r="F102" s="2992" t="s">
        <v>3218</v>
      </c>
      <c r="G102" s="2993" t="s">
        <v>3336</v>
      </c>
      <c r="H102" s="2992" t="s">
        <v>3220</v>
      </c>
      <c r="I102" s="2992">
        <v>208.31</v>
      </c>
    </row>
    <row r="103" spans="1:9">
      <c r="A103" s="2992">
        <v>108</v>
      </c>
      <c r="B103" s="2992" t="s">
        <v>3221</v>
      </c>
      <c r="C103" s="2992" t="s">
        <v>3222</v>
      </c>
      <c r="D103" s="2993" t="s">
        <v>3342</v>
      </c>
      <c r="E103" s="2992" t="s">
        <v>3217</v>
      </c>
      <c r="F103" s="2992" t="s">
        <v>3218</v>
      </c>
      <c r="G103" s="2993" t="s">
        <v>3336</v>
      </c>
      <c r="H103" s="2992" t="s">
        <v>3220</v>
      </c>
      <c r="I103" s="2992">
        <v>222.93</v>
      </c>
    </row>
    <row r="104" spans="1:9">
      <c r="A104" s="2992">
        <v>109</v>
      </c>
      <c r="B104" s="2992" t="s">
        <v>3221</v>
      </c>
      <c r="C104" s="2992" t="s">
        <v>3222</v>
      </c>
      <c r="D104" s="2993" t="s">
        <v>3343</v>
      </c>
      <c r="E104" s="2992" t="s">
        <v>3217</v>
      </c>
      <c r="F104" s="2992" t="s">
        <v>3218</v>
      </c>
      <c r="G104" s="2993" t="s">
        <v>3336</v>
      </c>
      <c r="H104" s="2992" t="s">
        <v>3220</v>
      </c>
      <c r="I104" s="2992">
        <v>152.03</v>
      </c>
    </row>
    <row r="105" spans="1:9">
      <c r="A105" s="2992">
        <v>110</v>
      </c>
      <c r="B105" s="2992" t="s">
        <v>3221</v>
      </c>
      <c r="C105" s="2992" t="s">
        <v>3222</v>
      </c>
      <c r="D105" s="2993" t="s">
        <v>3344</v>
      </c>
      <c r="E105" s="2992" t="s">
        <v>3217</v>
      </c>
      <c r="F105" s="2992" t="s">
        <v>3218</v>
      </c>
      <c r="G105" s="2993" t="s">
        <v>3336</v>
      </c>
      <c r="H105" s="2992" t="s">
        <v>3220</v>
      </c>
      <c r="I105" s="2992">
        <v>116.9</v>
      </c>
    </row>
    <row r="106" spans="1:9">
      <c r="A106" s="2992">
        <v>112</v>
      </c>
      <c r="B106" s="2992" t="s">
        <v>3221</v>
      </c>
      <c r="C106" s="2992" t="s">
        <v>3222</v>
      </c>
      <c r="D106" s="2993" t="s">
        <v>3347</v>
      </c>
      <c r="E106" s="2992" t="s">
        <v>3217</v>
      </c>
      <c r="F106" s="2992" t="s">
        <v>3218</v>
      </c>
      <c r="G106" s="2993" t="s">
        <v>3348</v>
      </c>
      <c r="H106" s="2992" t="s">
        <v>3220</v>
      </c>
      <c r="I106" s="2992">
        <v>160.65</v>
      </c>
    </row>
    <row r="107" spans="1:9">
      <c r="A107" s="2992">
        <v>113</v>
      </c>
      <c r="B107" s="2992" t="s">
        <v>3221</v>
      </c>
      <c r="C107" s="2992" t="s">
        <v>3222</v>
      </c>
      <c r="D107" s="2993" t="s">
        <v>3349</v>
      </c>
      <c r="E107" s="2992" t="s">
        <v>3217</v>
      </c>
      <c r="F107" s="2992" t="s">
        <v>3218</v>
      </c>
      <c r="G107" s="2993" t="s">
        <v>3348</v>
      </c>
      <c r="H107" s="2992" t="s">
        <v>3220</v>
      </c>
      <c r="I107" s="2992">
        <v>152</v>
      </c>
    </row>
    <row r="108" spans="1:9">
      <c r="A108" s="2992">
        <v>114</v>
      </c>
      <c r="B108" s="2992" t="s">
        <v>3221</v>
      </c>
      <c r="C108" s="2992" t="s">
        <v>3222</v>
      </c>
      <c r="D108" s="2993" t="s">
        <v>3350</v>
      </c>
      <c r="E108" s="2992" t="s">
        <v>3217</v>
      </c>
      <c r="F108" s="2992" t="s">
        <v>3218</v>
      </c>
      <c r="G108" s="2993" t="s">
        <v>3348</v>
      </c>
      <c r="H108" s="2992" t="s">
        <v>3220</v>
      </c>
      <c r="I108" s="2992">
        <v>152</v>
      </c>
    </row>
    <row r="109" spans="1:9">
      <c r="A109" s="2992">
        <v>115</v>
      </c>
      <c r="B109" s="2992" t="s">
        <v>3221</v>
      </c>
      <c r="C109" s="2992" t="s">
        <v>3222</v>
      </c>
      <c r="D109" s="2993" t="s">
        <v>3351</v>
      </c>
      <c r="E109" s="2992" t="s">
        <v>3217</v>
      </c>
      <c r="F109" s="2992" t="s">
        <v>3218</v>
      </c>
      <c r="G109" s="2993" t="s">
        <v>3348</v>
      </c>
      <c r="H109" s="2992" t="s">
        <v>3220</v>
      </c>
      <c r="I109" s="2992">
        <v>152</v>
      </c>
    </row>
    <row r="110" spans="1:9">
      <c r="A110" s="2992">
        <v>116</v>
      </c>
      <c r="B110" s="2992" t="s">
        <v>3221</v>
      </c>
      <c r="C110" s="2992" t="s">
        <v>3222</v>
      </c>
      <c r="D110" s="2993" t="s">
        <v>3352</v>
      </c>
      <c r="E110" s="2992" t="s">
        <v>3217</v>
      </c>
      <c r="F110" s="2992" t="s">
        <v>3218</v>
      </c>
      <c r="G110" s="2993" t="s">
        <v>3348</v>
      </c>
      <c r="H110" s="2992" t="s">
        <v>3220</v>
      </c>
      <c r="I110" s="2992">
        <v>152</v>
      </c>
    </row>
    <row r="111" spans="1:9">
      <c r="A111" s="2992">
        <v>117</v>
      </c>
      <c r="B111" s="2992" t="s">
        <v>3221</v>
      </c>
      <c r="C111" s="2992" t="s">
        <v>3222</v>
      </c>
      <c r="D111" s="2993" t="s">
        <v>3353</v>
      </c>
      <c r="E111" s="2992" t="s">
        <v>3217</v>
      </c>
      <c r="F111" s="2992" t="s">
        <v>3218</v>
      </c>
      <c r="G111" s="2993" t="s">
        <v>3348</v>
      </c>
      <c r="H111" s="2992" t="s">
        <v>3220</v>
      </c>
      <c r="I111" s="2992">
        <v>208.31</v>
      </c>
    </row>
    <row r="112" spans="1:9">
      <c r="A112" s="2992">
        <v>118</v>
      </c>
      <c r="B112" s="2992" t="s">
        <v>3221</v>
      </c>
      <c r="C112" s="2992" t="s">
        <v>3222</v>
      </c>
      <c r="D112" s="2993" t="s">
        <v>3354</v>
      </c>
      <c r="E112" s="2992" t="s">
        <v>3217</v>
      </c>
      <c r="F112" s="2992" t="s">
        <v>3218</v>
      </c>
      <c r="G112" s="2993" t="s">
        <v>3348</v>
      </c>
      <c r="H112" s="2992" t="s">
        <v>3220</v>
      </c>
      <c r="I112" s="2992">
        <v>222.93</v>
      </c>
    </row>
    <row r="113" spans="1:10">
      <c r="A113" s="2992">
        <v>119</v>
      </c>
      <c r="B113" s="2992" t="s">
        <v>3221</v>
      </c>
      <c r="C113" s="2992" t="s">
        <v>3222</v>
      </c>
      <c r="D113" s="2993" t="s">
        <v>3355</v>
      </c>
      <c r="E113" s="2992" t="s">
        <v>3217</v>
      </c>
      <c r="F113" s="2992" t="s">
        <v>3218</v>
      </c>
      <c r="G113" s="2993" t="s">
        <v>3348</v>
      </c>
      <c r="H113" s="2992" t="s">
        <v>3220</v>
      </c>
      <c r="I113" s="2992">
        <v>152.03</v>
      </c>
    </row>
    <row r="114" spans="1:10">
      <c r="A114" s="2992">
        <v>120</v>
      </c>
      <c r="B114" s="2992" t="s">
        <v>3221</v>
      </c>
      <c r="C114" s="2992" t="s">
        <v>3222</v>
      </c>
      <c r="D114" s="2993" t="s">
        <v>3356</v>
      </c>
      <c r="E114" s="2992" t="s">
        <v>3217</v>
      </c>
      <c r="F114" s="2992" t="s">
        <v>3218</v>
      </c>
      <c r="G114" s="2993" t="s">
        <v>3348</v>
      </c>
      <c r="H114" s="2992" t="s">
        <v>3220</v>
      </c>
      <c r="I114" s="2992">
        <v>116.9</v>
      </c>
      <c r="J114" s="3004"/>
    </row>
    <row r="115" spans="1:10">
      <c r="A115" s="2995">
        <v>1</v>
      </c>
      <c r="B115" s="2995" t="s">
        <v>3182</v>
      </c>
      <c r="C115" s="2995" t="s">
        <v>3183</v>
      </c>
      <c r="D115" s="2996" t="s">
        <v>3184</v>
      </c>
      <c r="E115" s="2995" t="s">
        <v>3185</v>
      </c>
      <c r="F115" s="2995" t="s">
        <v>3186</v>
      </c>
      <c r="G115" s="2996" t="s">
        <v>3187</v>
      </c>
      <c r="H115" s="2995" t="s">
        <v>3188</v>
      </c>
      <c r="I115" s="2995">
        <v>5960.53</v>
      </c>
    </row>
    <row r="116" spans="1:10">
      <c r="A116" s="2995">
        <v>2</v>
      </c>
      <c r="B116" s="2995" t="s">
        <v>3182</v>
      </c>
      <c r="C116" s="2995" t="s">
        <v>3183</v>
      </c>
      <c r="D116" s="2996" t="s">
        <v>3189</v>
      </c>
      <c r="E116" s="2995" t="s">
        <v>3185</v>
      </c>
      <c r="F116" s="2995" t="s">
        <v>3186</v>
      </c>
      <c r="G116" s="2996" t="s">
        <v>3187</v>
      </c>
      <c r="H116" s="2995" t="s">
        <v>3188</v>
      </c>
      <c r="I116" s="2995">
        <v>2831.2</v>
      </c>
    </row>
    <row r="117" spans="1:10">
      <c r="A117" s="2995">
        <v>3</v>
      </c>
      <c r="B117" s="2995" t="s">
        <v>3182</v>
      </c>
      <c r="C117" s="2995" t="s">
        <v>3183</v>
      </c>
      <c r="D117" s="2996" t="s">
        <v>3190</v>
      </c>
      <c r="E117" s="2995" t="s">
        <v>3185</v>
      </c>
      <c r="F117" s="2995" t="s">
        <v>3186</v>
      </c>
      <c r="G117" s="2996" t="s">
        <v>3187</v>
      </c>
      <c r="H117" s="2995" t="s">
        <v>3188</v>
      </c>
      <c r="I117" s="2995">
        <v>973.41</v>
      </c>
    </row>
    <row r="118" spans="1:10">
      <c r="A118" s="2995">
        <v>5</v>
      </c>
      <c r="B118" s="2995" t="s">
        <v>3182</v>
      </c>
      <c r="C118" s="2995" t="s">
        <v>3183</v>
      </c>
      <c r="D118" s="2996" t="s">
        <v>3196</v>
      </c>
      <c r="E118" s="2995" t="s">
        <v>3185</v>
      </c>
      <c r="F118" s="2995" t="s">
        <v>3197</v>
      </c>
      <c r="G118" s="2996" t="s">
        <v>3198</v>
      </c>
      <c r="H118" s="2995" t="s">
        <v>3188</v>
      </c>
      <c r="I118" s="2995">
        <v>8925.85</v>
      </c>
    </row>
    <row r="119" spans="1:10">
      <c r="A119" s="2995">
        <v>6</v>
      </c>
      <c r="B119" s="2995" t="s">
        <v>3182</v>
      </c>
      <c r="C119" s="2995" t="s">
        <v>3183</v>
      </c>
      <c r="D119" s="2996" t="s">
        <v>3199</v>
      </c>
      <c r="E119" s="2995" t="s">
        <v>3185</v>
      </c>
      <c r="F119" s="2995" t="s">
        <v>3186</v>
      </c>
      <c r="G119" s="2996" t="s">
        <v>3198</v>
      </c>
      <c r="H119" s="2995" t="s">
        <v>3188</v>
      </c>
      <c r="I119" s="2995">
        <v>1999.18</v>
      </c>
    </row>
    <row r="120" spans="1:10">
      <c r="A120" s="2995">
        <v>7</v>
      </c>
      <c r="B120" s="2995" t="s">
        <v>3182</v>
      </c>
      <c r="C120" s="2995" t="s">
        <v>3183</v>
      </c>
      <c r="D120" s="2996" t="s">
        <v>3200</v>
      </c>
      <c r="E120" s="2995" t="s">
        <v>3185</v>
      </c>
      <c r="F120" s="2995" t="s">
        <v>3186</v>
      </c>
      <c r="G120" s="2996" t="s">
        <v>3201</v>
      </c>
      <c r="H120" s="2995" t="s">
        <v>3188</v>
      </c>
      <c r="I120" s="2995">
        <v>8965.7800000000007</v>
      </c>
    </row>
    <row r="121" spans="1:10">
      <c r="A121" s="2995">
        <v>8</v>
      </c>
      <c r="B121" s="2995" t="s">
        <v>3182</v>
      </c>
      <c r="C121" s="2995" t="s">
        <v>3202</v>
      </c>
      <c r="D121" s="2996" t="s">
        <v>3203</v>
      </c>
      <c r="E121" s="2995" t="s">
        <v>3185</v>
      </c>
      <c r="F121" s="2995" t="s">
        <v>3186</v>
      </c>
      <c r="G121" s="2996" t="s">
        <v>3201</v>
      </c>
      <c r="H121" s="2995" t="s">
        <v>3188</v>
      </c>
      <c r="I121" s="2995">
        <v>1991.5</v>
      </c>
    </row>
    <row r="122" spans="1:10">
      <c r="A122" s="2995">
        <v>10</v>
      </c>
      <c r="B122" s="2995" t="s">
        <v>3182</v>
      </c>
      <c r="C122" s="2995" t="s">
        <v>3183</v>
      </c>
      <c r="D122" s="2996" t="s">
        <v>3208</v>
      </c>
      <c r="E122" s="2995" t="s">
        <v>3185</v>
      </c>
      <c r="F122" s="2995" t="s">
        <v>3186</v>
      </c>
      <c r="G122" s="2996" t="s">
        <v>3207</v>
      </c>
      <c r="H122" s="2995" t="s">
        <v>3188</v>
      </c>
      <c r="I122" s="2995">
        <v>10095.84</v>
      </c>
    </row>
    <row r="123" spans="1:10">
      <c r="A123" s="2997">
        <v>122</v>
      </c>
      <c r="B123" s="2997" t="s">
        <v>3182</v>
      </c>
      <c r="C123" s="2997" t="s">
        <v>3361</v>
      </c>
      <c r="D123" s="2998" t="s">
        <v>3362</v>
      </c>
      <c r="E123" s="2997" t="s">
        <v>3217</v>
      </c>
      <c r="F123" s="2997" t="s">
        <v>3363</v>
      </c>
      <c r="G123" s="2998" t="s">
        <v>3358</v>
      </c>
      <c r="H123" s="2997" t="s">
        <v>3359</v>
      </c>
      <c r="I123" s="2997">
        <v>21.37</v>
      </c>
    </row>
    <row r="124" spans="1:10">
      <c r="A124" s="2997">
        <v>123</v>
      </c>
      <c r="B124" s="2997" t="s">
        <v>3360</v>
      </c>
      <c r="C124" s="2997" t="s">
        <v>3361</v>
      </c>
      <c r="D124" s="2998" t="s">
        <v>3364</v>
      </c>
      <c r="E124" s="2997" t="s">
        <v>3217</v>
      </c>
      <c r="F124" s="2997" t="s">
        <v>3363</v>
      </c>
      <c r="G124" s="2998" t="s">
        <v>3358</v>
      </c>
      <c r="H124" s="2997" t="s">
        <v>3359</v>
      </c>
      <c r="I124" s="2997">
        <v>7.56</v>
      </c>
    </row>
    <row r="125" spans="1:10">
      <c r="A125" s="2997">
        <v>124</v>
      </c>
      <c r="B125" s="2997" t="s">
        <v>3360</v>
      </c>
      <c r="C125" s="2997" t="s">
        <v>3361</v>
      </c>
      <c r="D125" s="2998" t="s">
        <v>3365</v>
      </c>
      <c r="E125" s="2997" t="s">
        <v>3217</v>
      </c>
      <c r="F125" s="2997" t="s">
        <v>3363</v>
      </c>
      <c r="G125" s="2998" t="s">
        <v>3358</v>
      </c>
      <c r="H125" s="2997" t="s">
        <v>3359</v>
      </c>
      <c r="I125" s="2997">
        <v>36.07</v>
      </c>
    </row>
    <row r="126" spans="1:10">
      <c r="A126" s="2997">
        <v>125</v>
      </c>
      <c r="B126" s="2997" t="s">
        <v>3360</v>
      </c>
      <c r="C126" s="2997" t="s">
        <v>3361</v>
      </c>
      <c r="D126" s="2998" t="s">
        <v>3366</v>
      </c>
      <c r="E126" s="2997" t="s">
        <v>3217</v>
      </c>
      <c r="F126" s="2997" t="s">
        <v>3363</v>
      </c>
      <c r="G126" s="2998" t="s">
        <v>3358</v>
      </c>
      <c r="H126" s="2997" t="s">
        <v>3359</v>
      </c>
      <c r="I126" s="2997">
        <v>21.25</v>
      </c>
    </row>
    <row r="127" spans="1:10">
      <c r="A127" s="2997">
        <v>126</v>
      </c>
      <c r="B127" s="2997" t="s">
        <v>3360</v>
      </c>
      <c r="C127" s="2997" t="s">
        <v>3361</v>
      </c>
      <c r="D127" s="2998" t="s">
        <v>3367</v>
      </c>
      <c r="E127" s="2997" t="s">
        <v>3217</v>
      </c>
      <c r="F127" s="2997" t="s">
        <v>3363</v>
      </c>
      <c r="G127" s="2998" t="s">
        <v>3358</v>
      </c>
      <c r="H127" s="2997" t="s">
        <v>3359</v>
      </c>
      <c r="I127" s="2997">
        <v>57.48</v>
      </c>
    </row>
    <row r="128" spans="1:10">
      <c r="A128" s="2997">
        <v>127</v>
      </c>
      <c r="B128" s="2997" t="s">
        <v>3360</v>
      </c>
      <c r="C128" s="2997" t="s">
        <v>3361</v>
      </c>
      <c r="D128" s="2998" t="s">
        <v>3368</v>
      </c>
      <c r="E128" s="2997" t="s">
        <v>3217</v>
      </c>
      <c r="F128" s="2997" t="s">
        <v>3363</v>
      </c>
      <c r="G128" s="2998" t="s">
        <v>3358</v>
      </c>
      <c r="H128" s="2997" t="s">
        <v>3359</v>
      </c>
      <c r="I128" s="2997">
        <v>50.19</v>
      </c>
    </row>
    <row r="129" spans="1:9">
      <c r="A129" s="2997">
        <v>128</v>
      </c>
      <c r="B129" s="2997" t="s">
        <v>3360</v>
      </c>
      <c r="C129" s="2997" t="s">
        <v>3361</v>
      </c>
      <c r="D129" s="2998" t="s">
        <v>3369</v>
      </c>
      <c r="E129" s="2997" t="s">
        <v>3217</v>
      </c>
      <c r="F129" s="2997" t="s">
        <v>3363</v>
      </c>
      <c r="G129" s="2998" t="s">
        <v>3358</v>
      </c>
      <c r="H129" s="2997" t="s">
        <v>3359</v>
      </c>
      <c r="I129" s="2997">
        <v>6828.51</v>
      </c>
    </row>
    <row r="130" spans="1:9" s="2994" customFormat="1">
      <c r="A130" s="2992">
        <v>129</v>
      </c>
      <c r="B130" s="2992" t="s">
        <v>3360</v>
      </c>
      <c r="C130" s="2992" t="s">
        <v>3361</v>
      </c>
      <c r="D130" s="2993" t="s">
        <v>3370</v>
      </c>
      <c r="E130" s="2992" t="s">
        <v>3217</v>
      </c>
      <c r="F130" s="2992" t="s">
        <v>3363</v>
      </c>
      <c r="G130" s="2993" t="s">
        <v>3358</v>
      </c>
      <c r="H130" s="2992" t="s">
        <v>3371</v>
      </c>
      <c r="I130" s="2992">
        <v>1940.16</v>
      </c>
    </row>
    <row r="131" spans="1:9">
      <c r="A131" s="2997">
        <v>130</v>
      </c>
      <c r="B131" s="2997" t="s">
        <v>3360</v>
      </c>
      <c r="C131" s="2997" t="s">
        <v>3361</v>
      </c>
      <c r="D131" s="2998" t="s">
        <v>3372</v>
      </c>
      <c r="E131" s="2997" t="s">
        <v>3217</v>
      </c>
      <c r="F131" s="2997" t="s">
        <v>3363</v>
      </c>
      <c r="G131" s="2998" t="s">
        <v>3358</v>
      </c>
      <c r="H131" s="2997" t="s">
        <v>3359</v>
      </c>
      <c r="I131" s="2997">
        <v>69.25</v>
      </c>
    </row>
    <row r="132" spans="1:9">
      <c r="A132" s="2997">
        <v>131</v>
      </c>
      <c r="B132" s="2997" t="s">
        <v>3360</v>
      </c>
      <c r="C132" s="2997" t="s">
        <v>3361</v>
      </c>
      <c r="D132" s="2998" t="s">
        <v>3373</v>
      </c>
      <c r="E132" s="2997" t="s">
        <v>3217</v>
      </c>
      <c r="F132" s="2997" t="s">
        <v>3363</v>
      </c>
      <c r="G132" s="2998" t="s">
        <v>3358</v>
      </c>
      <c r="H132" s="2997" t="s">
        <v>3359</v>
      </c>
      <c r="I132" s="2997">
        <v>48.56</v>
      </c>
    </row>
    <row r="133" spans="1:9">
      <c r="A133" s="2997">
        <v>132</v>
      </c>
      <c r="B133" s="2997" t="s">
        <v>3360</v>
      </c>
      <c r="C133" s="2997" t="s">
        <v>3361</v>
      </c>
      <c r="D133" s="2998" t="s">
        <v>3374</v>
      </c>
      <c r="E133" s="2997" t="s">
        <v>3217</v>
      </c>
      <c r="F133" s="2997" t="s">
        <v>3363</v>
      </c>
      <c r="G133" s="2998" t="s">
        <v>3358</v>
      </c>
      <c r="H133" s="2997" t="s">
        <v>3359</v>
      </c>
      <c r="I133" s="2997">
        <v>48.56</v>
      </c>
    </row>
    <row r="134" spans="1:9">
      <c r="A134" s="2997">
        <v>133</v>
      </c>
      <c r="B134" s="2997" t="s">
        <v>3360</v>
      </c>
      <c r="C134" s="2997" t="s">
        <v>3361</v>
      </c>
      <c r="D134" s="2998" t="s">
        <v>3375</v>
      </c>
      <c r="E134" s="2997" t="s">
        <v>3217</v>
      </c>
      <c r="F134" s="2997" t="s">
        <v>3363</v>
      </c>
      <c r="G134" s="2998" t="s">
        <v>3358</v>
      </c>
      <c r="H134" s="2997" t="s">
        <v>3359</v>
      </c>
      <c r="I134" s="2997">
        <v>47.76</v>
      </c>
    </row>
    <row r="135" spans="1:9">
      <c r="A135" s="2997">
        <v>134</v>
      </c>
      <c r="B135" s="2997" t="s">
        <v>3360</v>
      </c>
      <c r="C135" s="2997" t="s">
        <v>3361</v>
      </c>
      <c r="D135" s="2998" t="s">
        <v>3376</v>
      </c>
      <c r="E135" s="2997" t="s">
        <v>3217</v>
      </c>
      <c r="F135" s="2997" t="s">
        <v>3363</v>
      </c>
      <c r="G135" s="2998" t="s">
        <v>3358</v>
      </c>
      <c r="H135" s="2997" t="s">
        <v>3359</v>
      </c>
      <c r="I135" s="2997">
        <v>53.68</v>
      </c>
    </row>
    <row r="136" spans="1:9">
      <c r="A136" s="2997">
        <v>135</v>
      </c>
      <c r="B136" s="2997" t="s">
        <v>3360</v>
      </c>
      <c r="C136" s="2997" t="s">
        <v>3361</v>
      </c>
      <c r="D136" s="2998" t="s">
        <v>3377</v>
      </c>
      <c r="E136" s="2997" t="s">
        <v>3217</v>
      </c>
      <c r="F136" s="2997" t="s">
        <v>3363</v>
      </c>
      <c r="G136" s="2998" t="s">
        <v>3358</v>
      </c>
      <c r="H136" s="2997" t="s">
        <v>3359</v>
      </c>
      <c r="I136" s="2997">
        <v>53.68</v>
      </c>
    </row>
    <row r="137" spans="1:9">
      <c r="A137" s="2997">
        <v>136</v>
      </c>
      <c r="B137" s="2997" t="s">
        <v>3360</v>
      </c>
      <c r="C137" s="2997" t="s">
        <v>3361</v>
      </c>
      <c r="D137" s="2998" t="s">
        <v>3378</v>
      </c>
      <c r="E137" s="2997" t="s">
        <v>3217</v>
      </c>
      <c r="F137" s="2997" t="s">
        <v>3363</v>
      </c>
      <c r="G137" s="2998" t="s">
        <v>3358</v>
      </c>
      <c r="H137" s="2997" t="s">
        <v>3359</v>
      </c>
      <c r="I137" s="2997">
        <v>53.68</v>
      </c>
    </row>
    <row r="138" spans="1:9">
      <c r="A138" s="2997">
        <v>137</v>
      </c>
      <c r="B138" s="2997" t="s">
        <v>3360</v>
      </c>
      <c r="C138" s="2997" t="s">
        <v>3361</v>
      </c>
      <c r="D138" s="2998" t="s">
        <v>3379</v>
      </c>
      <c r="E138" s="2997" t="s">
        <v>3217</v>
      </c>
      <c r="F138" s="2997" t="s">
        <v>3363</v>
      </c>
      <c r="G138" s="2998" t="s">
        <v>3358</v>
      </c>
      <c r="H138" s="2997" t="s">
        <v>3359</v>
      </c>
      <c r="I138" s="2997">
        <v>53.68</v>
      </c>
    </row>
    <row r="139" spans="1:9">
      <c r="A139" s="2997">
        <v>138</v>
      </c>
      <c r="B139" s="2997" t="s">
        <v>3360</v>
      </c>
      <c r="C139" s="2997" t="s">
        <v>3361</v>
      </c>
      <c r="D139" s="2998" t="s">
        <v>3380</v>
      </c>
      <c r="E139" s="2997" t="s">
        <v>3217</v>
      </c>
      <c r="F139" s="2997" t="s">
        <v>3363</v>
      </c>
      <c r="G139" s="2998" t="s">
        <v>3358</v>
      </c>
      <c r="H139" s="2997" t="s">
        <v>3359</v>
      </c>
      <c r="I139" s="2997">
        <v>47.55</v>
      </c>
    </row>
    <row r="140" spans="1:9">
      <c r="A140" s="2997">
        <v>139</v>
      </c>
      <c r="B140" s="2997" t="s">
        <v>3360</v>
      </c>
      <c r="C140" s="2997" t="s">
        <v>3361</v>
      </c>
      <c r="D140" s="2998" t="s">
        <v>3381</v>
      </c>
      <c r="E140" s="2997" t="s">
        <v>3217</v>
      </c>
      <c r="F140" s="2997" t="s">
        <v>3363</v>
      </c>
      <c r="G140" s="2998" t="s">
        <v>3358</v>
      </c>
      <c r="H140" s="2997" t="s">
        <v>3359</v>
      </c>
      <c r="I140" s="2997">
        <v>54.7</v>
      </c>
    </row>
    <row r="141" spans="1:9">
      <c r="A141" s="2997">
        <v>140</v>
      </c>
      <c r="B141" s="2997" t="s">
        <v>3360</v>
      </c>
      <c r="C141" s="2997" t="s">
        <v>3361</v>
      </c>
      <c r="D141" s="2998" t="s">
        <v>3382</v>
      </c>
      <c r="E141" s="2997" t="s">
        <v>3217</v>
      </c>
      <c r="F141" s="2997" t="s">
        <v>3363</v>
      </c>
      <c r="G141" s="2998" t="s">
        <v>3383</v>
      </c>
      <c r="H141" s="2997" t="s">
        <v>3359</v>
      </c>
      <c r="I141" s="2997">
        <v>21.21</v>
      </c>
    </row>
    <row r="142" spans="1:9">
      <c r="A142" s="2997">
        <v>141</v>
      </c>
      <c r="B142" s="2997" t="s">
        <v>3360</v>
      </c>
      <c r="C142" s="2997" t="s">
        <v>3361</v>
      </c>
      <c r="D142" s="2998" t="s">
        <v>3384</v>
      </c>
      <c r="E142" s="2997" t="s">
        <v>3217</v>
      </c>
      <c r="F142" s="2997" t="s">
        <v>3363</v>
      </c>
      <c r="G142" s="2998" t="s">
        <v>3383</v>
      </c>
      <c r="H142" s="2997" t="s">
        <v>3359</v>
      </c>
      <c r="I142" s="2997">
        <v>46.3</v>
      </c>
    </row>
    <row r="143" spans="1:9">
      <c r="A143" s="2997">
        <v>142</v>
      </c>
      <c r="B143" s="2997" t="s">
        <v>3360</v>
      </c>
      <c r="C143" s="2997" t="s">
        <v>3361</v>
      </c>
      <c r="D143" s="2998" t="s">
        <v>3385</v>
      </c>
      <c r="E143" s="2997" t="s">
        <v>3217</v>
      </c>
      <c r="F143" s="2997" t="s">
        <v>3363</v>
      </c>
      <c r="G143" s="2998" t="s">
        <v>3383</v>
      </c>
      <c r="H143" s="2997" t="s">
        <v>3359</v>
      </c>
      <c r="I143" s="2997">
        <v>37.840000000000003</v>
      </c>
    </row>
    <row r="144" spans="1:9">
      <c r="A144" s="2997">
        <v>143</v>
      </c>
      <c r="B144" s="2997" t="s">
        <v>3360</v>
      </c>
      <c r="C144" s="2997" t="s">
        <v>3361</v>
      </c>
      <c r="D144" s="2998" t="s">
        <v>3386</v>
      </c>
      <c r="E144" s="2997" t="s">
        <v>3217</v>
      </c>
      <c r="F144" s="2997" t="s">
        <v>3363</v>
      </c>
      <c r="G144" s="2998" t="s">
        <v>3383</v>
      </c>
      <c r="H144" s="2997" t="s">
        <v>3359</v>
      </c>
      <c r="I144" s="2997">
        <v>50.82</v>
      </c>
    </row>
    <row r="145" spans="1:9">
      <c r="A145" s="2997">
        <v>144</v>
      </c>
      <c r="B145" s="2997" t="s">
        <v>3360</v>
      </c>
      <c r="C145" s="2997" t="s">
        <v>3361</v>
      </c>
      <c r="D145" s="2998" t="s">
        <v>3387</v>
      </c>
      <c r="E145" s="2997" t="s">
        <v>3217</v>
      </c>
      <c r="F145" s="2997" t="s">
        <v>3363</v>
      </c>
      <c r="G145" s="2998" t="s">
        <v>3383</v>
      </c>
      <c r="H145" s="2997" t="s">
        <v>3359</v>
      </c>
      <c r="I145" s="2997">
        <v>1951.24</v>
      </c>
    </row>
    <row r="146" spans="1:9">
      <c r="A146" s="2997">
        <v>145</v>
      </c>
      <c r="B146" s="2997" t="s">
        <v>3360</v>
      </c>
      <c r="C146" s="2997" t="s">
        <v>3361</v>
      </c>
      <c r="D146" s="2998" t="s">
        <v>3388</v>
      </c>
      <c r="E146" s="2997" t="s">
        <v>3217</v>
      </c>
      <c r="F146" s="2997" t="s">
        <v>3363</v>
      </c>
      <c r="G146" s="2998" t="s">
        <v>3389</v>
      </c>
      <c r="H146" s="2997" t="s">
        <v>3359</v>
      </c>
      <c r="I146" s="2997">
        <v>179.13</v>
      </c>
    </row>
    <row r="147" spans="1:9">
      <c r="A147" s="2997">
        <v>146</v>
      </c>
      <c r="B147" s="2997" t="s">
        <v>3360</v>
      </c>
      <c r="C147" s="2997" t="s">
        <v>3361</v>
      </c>
      <c r="D147" s="2998" t="s">
        <v>3390</v>
      </c>
      <c r="E147" s="2997" t="s">
        <v>3217</v>
      </c>
      <c r="F147" s="2997" t="s">
        <v>3363</v>
      </c>
      <c r="G147" s="2998" t="s">
        <v>3389</v>
      </c>
      <c r="H147" s="2997" t="s">
        <v>3359</v>
      </c>
      <c r="I147" s="2997">
        <v>21.21</v>
      </c>
    </row>
    <row r="148" spans="1:9">
      <c r="A148" s="2997">
        <v>147</v>
      </c>
      <c r="B148" s="2997" t="s">
        <v>3360</v>
      </c>
      <c r="C148" s="2997" t="s">
        <v>3361</v>
      </c>
      <c r="D148" s="2998" t="s">
        <v>3391</v>
      </c>
      <c r="E148" s="2997" t="s">
        <v>3217</v>
      </c>
      <c r="F148" s="2997" t="s">
        <v>3363</v>
      </c>
      <c r="G148" s="2998" t="s">
        <v>3389</v>
      </c>
      <c r="H148" s="2997" t="s">
        <v>3359</v>
      </c>
      <c r="I148" s="2997">
        <v>49.91</v>
      </c>
    </row>
    <row r="149" spans="1:9">
      <c r="A149" s="2997">
        <v>148</v>
      </c>
      <c r="B149" s="2997" t="s">
        <v>3360</v>
      </c>
      <c r="C149" s="2997" t="s">
        <v>3361</v>
      </c>
      <c r="D149" s="2998" t="s">
        <v>3392</v>
      </c>
      <c r="E149" s="2997" t="s">
        <v>3217</v>
      </c>
      <c r="F149" s="2997" t="s">
        <v>3363</v>
      </c>
      <c r="G149" s="2998" t="s">
        <v>3389</v>
      </c>
      <c r="H149" s="2997" t="s">
        <v>3359</v>
      </c>
      <c r="I149" s="2997">
        <v>2544.79</v>
      </c>
    </row>
    <row r="150" spans="1:9">
      <c r="A150" s="2997"/>
      <c r="B150" s="2997" t="s">
        <v>3393</v>
      </c>
      <c r="C150" s="2997"/>
      <c r="D150" s="2998"/>
      <c r="E150" s="2997"/>
      <c r="F150" s="2997"/>
      <c r="G150" s="2998"/>
      <c r="H150" s="2997"/>
      <c r="I150" s="2997">
        <f>SUM(I2:I149)</f>
        <v>89988.24000000002</v>
      </c>
    </row>
    <row r="152" spans="1:9">
      <c r="D152" s="2999"/>
      <c r="G152" s="2999"/>
    </row>
    <row r="153" spans="1:9">
      <c r="A153" s="2997" t="s">
        <v>3404</v>
      </c>
      <c r="B153" s="2997">
        <f>SUM(I115,I116,I117,I15)</f>
        <v>9797.0999999999985</v>
      </c>
      <c r="D153" s="2999"/>
      <c r="G153" s="2999"/>
    </row>
    <row r="154" spans="1:9">
      <c r="A154" s="2997" t="s">
        <v>3405</v>
      </c>
      <c r="B154" s="2997">
        <f>SUM(I118:I119)</f>
        <v>10925.03</v>
      </c>
      <c r="D154" s="2999"/>
      <c r="G154" s="2999"/>
    </row>
    <row r="155" spans="1:9">
      <c r="A155" s="2997" t="s">
        <v>3406</v>
      </c>
      <c r="B155" s="2997">
        <f>SUM(I120:I121)</f>
        <v>10957.28</v>
      </c>
      <c r="D155" s="2999"/>
      <c r="G155" s="2999"/>
    </row>
    <row r="156" spans="1:9">
      <c r="A156" s="2997" t="s">
        <v>3407</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13">
      <c r="A161" s="2997" t="s">
        <v>3432</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3411</v>
      </c>
      <c r="C164" s="3000" t="s">
        <v>3412</v>
      </c>
      <c r="D164" s="3000" t="s">
        <v>3413</v>
      </c>
      <c r="E164" s="3000" t="s">
        <v>3417</v>
      </c>
      <c r="F164" s="3000" t="s">
        <v>3414</v>
      </c>
      <c r="G164" s="3000" t="s">
        <v>3415</v>
      </c>
      <c r="H164" s="3000" t="s">
        <v>3426</v>
      </c>
      <c r="I164" s="3000" t="s">
        <v>3430</v>
      </c>
      <c r="L164" s="2999" t="s">
        <v>3700</v>
      </c>
      <c r="M164" s="2999" t="s">
        <v>3701</v>
      </c>
    </row>
    <row r="165" spans="1:13">
      <c r="A165" s="3000" t="s">
        <v>3416</v>
      </c>
      <c r="B165" s="3000">
        <v>1</v>
      </c>
      <c r="C165" s="3000">
        <f>B153</f>
        <v>9797.0999999999985</v>
      </c>
      <c r="D165" s="3001">
        <v>3903.57</v>
      </c>
      <c r="E165" s="3001">
        <f>C165-D165</f>
        <v>5893.5299999999988</v>
      </c>
      <c r="F165" s="3002">
        <v>1713899.0261666665</v>
      </c>
      <c r="G165" s="3003">
        <v>14.635312685282674</v>
      </c>
      <c r="H165" s="3003">
        <v>8.02</v>
      </c>
      <c r="I165" s="3003">
        <v>13</v>
      </c>
      <c r="J165" s="2999" t="s">
        <v>3427</v>
      </c>
    </row>
    <row r="166" spans="1:13">
      <c r="A166" s="3000" t="s">
        <v>3408</v>
      </c>
      <c r="B166" s="3000">
        <v>0.65</v>
      </c>
      <c r="C166" s="3000">
        <f>B154</f>
        <v>10925.03</v>
      </c>
      <c r="D166" s="3001">
        <v>11050</v>
      </c>
      <c r="E166" s="3001">
        <v>0</v>
      </c>
      <c r="F166" s="3003">
        <v>731009.43125000002</v>
      </c>
      <c r="G166" s="3003">
        <v>2.2051566553544495</v>
      </c>
      <c r="H166" s="3003"/>
      <c r="I166" s="3003">
        <f>$I$165*B166</f>
        <v>8.4500000000000011</v>
      </c>
      <c r="J166" s="2999" t="s">
        <v>3424</v>
      </c>
    </row>
    <row r="167" spans="1:13">
      <c r="A167" s="3000" t="s">
        <v>3409</v>
      </c>
      <c r="B167" s="3000">
        <v>0.55000000000000004</v>
      </c>
      <c r="C167" s="3000">
        <f>B155</f>
        <v>10957.28</v>
      </c>
      <c r="D167" s="3001">
        <v>10989.5</v>
      </c>
      <c r="E167" s="3001">
        <v>0</v>
      </c>
      <c r="F167" s="3003">
        <v>663600.43124999991</v>
      </c>
      <c r="G167" s="3003">
        <v>2.0128317371126982</v>
      </c>
      <c r="H167" s="3003"/>
      <c r="I167" s="3003">
        <f>$I$165*B167</f>
        <v>7.15</v>
      </c>
      <c r="J167" s="2999" t="s">
        <v>3428</v>
      </c>
    </row>
    <row r="168" spans="1:13">
      <c r="A168" s="3000" t="s">
        <v>3410</v>
      </c>
      <c r="B168" s="3000">
        <v>0.45</v>
      </c>
      <c r="C168" s="3000">
        <f>B156</f>
        <v>11174.07</v>
      </c>
      <c r="D168" s="3001">
        <v>4255.2</v>
      </c>
      <c r="E168" s="3001">
        <f>C168-D168</f>
        <v>6918.87</v>
      </c>
      <c r="F168" s="3002">
        <v>860742.125</v>
      </c>
      <c r="G168" s="3003">
        <v>6.7426687738923361</v>
      </c>
      <c r="H168" s="3003"/>
      <c r="I168" s="3003">
        <f>$I$165*B168</f>
        <v>5.8500000000000005</v>
      </c>
      <c r="J168" s="2999" t="s">
        <v>3425</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D172" s="2999"/>
      <c r="G172" s="2999"/>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C20" sqref="AC20"/>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43983</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3045</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22.8</v>
      </c>
      <c r="G6" s="73">
        <f>IF(ISERROR(ROUND(POWER(1+H6,D6-F6)*(POWER(1+H6,F6)-1)/(POWER(1+H6,D6)-1),3)),0,ROUND(POWER(1+H6,D6-F6)*(POWER(1+H6,F6)-1)/(POWER(1+H6,D6)-1),3))</f>
        <v>0.79900000000000004</v>
      </c>
      <c r="H6" s="797">
        <v>5.5E-2</v>
      </c>
      <c r="I6" s="797">
        <v>0.06</v>
      </c>
      <c r="J6" s="74">
        <v>8.5000000000000006E-2</v>
      </c>
      <c r="K6" s="1233">
        <f>SUMIF('数据-汇总表'!C$19:C$33,A6,'数据-汇总表'!E$19:E$33)</f>
        <v>0</v>
      </c>
      <c r="L6" s="798">
        <v>3500</v>
      </c>
      <c r="M6" s="75">
        <f t="shared" ref="M6:M14" si="0">ROUND(K6*L6/10000,0)</f>
        <v>0</v>
      </c>
      <c r="N6" s="796">
        <f>ROUND(1-(2020-2008)/60,2)</f>
        <v>0.8</v>
      </c>
      <c r="O6" s="75" t="str">
        <f>IF($N$5="成新度","——",ROUND(M6*N6,0))</f>
        <v>——</v>
      </c>
      <c r="P6" s="76" t="str">
        <f>IF($N$5="成新度","——",M6-O6)</f>
        <v>——</v>
      </c>
      <c r="Q6" s="799">
        <v>0.25</v>
      </c>
      <c r="R6" s="77">
        <f ca="1">SUMIF('数据-汇总表'!C$19:C$33,A6,'数据-汇总表'!R$19:R$27)</f>
        <v>0</v>
      </c>
      <c r="S6" s="54">
        <f>IF('数据-汇总表'!$I$17="按面积比例",SUMIF('数据-汇总表'!C$19:C$33,A6,'数据-汇总表'!K$19:K$33),SUMIF('数据-汇总表'!C$19:C$33,A6,'数据-汇总表'!N$19:N$33))</f>
        <v>0</v>
      </c>
      <c r="T6" s="1424">
        <f>ROUND($L$14*S6/10000,0)</f>
        <v>0</v>
      </c>
      <c r="U6" s="3408"/>
      <c r="V6" s="3409"/>
      <c r="W6" s="3409"/>
      <c r="X6" s="3410"/>
      <c r="Y6" s="3411"/>
      <c r="Z6" s="3424"/>
      <c r="AA6" s="3413"/>
      <c r="AB6" s="3413"/>
      <c r="AC6" s="3410"/>
      <c r="AD6" s="3423"/>
      <c r="AE6" s="1244">
        <f ca="1">IF(AN6="",0,SUMIF(INDIRECT("'"&amp;AN6&amp;"'"&amp;"!E:E"),$AE$5,INDIRECT("'"&amp;AN6&amp;"'"&amp;"!F:F")))</f>
        <v>0</v>
      </c>
      <c r="AF6" s="3414"/>
      <c r="AG6" s="147">
        <f>IF(AF6="",0,AE6-AF6)</f>
        <v>0</v>
      </c>
      <c r="AH6" s="2955"/>
      <c r="AI6" s="85"/>
      <c r="AJ6" s="86"/>
      <c r="AK6" s="87"/>
      <c r="AL6" s="88"/>
      <c r="AM6" s="89"/>
      <c r="AN6" s="2283"/>
      <c r="AO6" s="55" t="e">
        <f ca="1">SUMIF(INDIRECT("'"&amp;AN6&amp;"'"&amp;"!A:A"),"总价",INDIRECT("'"&amp;AN6&amp;"'"&amp;"!B:B"))</f>
        <v>#REF!</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22.8</v>
      </c>
      <c r="G7" s="73">
        <f t="shared" ref="G7:G11" si="2">IF(ISERROR(ROUND(POWER(1+H7,D7-F7)*(POWER(1+H7,F7)-1)/(POWER(1+H7,D7)-1),3)),0,ROUND(POWER(1+H7,D7-F7)*(POWER(1+H7,F7)-1)/(POWER(1+H7,D7)-1),3))</f>
        <v>0.79900000000000004</v>
      </c>
      <c r="H7" s="797">
        <v>5.5E-2</v>
      </c>
      <c r="I7" s="797">
        <v>0.06</v>
      </c>
      <c r="J7" s="74">
        <v>8.5000000000000006E-2</v>
      </c>
      <c r="K7" s="1233">
        <f>SUMIF('数据-汇总表'!C$19:C$33,A7,'数据-汇总表'!E$19:E$33)</f>
        <v>0</v>
      </c>
      <c r="L7" s="798">
        <f>L6</f>
        <v>3500</v>
      </c>
      <c r="M7" s="75">
        <f t="shared" si="0"/>
        <v>0</v>
      </c>
      <c r="N7" s="796">
        <f>N6</f>
        <v>0.8</v>
      </c>
      <c r="O7" s="75" t="str">
        <f t="shared" ref="O7:O14" si="3">IF($N$5="成新度","——",ROUND(M7*N7,0))</f>
        <v>——</v>
      </c>
      <c r="P7" s="76" t="str">
        <f t="shared" ref="P7:P14" si="4">IF($N$5="成新度","——",M7-O7)</f>
        <v>——</v>
      </c>
      <c r="Q7" s="799">
        <v>0.25</v>
      </c>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25"/>
      <c r="V7" s="79"/>
      <c r="W7" s="79"/>
      <c r="X7" s="1243"/>
      <c r="Y7" s="80"/>
      <c r="Z7" s="81"/>
      <c r="AA7" s="74"/>
      <c r="AB7" s="74"/>
      <c r="AC7" s="1243"/>
      <c r="AD7" s="82"/>
      <c r="AE7" s="1244">
        <f t="shared" ref="AE7:AE13" ca="1" si="6">IF(AN7="",0,SUMIF(INDIRECT("'"&amp;AN7&amp;"'"&amp;"!E:E"),$AE$5,INDIRECT("'"&amp;AN7&amp;"'"&amp;"!F:F")))</f>
        <v>0</v>
      </c>
      <c r="AF7" s="3401"/>
      <c r="AG7" s="147">
        <f t="shared" ref="AG7:AG13" si="7">IF(AF7="",0,AE7-AF7)</f>
        <v>0</v>
      </c>
      <c r="AH7" s="2955"/>
      <c r="AI7" s="85"/>
      <c r="AJ7" s="86"/>
      <c r="AK7" s="87"/>
      <c r="AL7" s="88"/>
      <c r="AM7" s="89"/>
      <c r="AN7" s="2283"/>
      <c r="AO7" s="55" t="e">
        <f t="shared" ref="AO7:AO13" ca="1" si="8">SUMIF(INDIRECT("'"&amp;AN7&amp;"'"&amp;"!A:A"),"总价",INDIRECT("'"&amp;AN7&amp;"'"&amp;"!B:B"))</f>
        <v>#REF!</v>
      </c>
      <c r="AP7" s="2284">
        <f t="shared" ref="AP7:AP13" si="9">IF(C7="住宅",K7*L7,0)</f>
        <v>0</v>
      </c>
      <c r="AQ7" s="55">
        <f t="shared" ref="AQ7:AQ13" si="10">ROUND($L$14*$N$14*S7/10000,0)</f>
        <v>0</v>
      </c>
      <c r="AR7" s="55">
        <f t="shared" ref="AR7:AR13" si="11">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22.8</v>
      </c>
      <c r="G8" s="73">
        <f t="shared" si="2"/>
        <v>0.78200000000000003</v>
      </c>
      <c r="H8" s="797">
        <v>0.05</v>
      </c>
      <c r="I8" s="797">
        <v>5.5E-2</v>
      </c>
      <c r="J8" s="74">
        <v>8.5000000000000006E-2</v>
      </c>
      <c r="K8" s="1233">
        <f>SUMIF('数据-汇总表'!C$19:C$33,A8,'数据-汇总表'!E$19:E$33)</f>
        <v>4069.3900000000003</v>
      </c>
      <c r="L8" s="798">
        <f>L6</f>
        <v>3500</v>
      </c>
      <c r="M8" s="75">
        <f>ROUND(K8*L8/10000,0)</f>
        <v>1424</v>
      </c>
      <c r="N8" s="796">
        <f>N6</f>
        <v>0.8</v>
      </c>
      <c r="O8" s="75" t="str">
        <f t="shared" si="3"/>
        <v>——</v>
      </c>
      <c r="P8" s="76" t="str">
        <f t="shared" si="4"/>
        <v>——</v>
      </c>
      <c r="Q8" s="799">
        <v>0.2</v>
      </c>
      <c r="R8" s="77">
        <f ca="1">SUMIF('数据-汇总表'!C$19:C$33,A8,'数据-汇总表'!R$19:R$27)</f>
        <v>973.83</v>
      </c>
      <c r="S8" s="54">
        <f>IF('数据-汇总表'!$I$17="按面积比例",SUMIF('数据-汇总表'!C$19:C$33,A8,'数据-汇总表'!K$19:K$33),SUMIF('数据-汇总表'!C$19:C$33,A8,'数据-汇总表'!N$19:N$33))</f>
        <v>172.07</v>
      </c>
      <c r="T8" s="1424">
        <f t="shared" si="5"/>
        <v>0</v>
      </c>
      <c r="U8" s="3422">
        <v>7.53</v>
      </c>
      <c r="V8" s="3409">
        <v>0</v>
      </c>
      <c r="W8" s="3409">
        <v>0</v>
      </c>
      <c r="X8" s="1243"/>
      <c r="Y8" s="80">
        <f t="shared" ref="Y8" si="12">N8</f>
        <v>0.8</v>
      </c>
      <c r="Z8" s="3412">
        <f>ROUND(7*(1+AA8)^AF8,2)</f>
        <v>7.48</v>
      </c>
      <c r="AA8" s="3413">
        <v>0.03</v>
      </c>
      <c r="AB8" s="3413">
        <v>0.1</v>
      </c>
      <c r="AC8" s="1243"/>
      <c r="AD8" s="82">
        <f>ROUND(1-(2022-2008)/60,2)</f>
        <v>0.77</v>
      </c>
      <c r="AE8" s="1244">
        <f t="shared" ca="1" si="6"/>
        <v>22.8</v>
      </c>
      <c r="AF8" s="3401">
        <v>2.2400000000000002</v>
      </c>
      <c r="AG8" s="147">
        <f t="shared" ca="1" si="7"/>
        <v>20.560000000000002</v>
      </c>
      <c r="AH8" s="2955">
        <f>K8</f>
        <v>4069.3900000000003</v>
      </c>
      <c r="AI8" s="85">
        <v>365</v>
      </c>
      <c r="AJ8" s="86"/>
      <c r="AK8" s="87">
        <v>1.4999999999999999E-2</v>
      </c>
      <c r="AL8" s="88">
        <v>1.5E-3</v>
      </c>
      <c r="AM8" s="89">
        <v>0.05</v>
      </c>
      <c r="AN8" s="2283" t="s">
        <v>3688</v>
      </c>
      <c r="AO8" s="55">
        <f t="shared" ca="1" si="8"/>
        <v>12056</v>
      </c>
      <c r="AP8" s="2284">
        <f t="shared" si="9"/>
        <v>0</v>
      </c>
      <c r="AQ8" s="55">
        <f t="shared" si="10"/>
        <v>0</v>
      </c>
      <c r="AR8" s="55">
        <f t="shared" si="11"/>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22.8</v>
      </c>
      <c r="G9" s="73">
        <f t="shared" si="2"/>
        <v>0.78200000000000003</v>
      </c>
      <c r="H9" s="797">
        <v>0.05</v>
      </c>
      <c r="I9" s="797">
        <v>5.5E-2</v>
      </c>
      <c r="J9" s="74">
        <v>8.5000000000000006E-2</v>
      </c>
      <c r="K9" s="1233">
        <f>SUMIF('数据-汇总表'!C$19:C$33,A9,'数据-汇总表'!E$19:E$33)</f>
        <v>12087.629999999997</v>
      </c>
      <c r="L9" s="798">
        <f>L7</f>
        <v>3500</v>
      </c>
      <c r="M9" s="75">
        <f t="shared" si="0"/>
        <v>4231</v>
      </c>
      <c r="N9" s="796">
        <f>N8</f>
        <v>0.8</v>
      </c>
      <c r="O9" s="75" t="str">
        <f t="shared" si="3"/>
        <v>——</v>
      </c>
      <c r="P9" s="76" t="str">
        <f t="shared" si="4"/>
        <v>——</v>
      </c>
      <c r="Q9" s="90">
        <v>0.2</v>
      </c>
      <c r="R9" s="77">
        <f ca="1">SUMIF('数据-汇总表'!C$19:C$33,A9,'数据-汇总表'!R$19:R$27)</f>
        <v>2892.62</v>
      </c>
      <c r="S9" s="54">
        <f>IF('数据-汇总表'!$I$17="按面积比例",SUMIF('数据-汇总表'!C$19:C$33,A9,'数据-汇总表'!K$19:K$33),SUMIF('数据-汇总表'!C$19:C$33,A9,'数据-汇总表'!N$19:N$33))</f>
        <v>511.12</v>
      </c>
      <c r="T9" s="1424">
        <f t="shared" si="5"/>
        <v>0</v>
      </c>
      <c r="U9" s="78">
        <v>7</v>
      </c>
      <c r="V9" s="79">
        <v>0.03</v>
      </c>
      <c r="W9" s="79">
        <v>0.1</v>
      </c>
      <c r="X9" s="1243"/>
      <c r="Y9" s="80">
        <f>Y8</f>
        <v>0.8</v>
      </c>
      <c r="Z9" s="81"/>
      <c r="AA9" s="74"/>
      <c r="AB9" s="74"/>
      <c r="AC9" s="1243"/>
      <c r="AD9" s="82"/>
      <c r="AE9" s="1244">
        <f t="shared" ca="1" si="6"/>
        <v>22.8</v>
      </c>
      <c r="AF9" s="1784"/>
      <c r="AG9" s="147">
        <f t="shared" si="7"/>
        <v>0</v>
      </c>
      <c r="AH9" s="2955">
        <f t="shared" ref="AH9:AH10" si="13">K9</f>
        <v>12087.629999999997</v>
      </c>
      <c r="AI9" s="85">
        <v>366</v>
      </c>
      <c r="AJ9" s="86"/>
      <c r="AK9" s="87">
        <v>1.4999999999999999E-2</v>
      </c>
      <c r="AL9" s="88">
        <f>AL8</f>
        <v>1.5E-3</v>
      </c>
      <c r="AM9" s="89">
        <v>0.05</v>
      </c>
      <c r="AN9" s="2283" t="s">
        <v>3690</v>
      </c>
      <c r="AO9" s="55">
        <f t="shared" ca="1" si="8"/>
        <v>35010</v>
      </c>
      <c r="AP9" s="2284">
        <f t="shared" si="9"/>
        <v>0</v>
      </c>
      <c r="AQ9" s="55">
        <f t="shared" si="10"/>
        <v>0</v>
      </c>
      <c r="AR9" s="55">
        <f t="shared" si="11"/>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3418</v>
      </c>
      <c r="D10" s="1041">
        <f>SUMIF(项目基本情况!D$12:I$12,C10,项目基本情况!D$14:I$14)</f>
        <v>50</v>
      </c>
      <c r="E10" s="1038">
        <f>IF(B10="","",SUMIF(项目基本情况!D$12:I$12,C10,项目基本情况!D$13:I$13))</f>
        <v>55961</v>
      </c>
      <c r="F10" s="72">
        <f>SUMIF(项目基本情况!D$12:I$12,C10,项目基本情况!D$15:I$15)</f>
        <v>32.81</v>
      </c>
      <c r="G10" s="73">
        <f t="shared" si="2"/>
        <v>0.85899999999999999</v>
      </c>
      <c r="H10" s="797">
        <v>4.4999999999999998E-2</v>
      </c>
      <c r="I10" s="797">
        <v>0.05</v>
      </c>
      <c r="J10" s="74">
        <v>8.5000000000000006E-2</v>
      </c>
      <c r="K10" s="1233">
        <f>SUMIF('数据-汇总表'!C$19:C$33,A10,'数据-汇总表'!E$19:E$33)</f>
        <v>13156.989999999996</v>
      </c>
      <c r="L10" s="798">
        <f>L8</f>
        <v>3500</v>
      </c>
      <c r="M10" s="75">
        <f t="shared" si="0"/>
        <v>4605</v>
      </c>
      <c r="N10" s="796">
        <f t="shared" ref="N10:N11" si="14">N9</f>
        <v>0.8</v>
      </c>
      <c r="O10" s="75" t="str">
        <f t="shared" si="3"/>
        <v>——</v>
      </c>
      <c r="P10" s="76" t="str">
        <f t="shared" si="4"/>
        <v>——</v>
      </c>
      <c r="Q10" s="799">
        <v>0.05</v>
      </c>
      <c r="R10" s="77">
        <f ca="1">SUMIF('数据-汇总表'!C$19:C$33,A10,'数据-汇总表'!R$19:R$27)</f>
        <v>3148.52</v>
      </c>
      <c r="S10" s="54">
        <f>IF('数据-汇总表'!$I$17="按面积比例",SUMIF('数据-汇总表'!C$19:C$33,A10,'数据-汇总表'!K$19:K$33),SUMIF('数据-汇总表'!C$19:C$33,A10,'数据-汇总表'!N$19:N$33))</f>
        <v>556.33000000000004</v>
      </c>
      <c r="T10" s="1424">
        <f t="shared" si="5"/>
        <v>0</v>
      </c>
      <c r="U10" s="800">
        <v>1</v>
      </c>
      <c r="V10" s="801">
        <v>2.5000000000000001E-2</v>
      </c>
      <c r="W10" s="801">
        <v>0.1</v>
      </c>
      <c r="X10" s="1243"/>
      <c r="Y10" s="80">
        <f>Y9</f>
        <v>0.8</v>
      </c>
      <c r="Z10" s="81"/>
      <c r="AA10" s="74"/>
      <c r="AB10" s="74"/>
      <c r="AC10" s="1243"/>
      <c r="AD10" s="82"/>
      <c r="AE10" s="1244">
        <f t="shared" ca="1" si="6"/>
        <v>32.81</v>
      </c>
      <c r="AF10" s="1784"/>
      <c r="AG10" s="147">
        <f t="shared" si="7"/>
        <v>0</v>
      </c>
      <c r="AH10" s="2955">
        <f t="shared" si="13"/>
        <v>13156.989999999996</v>
      </c>
      <c r="AI10" s="85">
        <v>367</v>
      </c>
      <c r="AJ10" s="86"/>
      <c r="AK10" s="87">
        <v>5.0000000000000001E-3</v>
      </c>
      <c r="AL10" s="88">
        <f>AL8</f>
        <v>1.5E-3</v>
      </c>
      <c r="AM10" s="89">
        <v>0.03</v>
      </c>
      <c r="AN10" s="2283" t="s">
        <v>3650</v>
      </c>
      <c r="AO10" s="55">
        <f t="shared" ca="1" si="8"/>
        <v>6776</v>
      </c>
      <c r="AP10" s="2284">
        <f t="shared" si="9"/>
        <v>0</v>
      </c>
      <c r="AQ10" s="55">
        <f t="shared" si="10"/>
        <v>0</v>
      </c>
      <c r="AR10" s="55">
        <f t="shared" si="11"/>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22.8</v>
      </c>
      <c r="G11" s="73">
        <f t="shared" si="2"/>
        <v>0.78200000000000003</v>
      </c>
      <c r="H11" s="797">
        <v>0.05</v>
      </c>
      <c r="I11" s="797">
        <v>0.06</v>
      </c>
      <c r="J11" s="74">
        <v>8.5000000000000006E-2</v>
      </c>
      <c r="K11" s="1233">
        <f>SUMIF('数据-汇总表'!C$19:C$33,A11,'数据-汇总表'!E$19:E$33)</f>
        <v>16569.820000000003</v>
      </c>
      <c r="L11" s="798">
        <v>5500</v>
      </c>
      <c r="M11" s="75">
        <f t="shared" si="0"/>
        <v>9113</v>
      </c>
      <c r="N11" s="796">
        <f t="shared" si="14"/>
        <v>0.8</v>
      </c>
      <c r="O11" s="75" t="str">
        <f t="shared" si="3"/>
        <v>——</v>
      </c>
      <c r="P11" s="76" t="str">
        <f t="shared" si="4"/>
        <v>——</v>
      </c>
      <c r="Q11" s="90">
        <v>0.15</v>
      </c>
      <c r="R11" s="77">
        <f ca="1">SUMIF('数据-汇总表'!C$19:C$33,A11,'数据-汇总表'!R$19:R$27)</f>
        <v>3965.2200000000003</v>
      </c>
      <c r="S11" s="54">
        <f>IF('数据-汇总表'!$I$17="按面积比例",SUMIF('数据-汇总表'!C$19:C$33,A11,'数据-汇总表'!K$19:K$33),SUMIF('数据-汇总表'!C$19:C$33,A11,'数据-汇总表'!N$19:N$33))</f>
        <v>700.64</v>
      </c>
      <c r="T11" s="1424">
        <f t="shared" si="5"/>
        <v>0</v>
      </c>
      <c r="U11" s="78">
        <f>酒店收入计算!E26</f>
        <v>3147.54</v>
      </c>
      <c r="V11" s="79">
        <v>0.03</v>
      </c>
      <c r="W11" s="79">
        <v>0.1</v>
      </c>
      <c r="X11" s="1243"/>
      <c r="Y11" s="80">
        <f>Y10</f>
        <v>0.8</v>
      </c>
      <c r="Z11" s="93"/>
      <c r="AA11" s="74"/>
      <c r="AB11" s="74"/>
      <c r="AC11" s="1243"/>
      <c r="AD11" s="82"/>
      <c r="AE11" s="1244">
        <f t="shared" ca="1" si="6"/>
        <v>22.8</v>
      </c>
      <c r="AF11" s="1784"/>
      <c r="AG11" s="147">
        <f t="shared" si="7"/>
        <v>0</v>
      </c>
      <c r="AH11" s="2955">
        <v>10000</v>
      </c>
      <c r="AI11" s="85">
        <v>1</v>
      </c>
      <c r="AJ11" s="86"/>
      <c r="AK11" s="87">
        <v>1.4999999999999999E-2</v>
      </c>
      <c r="AL11" s="88">
        <f>AL9</f>
        <v>1.5E-3</v>
      </c>
      <c r="AM11" s="89">
        <v>0.01</v>
      </c>
      <c r="AN11" s="2283" t="s">
        <v>3648</v>
      </c>
      <c r="AO11" s="55">
        <f t="shared" ca="1" si="8"/>
        <v>37323</v>
      </c>
      <c r="AP11" s="2284">
        <f t="shared" si="9"/>
        <v>0</v>
      </c>
      <c r="AQ11" s="55">
        <f t="shared" si="10"/>
        <v>0</v>
      </c>
      <c r="AR11" s="55">
        <f t="shared" si="11"/>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3"/>
      <c r="AO12" s="55" t="e">
        <f t="shared" ca="1" si="8"/>
        <v>#REF!</v>
      </c>
      <c r="AP12" s="2284">
        <f t="shared" si="9"/>
        <v>0</v>
      </c>
      <c r="AQ12" s="55">
        <f t="shared" si="10"/>
        <v>0</v>
      </c>
      <c r="AR12" s="55">
        <f t="shared" si="11"/>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3"/>
      <c r="AO13" s="55" t="e">
        <f t="shared" ca="1" si="8"/>
        <v>#REF!</v>
      </c>
      <c r="AP13" s="2284">
        <f t="shared" si="9"/>
        <v>0</v>
      </c>
      <c r="AQ13" s="55">
        <f t="shared" si="10"/>
        <v>0</v>
      </c>
      <c r="AR13" s="55">
        <f t="shared" si="11"/>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1940.16</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0.80400000000000005</v>
      </c>
      <c r="H16" s="99">
        <f>ROUND(SUMPRODUCT(H6:H13,K6:K13)/SUMPRODUCT((H6:H13&gt;0)*(K6:K13)),3)</f>
        <v>4.9000000000000002E-2</v>
      </c>
      <c r="I16" s="100"/>
      <c r="J16" s="100"/>
      <c r="K16" s="101">
        <f>SUM(K6:K15)</f>
        <v>47823.990000000005</v>
      </c>
      <c r="L16" s="102">
        <f>ROUND(M16*10000/SUM(K6:K14),0)</f>
        <v>4051</v>
      </c>
      <c r="M16" s="102">
        <f>SUM(M6:M14)</f>
        <v>19373</v>
      </c>
      <c r="N16" s="103">
        <f>ROUND(SUMPRODUCT(M6:M14,N6:N14)/M16,3)</f>
        <v>0.8</v>
      </c>
      <c r="O16" s="102">
        <f>SUM(O6:O14)</f>
        <v>0</v>
      </c>
      <c r="P16" s="102">
        <f>SUM(P6:P14)</f>
        <v>0</v>
      </c>
      <c r="Q16" s="104">
        <f>ROUND(SUMPRODUCT(Q6:Q13,K6:K13)/SUMPRODUCT((Q6:Q13&gt;0)*(K6:K13)),2)</f>
        <v>0.14000000000000001</v>
      </c>
      <c r="R16" s="1237">
        <f ca="1">SUM(R6:R13)</f>
        <v>10980.189999999999</v>
      </c>
      <c r="S16" s="105">
        <f>SUM(S6:S13)</f>
        <v>1940.1599999999999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ROUND(B28*K8/10000,0)</f>
        <v>81</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30" t="s">
        <v>2072</v>
      </c>
      <c r="B1" s="3531"/>
      <c r="C1" s="3531"/>
      <c r="D1" s="3531"/>
      <c r="E1" s="3531"/>
      <c r="F1" s="3531"/>
      <c r="G1" s="3531"/>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3437</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3623</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3439</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3438</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3060</v>
      </c>
      <c r="D8" s="2348"/>
      <c r="E8" s="2348"/>
      <c r="F8" s="1116"/>
      <c r="G8" s="1116"/>
      <c r="H8" s="2341"/>
      <c r="I8" s="2341"/>
      <c r="J8" s="2341"/>
      <c r="K8" s="2341"/>
      <c r="L8" s="2341"/>
      <c r="M8" s="2341"/>
      <c r="N8" s="2341"/>
      <c r="O8" s="2341"/>
      <c r="P8" s="2341"/>
      <c r="Q8" s="2341"/>
      <c r="R8" s="2341"/>
    </row>
    <row r="9" spans="1:29" ht="54">
      <c r="A9" s="430"/>
      <c r="B9" s="1775" t="s">
        <v>2090</v>
      </c>
      <c r="C9" s="2959" t="s">
        <v>3440</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3441</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3061</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3062</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39" t="str">
        <f>项目基本情况!B1</f>
        <v>北京市朝阳区广顺北大街16号院1、2、3号楼房地产抵押价值预评估</v>
      </c>
      <c r="C37" s="3439"/>
      <c r="D37" s="3439"/>
      <c r="E37" s="3439"/>
      <c r="F37" s="3439"/>
      <c r="G37" s="3439"/>
      <c r="H37" s="3439"/>
      <c r="I37" s="3439"/>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3" workbookViewId="0">
      <selection activeCell="C28" sqref="C28"/>
    </sheetView>
  </sheetViews>
  <sheetFormatPr defaultColWidth="9" defaultRowHeight="13.5"/>
  <cols>
    <col min="1" max="1" width="23.375" style="1718" customWidth="1"/>
    <col min="2" max="9" width="15.75" style="1718" customWidth="1"/>
    <col min="10" max="16384" width="9" style="1718"/>
  </cols>
  <sheetData>
    <row r="1" spans="1:10" ht="16.5">
      <c r="A1" s="1723" t="s">
        <v>1354</v>
      </c>
      <c r="B1" s="1723">
        <f>'数据-基础表'!B3</f>
        <v>89988.239999999991</v>
      </c>
      <c r="C1" s="1722"/>
      <c r="D1" s="1722"/>
      <c r="E1" s="1722"/>
      <c r="F1" s="1722"/>
      <c r="G1" s="1720"/>
    </row>
    <row r="2" spans="1:10" ht="16.5">
      <c r="A2" s="1723" t="s">
        <v>1342</v>
      </c>
      <c r="B2" s="1723">
        <f>'数据-基础表'!A3</f>
        <v>20660.93</v>
      </c>
      <c r="C2" s="1722"/>
      <c r="D2" s="1722"/>
      <c r="E2" s="1722"/>
      <c r="F2" s="1722"/>
      <c r="G2" s="1720"/>
    </row>
    <row r="3" spans="1:10" ht="16.5">
      <c r="A3" s="1723" t="s">
        <v>1351</v>
      </c>
      <c r="B3" s="1724">
        <f>项目基本情况!D3</f>
        <v>43983</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t="e">
        <f ca="1">D14+D15+D16+D17</f>
        <v>#REF!</v>
      </c>
      <c r="C5" s="1723" t="e">
        <f ca="1">ROUND(B5*10000/$B$1,0)</f>
        <v>#REF!</v>
      </c>
      <c r="D5" s="1723" t="e">
        <f ca="1">ROUND(B5*10000/$B$2,0)</f>
        <v>#REF!</v>
      </c>
      <c r="E5" s="1722"/>
      <c r="F5" s="1720"/>
      <c r="G5" s="1720"/>
    </row>
    <row r="6" spans="1:10" ht="16.5">
      <c r="A6" s="1723" t="s">
        <v>1345</v>
      </c>
      <c r="B6" s="1723" t="e">
        <f ca="1">G14+G15+G16+G17</f>
        <v>#REF!</v>
      </c>
      <c r="C6" s="1723" t="e">
        <f ca="1">ROUND(B6*10000/$B$1,0)</f>
        <v>#REF!</v>
      </c>
      <c r="D6" s="1723" t="e">
        <f ca="1">ROUND(B6*10000/$B$2,0)</f>
        <v>#REF!</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结果表商!B118</f>
        <v>0</v>
      </c>
      <c r="C14" s="1721">
        <f>结果表商!C118</f>
        <v>0</v>
      </c>
      <c r="D14" s="1721" t="e">
        <f ca="1">结果表商!H118</f>
        <v>#REF!</v>
      </c>
      <c r="E14" s="1721" t="e">
        <f ca="1">ROUND(D14*10000/B14,0)</f>
        <v>#REF!</v>
      </c>
      <c r="F14" s="1721" t="e">
        <f ca="1">ROUND(D14*10000/C14,0)</f>
        <v>#REF!</v>
      </c>
      <c r="G14" s="1721" t="e">
        <f ca="1">结果表商!D122</f>
        <v>#REF!</v>
      </c>
      <c r="H14" s="1721" t="str">
        <f>结果表商!D124</f>
        <v>——</v>
      </c>
      <c r="I14" s="1721" t="str">
        <f>结果表商!D126</f>
        <v>——</v>
      </c>
      <c r="J14" s="1720"/>
    </row>
    <row r="15" spans="1:10" ht="16.5">
      <c r="A15" s="1719" t="s">
        <v>1338</v>
      </c>
      <c r="B15" s="1726">
        <f>结果表办!B118</f>
        <v>0</v>
      </c>
      <c r="C15" s="1726">
        <f>结果表办!C118</f>
        <v>0</v>
      </c>
      <c r="D15" s="1726">
        <f ca="1">结果表办!H118</f>
        <v>59696</v>
      </c>
      <c r="E15" s="1721" t="e">
        <f t="shared" ref="E15:E23" ca="1" si="0">ROUND(D15*10000/B15,0)</f>
        <v>#DIV/0!</v>
      </c>
      <c r="F15" s="1721" t="e">
        <f t="shared" ref="F15:F23" ca="1" si="1">ROUND(D15*10000/C15,0)</f>
        <v>#DIV/0!</v>
      </c>
      <c r="G15" s="1727">
        <f ca="1">D15</f>
        <v>59696</v>
      </c>
      <c r="H15" s="1727"/>
      <c r="I15" s="1726"/>
      <c r="J15" s="1720"/>
    </row>
    <row r="16" spans="1:10" ht="16.5">
      <c r="A16" s="1719" t="s">
        <v>1337</v>
      </c>
      <c r="B16" s="1726">
        <f>结果表车!B118</f>
        <v>13156.989999999996</v>
      </c>
      <c r="C16" s="1726">
        <f>结果表车!C118</f>
        <v>3020.79</v>
      </c>
      <c r="D16" s="1726">
        <f ca="1">结果表车!H118</f>
        <v>10760</v>
      </c>
      <c r="E16" s="1721">
        <f t="shared" ca="1" si="0"/>
        <v>8178</v>
      </c>
      <c r="F16" s="1721">
        <f t="shared" ca="1" si="1"/>
        <v>35620</v>
      </c>
      <c r="G16" s="1727">
        <f t="shared" ref="G16:G17" ca="1" si="2">D16</f>
        <v>10760</v>
      </c>
      <c r="H16" s="1727"/>
      <c r="I16" s="1726"/>
    </row>
    <row r="17" spans="1:9" ht="16.5">
      <c r="A17" s="1719" t="s">
        <v>1336</v>
      </c>
      <c r="B17" s="1726">
        <f>结果表酒店!B118</f>
        <v>16569.820000000003</v>
      </c>
      <c r="C17" s="1726">
        <f>结果表酒店!C118</f>
        <v>3804.36</v>
      </c>
      <c r="D17" s="1726">
        <f ca="1">结果表酒店!H118</f>
        <v>54731</v>
      </c>
      <c r="E17" s="1721">
        <f t="shared" ca="1" si="0"/>
        <v>33031</v>
      </c>
      <c r="F17" s="1721">
        <f t="shared" ca="1" si="1"/>
        <v>143864</v>
      </c>
      <c r="G17" s="1727">
        <f t="shared" ca="1" si="2"/>
        <v>54731</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32" t="s">
        <v>3152</v>
      </c>
      <c r="B1" s="3532" t="s">
        <v>3153</v>
      </c>
      <c r="C1" s="3532" t="s">
        <v>3154</v>
      </c>
      <c r="D1" s="3532" t="s">
        <v>3155</v>
      </c>
      <c r="E1" s="3532" t="s">
        <v>3156</v>
      </c>
      <c r="F1" s="3532"/>
      <c r="G1" s="3532" t="s">
        <v>3157</v>
      </c>
      <c r="H1" s="3532"/>
      <c r="I1" s="3532" t="s">
        <v>3158</v>
      </c>
      <c r="J1" s="3532"/>
    </row>
    <row r="2" spans="1:11">
      <c r="A2" s="3532"/>
      <c r="B2" s="3532"/>
      <c r="C2" s="3532"/>
      <c r="D2" s="3532"/>
      <c r="E2" s="2981" t="s">
        <v>3159</v>
      </c>
      <c r="F2" s="2981" t="s">
        <v>3160</v>
      </c>
      <c r="G2" s="2981" t="s">
        <v>3161</v>
      </c>
      <c r="H2" s="2981" t="s">
        <v>3160</v>
      </c>
      <c r="I2" s="2981" t="s">
        <v>3161</v>
      </c>
      <c r="J2" s="2981" t="s">
        <v>3160</v>
      </c>
    </row>
    <row r="3" spans="1:11" ht="12.75">
      <c r="A3" s="2957" t="s">
        <v>3102</v>
      </c>
      <c r="B3" s="2957" t="s">
        <v>3162</v>
      </c>
      <c r="C3" s="2982">
        <v>60</v>
      </c>
      <c r="D3" s="2957">
        <v>5.69</v>
      </c>
      <c r="E3" s="2983" t="e">
        <f ca="1">I3-G3</f>
        <v>#DIV/0!</v>
      </c>
      <c r="F3" s="2983" t="e">
        <f ca="1">J3-H3</f>
        <v>#DIV/0!</v>
      </c>
      <c r="G3" s="2983" t="e">
        <f ca="1">ROUND(I3*$K$3,0)</f>
        <v>#DIV/0!</v>
      </c>
      <c r="H3" s="2983" t="e">
        <f ca="1">ROUND(G3/C3*10000,0)</f>
        <v>#DIV/0!</v>
      </c>
      <c r="I3" s="2983" t="e">
        <f>典型户型修正!S24</f>
        <v>#DIV/0!</v>
      </c>
      <c r="J3" s="2983" t="e">
        <f>典型户型修正!R24</f>
        <v>#DIV/0!</v>
      </c>
      <c r="K3" s="2980" t="e">
        <f ca="1">收益法商租!C13/收益法商租!C40</f>
        <v>#DIV/0!</v>
      </c>
    </row>
    <row r="4" spans="1:11" ht="12.75">
      <c r="A4" s="2957" t="s">
        <v>3163</v>
      </c>
      <c r="B4" s="2957" t="s">
        <v>3162</v>
      </c>
      <c r="C4" s="2982">
        <v>238.29</v>
      </c>
      <c r="D4" s="2957">
        <v>22.6</v>
      </c>
      <c r="E4" s="2983" t="e">
        <f t="shared" ref="E4:F55" ca="1" si="0">I4-G4</f>
        <v>#DIV/0!</v>
      </c>
      <c r="F4" s="2983" t="e">
        <f t="shared" ca="1" si="0"/>
        <v>#DIV/0!</v>
      </c>
      <c r="G4" s="2983" t="e">
        <f t="shared" ref="G4:G14" ca="1" si="1">ROUND(I4*$K$3,0)</f>
        <v>#DIV/0!</v>
      </c>
      <c r="H4" s="2983" t="e">
        <f t="shared" ref="H4:H13" ca="1" si="2">ROUND(G4/C4*10000,0)</f>
        <v>#DIV/0!</v>
      </c>
      <c r="I4" s="2983" t="e">
        <f>典型户型修正!S25</f>
        <v>#DIV/0!</v>
      </c>
      <c r="J4" s="2983" t="e">
        <f>典型户型修正!R25</f>
        <v>#DIV/0!</v>
      </c>
    </row>
    <row r="5" spans="1:11" ht="12.75">
      <c r="A5" s="2957" t="s">
        <v>3103</v>
      </c>
      <c r="B5" s="2957" t="s">
        <v>3162</v>
      </c>
      <c r="C5" s="2982">
        <v>57.27</v>
      </c>
      <c r="D5" s="2957">
        <v>5.43</v>
      </c>
      <c r="E5" s="2983" t="e">
        <f t="shared" ca="1" si="0"/>
        <v>#DIV/0!</v>
      </c>
      <c r="F5" s="2983" t="e">
        <f t="shared" ca="1" si="0"/>
        <v>#DIV/0!</v>
      </c>
      <c r="G5" s="2983" t="e">
        <f t="shared" ca="1" si="1"/>
        <v>#DIV/0!</v>
      </c>
      <c r="H5" s="2983" t="e">
        <f t="shared" ca="1" si="2"/>
        <v>#DIV/0!</v>
      </c>
      <c r="I5" s="2983" t="e">
        <f>典型户型修正!S26</f>
        <v>#DIV/0!</v>
      </c>
      <c r="J5" s="2983" t="e">
        <f>典型户型修正!R26</f>
        <v>#DIV/0!</v>
      </c>
    </row>
    <row r="6" spans="1:11" ht="12.75">
      <c r="A6" s="2957" t="s">
        <v>3104</v>
      </c>
      <c r="B6" s="2957" t="s">
        <v>3162</v>
      </c>
      <c r="C6" s="2982">
        <v>114.92</v>
      </c>
      <c r="D6" s="2957">
        <v>10.91</v>
      </c>
      <c r="E6" s="2983" t="e">
        <f t="shared" ca="1" si="0"/>
        <v>#DIV/0!</v>
      </c>
      <c r="F6" s="2983" t="e">
        <f t="shared" ca="1" si="0"/>
        <v>#DIV/0!</v>
      </c>
      <c r="G6" s="2983" t="e">
        <f t="shared" ca="1" si="1"/>
        <v>#DIV/0!</v>
      </c>
      <c r="H6" s="2983" t="e">
        <f t="shared" ca="1" si="2"/>
        <v>#DIV/0!</v>
      </c>
      <c r="I6" s="2983" t="e">
        <f>典型户型修正!S27</f>
        <v>#DIV/0!</v>
      </c>
      <c r="J6" s="2983" t="e">
        <f>典型户型修正!R27</f>
        <v>#DIV/0!</v>
      </c>
    </row>
    <row r="7" spans="1:11" ht="12.75">
      <c r="A7" s="2957" t="s">
        <v>3105</v>
      </c>
      <c r="B7" s="2957" t="s">
        <v>3162</v>
      </c>
      <c r="C7" s="2982">
        <v>74.16</v>
      </c>
      <c r="D7" s="2957">
        <v>7.03</v>
      </c>
      <c r="E7" s="2983" t="e">
        <f t="shared" ca="1" si="0"/>
        <v>#DIV/0!</v>
      </c>
      <c r="F7" s="2983" t="e">
        <f t="shared" ca="1" si="0"/>
        <v>#DIV/0!</v>
      </c>
      <c r="G7" s="2983" t="e">
        <f t="shared" ca="1" si="1"/>
        <v>#DIV/0!</v>
      </c>
      <c r="H7" s="2983" t="e">
        <f t="shared" ca="1" si="2"/>
        <v>#DIV/0!</v>
      </c>
      <c r="I7" s="2983" t="e">
        <f>典型户型修正!S28</f>
        <v>#DIV/0!</v>
      </c>
      <c r="J7" s="2983" t="e">
        <f>典型户型修正!R28</f>
        <v>#DIV/0!</v>
      </c>
    </row>
    <row r="8" spans="1:11" ht="12.75">
      <c r="A8" s="2957" t="s">
        <v>3106</v>
      </c>
      <c r="B8" s="2957" t="s">
        <v>3162</v>
      </c>
      <c r="C8" s="2982">
        <v>142.44999999999999</v>
      </c>
      <c r="D8" s="2957">
        <v>13.52</v>
      </c>
      <c r="E8" s="2983" t="e">
        <f t="shared" ca="1" si="0"/>
        <v>#DIV/0!</v>
      </c>
      <c r="F8" s="2983" t="e">
        <f t="shared" ca="1" si="0"/>
        <v>#DIV/0!</v>
      </c>
      <c r="G8" s="2983" t="e">
        <f t="shared" ca="1" si="1"/>
        <v>#DIV/0!</v>
      </c>
      <c r="H8" s="2983" t="e">
        <f t="shared" ca="1" si="2"/>
        <v>#DIV/0!</v>
      </c>
      <c r="I8" s="2983" t="e">
        <f>典型户型修正!S29</f>
        <v>#DIV/0!</v>
      </c>
      <c r="J8" s="2983" t="e">
        <f>典型户型修正!R29</f>
        <v>#DIV/0!</v>
      </c>
    </row>
    <row r="9" spans="1:11" ht="12.75">
      <c r="A9" s="2957" t="s">
        <v>3107</v>
      </c>
      <c r="B9" s="2957" t="s">
        <v>3162</v>
      </c>
      <c r="C9" s="2982">
        <v>238.29</v>
      </c>
      <c r="D9" s="2957">
        <v>22.6</v>
      </c>
      <c r="E9" s="2983" t="e">
        <f t="shared" ca="1" si="0"/>
        <v>#DIV/0!</v>
      </c>
      <c r="F9" s="2983" t="e">
        <f t="shared" ca="1" si="0"/>
        <v>#DIV/0!</v>
      </c>
      <c r="G9" s="2983" t="e">
        <f t="shared" ca="1" si="1"/>
        <v>#DIV/0!</v>
      </c>
      <c r="H9" s="2983" t="e">
        <f t="shared" ca="1" si="2"/>
        <v>#DIV/0!</v>
      </c>
      <c r="I9" s="2983" t="e">
        <f>典型户型修正!S30</f>
        <v>#DIV/0!</v>
      </c>
      <c r="J9" s="2983" t="e">
        <f>典型户型修正!R30</f>
        <v>#DIV/0!</v>
      </c>
    </row>
    <row r="10" spans="1:11" ht="12.75">
      <c r="A10" s="2957" t="s">
        <v>3108</v>
      </c>
      <c r="B10" s="2957" t="s">
        <v>3162</v>
      </c>
      <c r="C10" s="2982">
        <v>149.43</v>
      </c>
      <c r="D10" s="2957">
        <v>14.18</v>
      </c>
      <c r="E10" s="2983" t="e">
        <f t="shared" ca="1" si="0"/>
        <v>#DIV/0!</v>
      </c>
      <c r="F10" s="2983" t="e">
        <f t="shared" ca="1" si="0"/>
        <v>#DIV/0!</v>
      </c>
      <c r="G10" s="2983" t="e">
        <f t="shared" ca="1" si="1"/>
        <v>#DIV/0!</v>
      </c>
      <c r="H10" s="2983" t="e">
        <f t="shared" ca="1" si="2"/>
        <v>#DIV/0!</v>
      </c>
      <c r="I10" s="2983" t="e">
        <f>典型户型修正!S31</f>
        <v>#DIV/0!</v>
      </c>
      <c r="J10" s="2983" t="e">
        <f>典型户型修正!R31</f>
        <v>#DIV/0!</v>
      </c>
    </row>
    <row r="11" spans="1:11" ht="12.75">
      <c r="A11" s="2957" t="s">
        <v>3109</v>
      </c>
      <c r="B11" s="2957" t="s">
        <v>3162</v>
      </c>
      <c r="C11" s="2982">
        <v>84.25</v>
      </c>
      <c r="D11" s="2957">
        <v>7.99</v>
      </c>
      <c r="E11" s="2983" t="e">
        <f t="shared" ca="1" si="0"/>
        <v>#DIV/0!</v>
      </c>
      <c r="F11" s="2983" t="e">
        <f t="shared" ca="1" si="0"/>
        <v>#DIV/0!</v>
      </c>
      <c r="G11" s="2983" t="e">
        <f t="shared" ca="1" si="1"/>
        <v>#DIV/0!</v>
      </c>
      <c r="H11" s="2983" t="e">
        <f t="shared" ca="1" si="2"/>
        <v>#DIV/0!</v>
      </c>
      <c r="I11" s="2983" t="e">
        <f>典型户型修正!S32</f>
        <v>#DIV/0!</v>
      </c>
      <c r="J11" s="2983" t="e">
        <f>典型户型修正!R32</f>
        <v>#DIV/0!</v>
      </c>
    </row>
    <row r="12" spans="1:11" ht="12.75">
      <c r="A12" s="2957" t="s">
        <v>3110</v>
      </c>
      <c r="B12" s="2957" t="s">
        <v>3162</v>
      </c>
      <c r="C12" s="2982">
        <v>2160.11</v>
      </c>
      <c r="D12" s="2957">
        <v>204.91</v>
      </c>
      <c r="E12" s="2983" t="e">
        <f t="shared" ca="1" si="0"/>
        <v>#DIV/0!</v>
      </c>
      <c r="F12" s="2983" t="e">
        <f t="shared" ca="1" si="0"/>
        <v>#DIV/0!</v>
      </c>
      <c r="G12" s="2983" t="e">
        <f t="shared" ca="1" si="1"/>
        <v>#DIV/0!</v>
      </c>
      <c r="H12" s="2983" t="e">
        <f t="shared" ca="1" si="2"/>
        <v>#DIV/0!</v>
      </c>
      <c r="I12" s="2983" t="e">
        <f>典型户型修正!S33</f>
        <v>#DIV/0!</v>
      </c>
      <c r="J12" s="2983" t="e">
        <f>典型户型修正!R33</f>
        <v>#DIV/0!</v>
      </c>
    </row>
    <row r="13" spans="1:11" ht="12.75">
      <c r="A13" s="2957" t="s">
        <v>3111</v>
      </c>
      <c r="B13" s="2957" t="s">
        <v>3162</v>
      </c>
      <c r="C13" s="2982">
        <v>771.83</v>
      </c>
      <c r="D13" s="2957">
        <v>73.209999999999994</v>
      </c>
      <c r="E13" s="2983" t="e">
        <f t="shared" ca="1" si="0"/>
        <v>#DIV/0!</v>
      </c>
      <c r="F13" s="2983" t="e">
        <f t="shared" ca="1" si="0"/>
        <v>#DIV/0!</v>
      </c>
      <c r="G13" s="2983" t="e">
        <f t="shared" ca="1" si="1"/>
        <v>#DIV/0!</v>
      </c>
      <c r="H13" s="2983" t="e">
        <f t="shared" ca="1" si="2"/>
        <v>#DIV/0!</v>
      </c>
      <c r="I13" s="2983">
        <f>典型户型修正!S34</f>
        <v>0</v>
      </c>
      <c r="J13" s="2983">
        <f>典型户型修正!R34</f>
        <v>0</v>
      </c>
    </row>
    <row r="14" spans="1:11" ht="12.75">
      <c r="A14" s="2957" t="s">
        <v>3112</v>
      </c>
      <c r="B14" s="2957" t="s">
        <v>3162</v>
      </c>
      <c r="C14" s="2982">
        <v>419.37</v>
      </c>
      <c r="D14" s="2957">
        <v>39.78</v>
      </c>
      <c r="E14" s="2983" t="e">
        <f t="shared" ca="1" si="0"/>
        <v>#DIV/0!</v>
      </c>
      <c r="F14" s="2983" t="e">
        <f t="shared" ca="1" si="0"/>
        <v>#DIV/0!</v>
      </c>
      <c r="G14" s="2983" t="e">
        <f t="shared" ca="1" si="1"/>
        <v>#DIV/0!</v>
      </c>
      <c r="H14" s="2983" t="e">
        <f ca="1">ROUND(G14/C14*10000,0)</f>
        <v>#DIV/0!</v>
      </c>
      <c r="I14" s="2983">
        <f>典型户型修正!S35</f>
        <v>0</v>
      </c>
      <c r="J14" s="2983">
        <f>典型户型修正!R35</f>
        <v>0</v>
      </c>
    </row>
    <row r="15" spans="1:11" s="2986" customFormat="1" ht="12.75">
      <c r="A15" s="3535" t="s">
        <v>3164</v>
      </c>
      <c r="B15" s="3536"/>
      <c r="C15" s="2984">
        <f>SUM(C3:C14)</f>
        <v>4510.37</v>
      </c>
      <c r="D15" s="2984">
        <f t="shared" ref="D15" si="3">SUM(D3:D14)</f>
        <v>427.85</v>
      </c>
      <c r="E15" s="2985" t="e">
        <f ca="1">SUM(E3:E14)</f>
        <v>#DIV/0!</v>
      </c>
      <c r="F15" s="2985" t="e">
        <f ca="1">J15-H15</f>
        <v>#DIV/0!</v>
      </c>
      <c r="G15" s="2985" t="e">
        <f ca="1">SUM(G3:G14)</f>
        <v>#DIV/0!</v>
      </c>
      <c r="H15" s="2985" t="e">
        <f ca="1">ROUND(G15/C15*10000,0)</f>
        <v>#DIV/0!</v>
      </c>
      <c r="I15" s="2985" t="e">
        <f>SUM(I3:I14)</f>
        <v>#DIV/0!</v>
      </c>
      <c r="J15" s="2985" t="e">
        <f>ROUND(I15/C15*10000,0)</f>
        <v>#DIV/0!</v>
      </c>
      <c r="K15" s="2986" t="e">
        <f ca="1">G15+E15</f>
        <v>#DIV/0!</v>
      </c>
    </row>
    <row r="16" spans="1:11" ht="12.75">
      <c r="A16" s="2957" t="str">
        <f>面积表!G14</f>
        <v>-1</v>
      </c>
      <c r="B16" s="2957" t="s">
        <v>3165</v>
      </c>
      <c r="C16" s="2982">
        <f>面积表!I14</f>
        <v>701.01</v>
      </c>
      <c r="D16" s="2957" t="str">
        <f>面积表!H14</f>
        <v>地下车库</v>
      </c>
      <c r="E16" s="2983">
        <f t="shared" ca="1" si="0"/>
        <v>522</v>
      </c>
      <c r="F16" s="2983">
        <f t="shared" ca="1" si="0"/>
        <v>36809</v>
      </c>
      <c r="G16" s="2983">
        <f ca="1">ROUND(I16*$K$16,0)</f>
        <v>90</v>
      </c>
      <c r="H16" s="2983">
        <f ca="1">ROUND(G16/C16*10000,0)</f>
        <v>1284</v>
      </c>
      <c r="I16" s="2983">
        <f>典型户型修正办!S24</f>
        <v>612</v>
      </c>
      <c r="J16" s="2983">
        <f>典型户型修正办!R24</f>
        <v>38093</v>
      </c>
      <c r="K16" s="2980">
        <f ca="1">收益法办自!C13/收益法办自!C40</f>
        <v>0.14738646101113967</v>
      </c>
    </row>
    <row r="17" spans="1:10" ht="12.75">
      <c r="A17" s="2975" t="str">
        <f>面积表!G15</f>
        <v>1</v>
      </c>
      <c r="B17" s="2975" t="s">
        <v>3165</v>
      </c>
      <c r="C17" s="2982">
        <f>面积表!I15</f>
        <v>31.96</v>
      </c>
      <c r="D17" s="2975" t="str">
        <f>面积表!H15</f>
        <v>商业综合</v>
      </c>
      <c r="E17" s="2983">
        <f t="shared" ca="1" si="0"/>
        <v>494</v>
      </c>
      <c r="F17" s="2983">
        <f t="shared" ca="1" si="0"/>
        <v>11497</v>
      </c>
      <c r="G17" s="2983">
        <f t="shared" ref="G17:G52" ca="1" si="4">ROUND(I17*$K$16,0)</f>
        <v>85</v>
      </c>
      <c r="H17" s="2983">
        <f t="shared" ref="H17:H52" ca="1" si="5">ROUND(G17/C17*10000,0)</f>
        <v>26596</v>
      </c>
      <c r="I17" s="2983">
        <f>典型户型修正办!S25</f>
        <v>579</v>
      </c>
      <c r="J17" s="2983">
        <f>典型户型修正办!R25</f>
        <v>38093</v>
      </c>
    </row>
    <row r="18" spans="1:10" ht="12.75">
      <c r="A18" s="2975" t="str">
        <f>面积表!G16</f>
        <v>5</v>
      </c>
      <c r="B18" s="2975" t="s">
        <v>3165</v>
      </c>
      <c r="C18" s="2982">
        <f>面积表!I16</f>
        <v>160.65</v>
      </c>
      <c r="D18" s="2975" t="str">
        <f>面积表!H16</f>
        <v>商业综合</v>
      </c>
      <c r="E18" s="2983">
        <f t="shared" ca="1" si="0"/>
        <v>494</v>
      </c>
      <c r="F18" s="2983">
        <f t="shared" ca="1" si="0"/>
        <v>32802</v>
      </c>
      <c r="G18" s="2983">
        <f t="shared" ca="1" si="4"/>
        <v>85</v>
      </c>
      <c r="H18" s="2983">
        <f t="shared" ca="1" si="5"/>
        <v>5291</v>
      </c>
      <c r="I18" s="2983">
        <f>典型户型修正办!S26</f>
        <v>579</v>
      </c>
      <c r="J18" s="2983">
        <f>典型户型修正办!R26</f>
        <v>38093</v>
      </c>
    </row>
    <row r="19" spans="1:10" ht="12.75">
      <c r="A19" s="2975" t="str">
        <f>面积表!G17</f>
        <v>5</v>
      </c>
      <c r="B19" s="2975" t="s">
        <v>3165</v>
      </c>
      <c r="C19" s="2982">
        <f>面积表!I17</f>
        <v>152</v>
      </c>
      <c r="D19" s="2975" t="str">
        <f>面积表!H17</f>
        <v>商业综合</v>
      </c>
      <c r="E19" s="2983">
        <f t="shared" ca="1" si="0"/>
        <v>494</v>
      </c>
      <c r="F19" s="2983">
        <f t="shared" ca="1" si="0"/>
        <v>32501</v>
      </c>
      <c r="G19" s="2983">
        <f t="shared" ca="1" si="4"/>
        <v>85</v>
      </c>
      <c r="H19" s="2983">
        <f t="shared" ca="1" si="5"/>
        <v>5592</v>
      </c>
      <c r="I19" s="2983">
        <f>典型户型修正办!S27</f>
        <v>579</v>
      </c>
      <c r="J19" s="2983">
        <f>典型户型修正办!R27</f>
        <v>38093</v>
      </c>
    </row>
    <row r="20" spans="1:10" ht="12.75">
      <c r="A20" s="2975" t="str">
        <f>面积表!G18</f>
        <v>5</v>
      </c>
      <c r="B20" s="2975" t="s">
        <v>3165</v>
      </c>
      <c r="C20" s="2982">
        <f>面积表!I18</f>
        <v>152</v>
      </c>
      <c r="D20" s="2975" t="str">
        <f>面积表!H18</f>
        <v>商业综合</v>
      </c>
      <c r="E20" s="2983">
        <f t="shared" ca="1" si="0"/>
        <v>494</v>
      </c>
      <c r="F20" s="2983">
        <f t="shared" ca="1" si="0"/>
        <v>32501</v>
      </c>
      <c r="G20" s="2983">
        <f t="shared" ca="1" si="4"/>
        <v>85</v>
      </c>
      <c r="H20" s="2983">
        <f t="shared" ca="1" si="5"/>
        <v>5592</v>
      </c>
      <c r="I20" s="2983">
        <f>典型户型修正办!S28</f>
        <v>579</v>
      </c>
      <c r="J20" s="2983">
        <f>典型户型修正办!R28</f>
        <v>38093</v>
      </c>
    </row>
    <row r="21" spans="1:10" ht="12.75">
      <c r="A21" s="2975" t="str">
        <f>面积表!G19</f>
        <v>5</v>
      </c>
      <c r="B21" s="2975" t="s">
        <v>3165</v>
      </c>
      <c r="C21" s="2982">
        <f>面积表!I19</f>
        <v>152</v>
      </c>
      <c r="D21" s="2975" t="str">
        <f>面积表!H19</f>
        <v>商业综合</v>
      </c>
      <c r="E21" s="2983">
        <f t="shared" ca="1" si="0"/>
        <v>677</v>
      </c>
      <c r="F21" s="2983">
        <f t="shared" ca="1" si="0"/>
        <v>30396</v>
      </c>
      <c r="G21" s="2983">
        <f t="shared" ca="1" si="4"/>
        <v>117</v>
      </c>
      <c r="H21" s="2983">
        <f t="shared" ca="1" si="5"/>
        <v>7697</v>
      </c>
      <c r="I21" s="2983">
        <f>典型户型修正办!S29</f>
        <v>794</v>
      </c>
      <c r="J21" s="2983">
        <f>典型户型修正办!R29</f>
        <v>38093</v>
      </c>
    </row>
    <row r="22" spans="1:10" ht="12.75">
      <c r="A22" s="2975" t="str">
        <f>面积表!G20</f>
        <v>5</v>
      </c>
      <c r="B22" s="2975" t="s">
        <v>3165</v>
      </c>
      <c r="C22" s="2982">
        <f>面积表!I20</f>
        <v>152</v>
      </c>
      <c r="D22" s="2975" t="str">
        <f>面积表!H20</f>
        <v>商业综合</v>
      </c>
      <c r="E22" s="2983">
        <f t="shared" ca="1" si="0"/>
        <v>724</v>
      </c>
      <c r="F22" s="2983">
        <f t="shared" ca="1" si="0"/>
        <v>29869</v>
      </c>
      <c r="G22" s="2983">
        <f t="shared" ca="1" si="4"/>
        <v>125</v>
      </c>
      <c r="H22" s="2983">
        <f t="shared" ca="1" si="5"/>
        <v>8224</v>
      </c>
      <c r="I22" s="2983">
        <f>典型户型修正办!S30</f>
        <v>849</v>
      </c>
      <c r="J22" s="2983">
        <f>典型户型修正办!R30</f>
        <v>38093</v>
      </c>
    </row>
    <row r="23" spans="1:10" ht="12.75">
      <c r="A23" s="2975" t="str">
        <f>面积表!G21</f>
        <v>5</v>
      </c>
      <c r="B23" s="2975" t="s">
        <v>3165</v>
      </c>
      <c r="C23" s="2982">
        <f>面积表!I21</f>
        <v>208.31</v>
      </c>
      <c r="D23" s="2975" t="str">
        <f>面积表!H21</f>
        <v>商业综合</v>
      </c>
      <c r="E23" s="2983">
        <f t="shared" ca="1" si="0"/>
        <v>494</v>
      </c>
      <c r="F23" s="2983">
        <f t="shared" ca="1" si="0"/>
        <v>34013</v>
      </c>
      <c r="G23" s="2983">
        <f t="shared" ca="1" si="4"/>
        <v>85</v>
      </c>
      <c r="H23" s="2983">
        <f t="shared" ca="1" si="5"/>
        <v>4080</v>
      </c>
      <c r="I23" s="2983">
        <f>典型户型修正办!S31</f>
        <v>579</v>
      </c>
      <c r="J23" s="2983">
        <f>典型户型修正办!R31</f>
        <v>38093</v>
      </c>
    </row>
    <row r="24" spans="1:10" ht="12.75">
      <c r="A24" s="2975" t="str">
        <f>面积表!G22</f>
        <v>5</v>
      </c>
      <c r="B24" s="2975" t="s">
        <v>3165</v>
      </c>
      <c r="C24" s="2982">
        <f>面积表!I22</f>
        <v>222.93</v>
      </c>
      <c r="D24" s="2975" t="str">
        <f>面积表!H22</f>
        <v>商业综合</v>
      </c>
      <c r="E24" s="2983">
        <f t="shared" ca="1" si="0"/>
        <v>379</v>
      </c>
      <c r="F24" s="2983">
        <f t="shared" ca="1" si="0"/>
        <v>35132</v>
      </c>
      <c r="G24" s="2983">
        <f t="shared" ca="1" si="4"/>
        <v>66</v>
      </c>
      <c r="H24" s="2983">
        <f t="shared" ca="1" si="5"/>
        <v>2961</v>
      </c>
      <c r="I24" s="2983">
        <f>典型户型修正办!S32</f>
        <v>445</v>
      </c>
      <c r="J24" s="2983">
        <f>典型户型修正办!R32</f>
        <v>38093</v>
      </c>
    </row>
    <row r="25" spans="1:10" ht="12.75">
      <c r="A25" s="2975" t="str">
        <f>面积表!G23</f>
        <v>5</v>
      </c>
      <c r="B25" s="2975" t="s">
        <v>3165</v>
      </c>
      <c r="C25" s="2982">
        <f>面积表!I23</f>
        <v>152.03</v>
      </c>
      <c r="D25" s="2975" t="str">
        <f>面积表!H23</f>
        <v>商业综合</v>
      </c>
      <c r="E25" s="2983">
        <f t="shared" ca="1" si="0"/>
        <v>542</v>
      </c>
      <c r="F25" s="2983">
        <f t="shared" ca="1" si="0"/>
        <v>33434</v>
      </c>
      <c r="G25" s="2983">
        <f t="shared" ca="1" si="4"/>
        <v>94</v>
      </c>
      <c r="H25" s="2983">
        <f t="shared" ca="1" si="5"/>
        <v>6183</v>
      </c>
      <c r="I25" s="2983">
        <f>典型户型修正办!S33</f>
        <v>636</v>
      </c>
      <c r="J25" s="2983">
        <f>典型户型修正办!R33</f>
        <v>39617</v>
      </c>
    </row>
    <row r="26" spans="1:10" ht="12.75">
      <c r="A26" s="2975" t="str">
        <f>面积表!G24</f>
        <v>5</v>
      </c>
      <c r="B26" s="2975" t="s">
        <v>3165</v>
      </c>
      <c r="C26" s="2982">
        <f>面积表!I24</f>
        <v>116.9</v>
      </c>
      <c r="D26" s="2975" t="str">
        <f>面积表!H24</f>
        <v>商业综合</v>
      </c>
      <c r="E26" s="2983">
        <f t="shared" ca="1" si="0"/>
        <v>513</v>
      </c>
      <c r="F26" s="2983">
        <f t="shared" ca="1" si="0"/>
        <v>32004</v>
      </c>
      <c r="G26" s="2983">
        <f t="shared" ca="1" si="4"/>
        <v>89</v>
      </c>
      <c r="H26" s="2983">
        <f t="shared" ca="1" si="5"/>
        <v>7613</v>
      </c>
      <c r="I26" s="2983">
        <f>典型户型修正办!S34</f>
        <v>602</v>
      </c>
      <c r="J26" s="2983">
        <f>典型户型修正办!R34</f>
        <v>39617</v>
      </c>
    </row>
    <row r="27" spans="1:10" ht="12.75">
      <c r="A27" s="2975" t="str">
        <f>面积表!G25</f>
        <v>6</v>
      </c>
      <c r="B27" s="2975" t="s">
        <v>3165</v>
      </c>
      <c r="C27" s="2982">
        <f>面积表!I25</f>
        <v>160.65</v>
      </c>
      <c r="D27" s="2975" t="str">
        <f>面积表!H25</f>
        <v>商业综合</v>
      </c>
      <c r="E27" s="2983">
        <f t="shared" ca="1" si="0"/>
        <v>513</v>
      </c>
      <c r="F27" s="2983">
        <f t="shared" ca="1" si="0"/>
        <v>34077</v>
      </c>
      <c r="G27" s="2983">
        <f t="shared" ca="1" si="4"/>
        <v>89</v>
      </c>
      <c r="H27" s="2983">
        <f t="shared" ca="1" si="5"/>
        <v>5540</v>
      </c>
      <c r="I27" s="2983">
        <f>典型户型修正办!S35</f>
        <v>602</v>
      </c>
      <c r="J27" s="2983">
        <f>典型户型修正办!R35</f>
        <v>39617</v>
      </c>
    </row>
    <row r="28" spans="1:10" ht="12.75">
      <c r="A28" s="2975" t="str">
        <f>面积表!G26</f>
        <v>6</v>
      </c>
      <c r="B28" s="2975" t="s">
        <v>3165</v>
      </c>
      <c r="C28" s="2982">
        <f>面积表!I26</f>
        <v>152</v>
      </c>
      <c r="D28" s="2975" t="str">
        <f>面积表!H26</f>
        <v>商业综合</v>
      </c>
      <c r="E28" s="2983">
        <f t="shared" ca="1" si="0"/>
        <v>513</v>
      </c>
      <c r="F28" s="2983">
        <f t="shared" ca="1" si="0"/>
        <v>33762</v>
      </c>
      <c r="G28" s="2983">
        <f t="shared" ca="1" si="4"/>
        <v>89</v>
      </c>
      <c r="H28" s="2983">
        <f t="shared" ca="1" si="5"/>
        <v>5855</v>
      </c>
      <c r="I28" s="2983">
        <f>典型户型修正办!S36</f>
        <v>602</v>
      </c>
      <c r="J28" s="2983">
        <f>典型户型修正办!R36</f>
        <v>39617</v>
      </c>
    </row>
    <row r="29" spans="1:10" ht="12.75">
      <c r="A29" s="2975" t="str">
        <f>面积表!G27</f>
        <v>6</v>
      </c>
      <c r="B29" s="2975" t="s">
        <v>3165</v>
      </c>
      <c r="C29" s="2982">
        <f>面积表!I27</f>
        <v>152</v>
      </c>
      <c r="D29" s="2975" t="str">
        <f>面积表!H27</f>
        <v>商业综合</v>
      </c>
      <c r="E29" s="2983">
        <f t="shared" ca="1" si="0"/>
        <v>513</v>
      </c>
      <c r="F29" s="2983">
        <f t="shared" ca="1" si="0"/>
        <v>33762</v>
      </c>
      <c r="G29" s="2983">
        <f t="shared" ca="1" si="4"/>
        <v>89</v>
      </c>
      <c r="H29" s="2983">
        <f t="shared" ca="1" si="5"/>
        <v>5855</v>
      </c>
      <c r="I29" s="2983">
        <f>典型户型修正办!S37</f>
        <v>602</v>
      </c>
      <c r="J29" s="2983">
        <f>典型户型修正办!R37</f>
        <v>39617</v>
      </c>
    </row>
    <row r="30" spans="1:10" ht="12.75">
      <c r="A30" s="2975" t="str">
        <f>面积表!G28</f>
        <v>6</v>
      </c>
      <c r="B30" s="2975" t="s">
        <v>3165</v>
      </c>
      <c r="C30" s="2982">
        <f>面积表!I28</f>
        <v>152</v>
      </c>
      <c r="D30" s="2975" t="str">
        <f>面积表!H28</f>
        <v>商业综合</v>
      </c>
      <c r="E30" s="2983">
        <f t="shared" ca="1" si="0"/>
        <v>703</v>
      </c>
      <c r="F30" s="2983">
        <f t="shared" ca="1" si="0"/>
        <v>31591</v>
      </c>
      <c r="G30" s="2983">
        <f t="shared" ca="1" si="4"/>
        <v>122</v>
      </c>
      <c r="H30" s="2983">
        <f t="shared" ca="1" si="5"/>
        <v>8026</v>
      </c>
      <c r="I30" s="2983">
        <f>典型户型修正办!S38</f>
        <v>825</v>
      </c>
      <c r="J30" s="2983">
        <f>典型户型修正办!R38</f>
        <v>39617</v>
      </c>
    </row>
    <row r="31" spans="1:10" ht="12.75">
      <c r="A31" s="2975" t="str">
        <f>面积表!G29</f>
        <v>6</v>
      </c>
      <c r="B31" s="2975" t="s">
        <v>3165</v>
      </c>
      <c r="C31" s="2982">
        <f>面积表!I29</f>
        <v>152</v>
      </c>
      <c r="D31" s="2975" t="str">
        <f>面积表!H29</f>
        <v>商业综合</v>
      </c>
      <c r="E31" s="2983">
        <f t="shared" ca="1" si="0"/>
        <v>753</v>
      </c>
      <c r="F31" s="2983">
        <f t="shared" ca="1" si="0"/>
        <v>31064</v>
      </c>
      <c r="G31" s="2983">
        <f t="shared" ca="1" si="4"/>
        <v>130</v>
      </c>
      <c r="H31" s="2983">
        <f t="shared" ca="1" si="5"/>
        <v>8553</v>
      </c>
      <c r="I31" s="2983">
        <f>典型户型修正办!S39</f>
        <v>883</v>
      </c>
      <c r="J31" s="2983">
        <f>典型户型修正办!R39</f>
        <v>39617</v>
      </c>
    </row>
    <row r="32" spans="1:10" ht="12.75">
      <c r="A32" s="2975" t="str">
        <f>面积表!G30</f>
        <v>6</v>
      </c>
      <c r="B32" s="2975" t="s">
        <v>3165</v>
      </c>
      <c r="C32" s="2982">
        <f>面积表!I30</f>
        <v>208.31</v>
      </c>
      <c r="D32" s="2975" t="str">
        <f>面积表!H30</f>
        <v>商业综合</v>
      </c>
      <c r="E32" s="2983">
        <f t="shared" ca="1" si="0"/>
        <v>513</v>
      </c>
      <c r="F32" s="2983">
        <f t="shared" ca="1" si="0"/>
        <v>35345</v>
      </c>
      <c r="G32" s="2983">
        <f t="shared" ca="1" si="4"/>
        <v>89</v>
      </c>
      <c r="H32" s="2983">
        <f t="shared" ca="1" si="5"/>
        <v>4272</v>
      </c>
      <c r="I32" s="2983">
        <f>典型户型修正办!S40</f>
        <v>602</v>
      </c>
      <c r="J32" s="2983">
        <f>典型户型修正办!R40</f>
        <v>39617</v>
      </c>
    </row>
    <row r="33" spans="1:10" ht="12.75">
      <c r="A33" s="2975" t="str">
        <f>面积表!G31</f>
        <v>6</v>
      </c>
      <c r="B33" s="2975" t="s">
        <v>3165</v>
      </c>
      <c r="C33" s="2982">
        <f>面积表!I31</f>
        <v>222.93</v>
      </c>
      <c r="D33" s="2975" t="str">
        <f>面积表!H31</f>
        <v>商业综合</v>
      </c>
      <c r="E33" s="2983">
        <f t="shared" ca="1" si="0"/>
        <v>395</v>
      </c>
      <c r="F33" s="2983">
        <f t="shared" ca="1" si="0"/>
        <v>36567</v>
      </c>
      <c r="G33" s="2983">
        <f t="shared" ca="1" si="4"/>
        <v>68</v>
      </c>
      <c r="H33" s="2983">
        <f t="shared" ca="1" si="5"/>
        <v>3050</v>
      </c>
      <c r="I33" s="2983">
        <f>典型户型修正办!S41</f>
        <v>463</v>
      </c>
      <c r="J33" s="2983">
        <f>典型户型修正办!R41</f>
        <v>39617</v>
      </c>
    </row>
    <row r="34" spans="1:10" ht="12.75">
      <c r="A34" s="2975" t="str">
        <f>面积表!G32</f>
        <v>6</v>
      </c>
      <c r="B34" s="2975" t="s">
        <v>3165</v>
      </c>
      <c r="C34" s="2982">
        <f>面积表!I32</f>
        <v>152.03</v>
      </c>
      <c r="D34" s="2975" t="str">
        <f>面积表!H32</f>
        <v>商业综合</v>
      </c>
      <c r="E34" s="2983">
        <f t="shared" ca="1" si="0"/>
        <v>542</v>
      </c>
      <c r="F34" s="2983">
        <f t="shared" ca="1" si="0"/>
        <v>33434</v>
      </c>
      <c r="G34" s="2983">
        <f t="shared" ca="1" si="4"/>
        <v>94</v>
      </c>
      <c r="H34" s="2983">
        <f t="shared" ca="1" si="5"/>
        <v>6183</v>
      </c>
      <c r="I34" s="2983">
        <f>典型户型修正办!S42</f>
        <v>636</v>
      </c>
      <c r="J34" s="2983">
        <f>典型户型修正办!R42</f>
        <v>39617</v>
      </c>
    </row>
    <row r="35" spans="1:10" ht="12.75">
      <c r="A35" s="2975" t="str">
        <f>面积表!G33</f>
        <v>6</v>
      </c>
      <c r="B35" s="2975" t="s">
        <v>3165</v>
      </c>
      <c r="C35" s="2982">
        <f>面积表!I33</f>
        <v>116.9</v>
      </c>
      <c r="D35" s="2975" t="str">
        <f>面积表!H33</f>
        <v>商业综合</v>
      </c>
      <c r="E35" s="2983">
        <f t="shared" ca="1" si="0"/>
        <v>513</v>
      </c>
      <c r="F35" s="2983">
        <f t="shared" ca="1" si="0"/>
        <v>32004</v>
      </c>
      <c r="G35" s="2983">
        <f t="shared" ca="1" si="4"/>
        <v>89</v>
      </c>
      <c r="H35" s="2983">
        <f t="shared" ca="1" si="5"/>
        <v>7613</v>
      </c>
      <c r="I35" s="2983">
        <f>典型户型修正办!S43</f>
        <v>602</v>
      </c>
      <c r="J35" s="2983">
        <f>典型户型修正办!R43</f>
        <v>39617</v>
      </c>
    </row>
    <row r="36" spans="1:10" ht="12.75">
      <c r="A36" s="2975" t="str">
        <f>面积表!G34</f>
        <v>7</v>
      </c>
      <c r="B36" s="2975" t="s">
        <v>3165</v>
      </c>
      <c r="C36" s="2982">
        <f>面积表!I34</f>
        <v>160.65</v>
      </c>
      <c r="D36" s="2975" t="str">
        <f>面积表!H34</f>
        <v>商业综合</v>
      </c>
      <c r="E36" s="2983">
        <f t="shared" ca="1" si="0"/>
        <v>513</v>
      </c>
      <c r="F36" s="2983">
        <f t="shared" ca="1" si="0"/>
        <v>34077</v>
      </c>
      <c r="G36" s="2983">
        <f t="shared" ca="1" si="4"/>
        <v>89</v>
      </c>
      <c r="H36" s="2983">
        <f t="shared" ca="1" si="5"/>
        <v>5540</v>
      </c>
      <c r="I36" s="2983">
        <f>典型户型修正办!S44</f>
        <v>602</v>
      </c>
      <c r="J36" s="2983">
        <f>典型户型修正办!R44</f>
        <v>39617</v>
      </c>
    </row>
    <row r="37" spans="1:10" ht="12.75">
      <c r="A37" s="2975" t="str">
        <f>面积表!G35</f>
        <v>7</v>
      </c>
      <c r="B37" s="2975" t="s">
        <v>3165</v>
      </c>
      <c r="C37" s="2982">
        <f>面积表!I35</f>
        <v>152</v>
      </c>
      <c r="D37" s="2975" t="str">
        <f>面积表!H35</f>
        <v>商业综合</v>
      </c>
      <c r="E37" s="2983">
        <f t="shared" ca="1" si="0"/>
        <v>513</v>
      </c>
      <c r="F37" s="2983">
        <f t="shared" ca="1" si="0"/>
        <v>33762</v>
      </c>
      <c r="G37" s="2983">
        <f t="shared" ca="1" si="4"/>
        <v>89</v>
      </c>
      <c r="H37" s="2983">
        <f t="shared" ca="1" si="5"/>
        <v>5855</v>
      </c>
      <c r="I37" s="2983">
        <f>典型户型修正办!S45</f>
        <v>602</v>
      </c>
      <c r="J37" s="2983">
        <f>典型户型修正办!R45</f>
        <v>39617</v>
      </c>
    </row>
    <row r="38" spans="1:10" ht="12.75">
      <c r="A38" s="2975" t="str">
        <f>面积表!G36</f>
        <v>7</v>
      </c>
      <c r="B38" s="2975" t="s">
        <v>3165</v>
      </c>
      <c r="C38" s="2982">
        <f>面积表!I36</f>
        <v>152</v>
      </c>
      <c r="D38" s="2975" t="str">
        <f>面积表!H36</f>
        <v>商业综合</v>
      </c>
      <c r="E38" s="2983">
        <f t="shared" ca="1" si="0"/>
        <v>513</v>
      </c>
      <c r="F38" s="2983">
        <f t="shared" ca="1" si="0"/>
        <v>33762</v>
      </c>
      <c r="G38" s="2983">
        <f t="shared" ca="1" si="4"/>
        <v>89</v>
      </c>
      <c r="H38" s="2983">
        <f t="shared" ca="1" si="5"/>
        <v>5855</v>
      </c>
      <c r="I38" s="2983">
        <f>典型户型修正办!S46</f>
        <v>602</v>
      </c>
      <c r="J38" s="2983">
        <f>典型户型修正办!R46</f>
        <v>39617</v>
      </c>
    </row>
    <row r="39" spans="1:10" ht="12.75">
      <c r="A39" s="2975" t="str">
        <f>面积表!G37</f>
        <v>7</v>
      </c>
      <c r="B39" s="2975" t="s">
        <v>3165</v>
      </c>
      <c r="C39" s="2982">
        <f>面积表!I37</f>
        <v>152</v>
      </c>
      <c r="D39" s="2975" t="str">
        <f>面积表!H37</f>
        <v>商业综合</v>
      </c>
      <c r="E39" s="2983">
        <f t="shared" ca="1" si="0"/>
        <v>703</v>
      </c>
      <c r="F39" s="2983">
        <f t="shared" ca="1" si="0"/>
        <v>31591</v>
      </c>
      <c r="G39" s="2983">
        <f t="shared" ca="1" si="4"/>
        <v>122</v>
      </c>
      <c r="H39" s="2983">
        <f t="shared" ca="1" si="5"/>
        <v>8026</v>
      </c>
      <c r="I39" s="2983">
        <f>典型户型修正办!S47</f>
        <v>825</v>
      </c>
      <c r="J39" s="2983">
        <f>典型户型修正办!R47</f>
        <v>39617</v>
      </c>
    </row>
    <row r="40" spans="1:10" ht="12.75">
      <c r="A40" s="2975" t="str">
        <f>面积表!G38</f>
        <v>7</v>
      </c>
      <c r="B40" s="2975" t="s">
        <v>3165</v>
      </c>
      <c r="C40" s="2982">
        <f>面积表!I38</f>
        <v>152</v>
      </c>
      <c r="D40" s="2975" t="str">
        <f>面积表!H38</f>
        <v>商业综合</v>
      </c>
      <c r="E40" s="2983">
        <f t="shared" ca="1" si="0"/>
        <v>753</v>
      </c>
      <c r="F40" s="2983">
        <f t="shared" ca="1" si="0"/>
        <v>31064</v>
      </c>
      <c r="G40" s="2983">
        <f t="shared" ca="1" si="4"/>
        <v>130</v>
      </c>
      <c r="H40" s="2983">
        <f t="shared" ca="1" si="5"/>
        <v>8553</v>
      </c>
      <c r="I40" s="2983">
        <f>典型户型修正办!S48</f>
        <v>883</v>
      </c>
      <c r="J40" s="2983">
        <f>典型户型修正办!R48</f>
        <v>39617</v>
      </c>
    </row>
    <row r="41" spans="1:10" ht="12.75">
      <c r="A41" s="2975" t="str">
        <f>面积表!G39</f>
        <v>7</v>
      </c>
      <c r="B41" s="2975" t="s">
        <v>3165</v>
      </c>
      <c r="C41" s="2982">
        <f>面积表!I39</f>
        <v>208.31</v>
      </c>
      <c r="D41" s="2975" t="str">
        <f>面积表!H39</f>
        <v>商业综合</v>
      </c>
      <c r="E41" s="2983">
        <f t="shared" ca="1" si="0"/>
        <v>513</v>
      </c>
      <c r="F41" s="2983">
        <f t="shared" ca="1" si="0"/>
        <v>35345</v>
      </c>
      <c r="G41" s="2983">
        <f t="shared" ca="1" si="4"/>
        <v>89</v>
      </c>
      <c r="H41" s="2983">
        <f t="shared" ca="1" si="5"/>
        <v>4272</v>
      </c>
      <c r="I41" s="2983">
        <f>典型户型修正办!S49</f>
        <v>602</v>
      </c>
      <c r="J41" s="2983">
        <f>典型户型修正办!R49</f>
        <v>39617</v>
      </c>
    </row>
    <row r="42" spans="1:10" ht="12.75">
      <c r="A42" s="2975" t="str">
        <f>面积表!G40</f>
        <v>7</v>
      </c>
      <c r="B42" s="2975" t="s">
        <v>3165</v>
      </c>
      <c r="C42" s="2982">
        <f>面积表!I40</f>
        <v>222.93</v>
      </c>
      <c r="D42" s="2975" t="str">
        <f>面积表!H40</f>
        <v>商业综合</v>
      </c>
      <c r="E42" s="2983">
        <f t="shared" ca="1" si="0"/>
        <v>395</v>
      </c>
      <c r="F42" s="2983">
        <f t="shared" ca="1" si="0"/>
        <v>36567</v>
      </c>
      <c r="G42" s="2983">
        <f t="shared" ca="1" si="4"/>
        <v>68</v>
      </c>
      <c r="H42" s="2983">
        <f t="shared" ca="1" si="5"/>
        <v>3050</v>
      </c>
      <c r="I42" s="2983">
        <f>典型户型修正办!S50</f>
        <v>463</v>
      </c>
      <c r="J42" s="2983">
        <f>典型户型修正办!R50</f>
        <v>39617</v>
      </c>
    </row>
    <row r="43" spans="1:10" ht="12.75">
      <c r="A43" s="2975" t="str">
        <f>面积表!G41</f>
        <v>7</v>
      </c>
      <c r="B43" s="2975" t="s">
        <v>3165</v>
      </c>
      <c r="C43" s="2982">
        <f>面积表!I41</f>
        <v>152.03</v>
      </c>
      <c r="D43" s="2975" t="str">
        <f>面积表!H41</f>
        <v>商业综合</v>
      </c>
      <c r="E43" s="2983">
        <f t="shared" ca="1" si="0"/>
        <v>542</v>
      </c>
      <c r="F43" s="2983">
        <f t="shared" ca="1" si="0"/>
        <v>33434</v>
      </c>
      <c r="G43" s="2983">
        <f t="shared" ca="1" si="4"/>
        <v>94</v>
      </c>
      <c r="H43" s="2983">
        <f t="shared" ca="1" si="5"/>
        <v>6183</v>
      </c>
      <c r="I43" s="2983">
        <f>典型户型修正办!S51</f>
        <v>636</v>
      </c>
      <c r="J43" s="2983">
        <f>典型户型修正办!R51</f>
        <v>39617</v>
      </c>
    </row>
    <row r="44" spans="1:10" ht="12.75">
      <c r="A44" s="2975" t="str">
        <f>面积表!G42</f>
        <v>7</v>
      </c>
      <c r="B44" s="2975" t="s">
        <v>3165</v>
      </c>
      <c r="C44" s="2982">
        <f>面积表!I42</f>
        <v>116.9</v>
      </c>
      <c r="D44" s="2975" t="str">
        <f>面积表!H42</f>
        <v>商业综合</v>
      </c>
      <c r="E44" s="2983">
        <f t="shared" ca="1" si="0"/>
        <v>513</v>
      </c>
      <c r="F44" s="2983">
        <f t="shared" ca="1" si="0"/>
        <v>32004</v>
      </c>
      <c r="G44" s="2983">
        <f t="shared" ca="1" si="4"/>
        <v>89</v>
      </c>
      <c r="H44" s="2983">
        <f t="shared" ca="1" si="5"/>
        <v>7613</v>
      </c>
      <c r="I44" s="2983">
        <f>典型户型修正办!S52</f>
        <v>602</v>
      </c>
      <c r="J44" s="2983">
        <f>典型户型修正办!R52</f>
        <v>39617</v>
      </c>
    </row>
    <row r="45" spans="1:10" ht="12.75">
      <c r="A45" s="2975" t="str">
        <f>面积表!G43</f>
        <v>8</v>
      </c>
      <c r="B45" s="2975" t="s">
        <v>3165</v>
      </c>
      <c r="C45" s="2982">
        <f>面积表!I43</f>
        <v>160.65</v>
      </c>
      <c r="D45" s="2975" t="str">
        <f>面积表!H43</f>
        <v>商业综合</v>
      </c>
      <c r="E45" s="2983">
        <f t="shared" ca="1" si="0"/>
        <v>513</v>
      </c>
      <c r="F45" s="2983">
        <f t="shared" ca="1" si="0"/>
        <v>34077</v>
      </c>
      <c r="G45" s="2983">
        <f t="shared" ca="1" si="4"/>
        <v>89</v>
      </c>
      <c r="H45" s="2983">
        <f t="shared" ca="1" si="5"/>
        <v>5540</v>
      </c>
      <c r="I45" s="2983">
        <f>典型户型修正办!S53</f>
        <v>602</v>
      </c>
      <c r="J45" s="2983">
        <f>典型户型修正办!R53</f>
        <v>39617</v>
      </c>
    </row>
    <row r="46" spans="1:10" ht="12.75">
      <c r="A46" s="2975" t="str">
        <f>面积表!G44</f>
        <v>8</v>
      </c>
      <c r="B46" s="2975" t="s">
        <v>3165</v>
      </c>
      <c r="C46" s="2982">
        <f>面积表!I44</f>
        <v>152</v>
      </c>
      <c r="D46" s="2975" t="str">
        <f>面积表!H44</f>
        <v>商业综合</v>
      </c>
      <c r="E46" s="2983">
        <f t="shared" ca="1" si="0"/>
        <v>513</v>
      </c>
      <c r="F46" s="2983">
        <f t="shared" ca="1" si="0"/>
        <v>33762</v>
      </c>
      <c r="G46" s="2983">
        <f t="shared" ca="1" si="4"/>
        <v>89</v>
      </c>
      <c r="H46" s="2983">
        <f t="shared" ca="1" si="5"/>
        <v>5855</v>
      </c>
      <c r="I46" s="2983">
        <f>典型户型修正办!S54</f>
        <v>602</v>
      </c>
      <c r="J46" s="2983">
        <f>典型户型修正办!R54</f>
        <v>39617</v>
      </c>
    </row>
    <row r="47" spans="1:10" ht="12.75">
      <c r="A47" s="2975" t="str">
        <f>面积表!G45</f>
        <v>8</v>
      </c>
      <c r="B47" s="2975" t="s">
        <v>3165</v>
      </c>
      <c r="C47" s="2982">
        <f>面积表!I45</f>
        <v>152</v>
      </c>
      <c r="D47" s="2975" t="str">
        <f>面积表!H45</f>
        <v>商业综合</v>
      </c>
      <c r="E47" s="2983">
        <f t="shared" ca="1" si="0"/>
        <v>513</v>
      </c>
      <c r="F47" s="2983">
        <f t="shared" ca="1" si="0"/>
        <v>33762</v>
      </c>
      <c r="G47" s="2983">
        <f t="shared" ca="1" si="4"/>
        <v>89</v>
      </c>
      <c r="H47" s="2983">
        <f t="shared" ca="1" si="5"/>
        <v>5855</v>
      </c>
      <c r="I47" s="2983">
        <f>典型户型修正办!S55</f>
        <v>602</v>
      </c>
      <c r="J47" s="2983">
        <f>典型户型修正办!R55</f>
        <v>39617</v>
      </c>
    </row>
    <row r="48" spans="1:10" ht="12.75">
      <c r="A48" s="2975" t="str">
        <f>面积表!G46</f>
        <v>8</v>
      </c>
      <c r="B48" s="2975" t="s">
        <v>3165</v>
      </c>
      <c r="C48" s="2982">
        <f>面积表!I46</f>
        <v>152</v>
      </c>
      <c r="D48" s="2975" t="str">
        <f>面积表!H46</f>
        <v>商业综合</v>
      </c>
      <c r="E48" s="2983">
        <f t="shared" ca="1" si="0"/>
        <v>703</v>
      </c>
      <c r="F48" s="2983">
        <f t="shared" ca="1" si="0"/>
        <v>31591</v>
      </c>
      <c r="G48" s="2983">
        <f t="shared" ca="1" si="4"/>
        <v>122</v>
      </c>
      <c r="H48" s="2983">
        <f t="shared" ca="1" si="5"/>
        <v>8026</v>
      </c>
      <c r="I48" s="2983">
        <f>典型户型修正办!S56</f>
        <v>825</v>
      </c>
      <c r="J48" s="2983">
        <f>典型户型修正办!R56</f>
        <v>39617</v>
      </c>
    </row>
    <row r="49" spans="1:11" ht="12.75">
      <c r="A49" s="2975" t="str">
        <f>面积表!G47</f>
        <v>8</v>
      </c>
      <c r="B49" s="2975" t="s">
        <v>3165</v>
      </c>
      <c r="C49" s="2982">
        <f>面积表!I47</f>
        <v>152</v>
      </c>
      <c r="D49" s="2975" t="str">
        <f>面积表!H47</f>
        <v>商业综合</v>
      </c>
      <c r="E49" s="2983">
        <f t="shared" ca="1" si="0"/>
        <v>753</v>
      </c>
      <c r="F49" s="2983">
        <f t="shared" ca="1" si="0"/>
        <v>31064</v>
      </c>
      <c r="G49" s="2983">
        <f t="shared" ca="1" si="4"/>
        <v>130</v>
      </c>
      <c r="H49" s="2983">
        <f t="shared" ca="1" si="5"/>
        <v>8553</v>
      </c>
      <c r="I49" s="2983">
        <f>典型户型修正办!S57</f>
        <v>883</v>
      </c>
      <c r="J49" s="2983">
        <f>典型户型修正办!R57</f>
        <v>39617</v>
      </c>
    </row>
    <row r="50" spans="1:11" ht="12.75">
      <c r="A50" s="2975" t="str">
        <f>面积表!G48</f>
        <v>8</v>
      </c>
      <c r="B50" s="2975" t="s">
        <v>3165</v>
      </c>
      <c r="C50" s="2982">
        <f>面积表!I48</f>
        <v>208.31</v>
      </c>
      <c r="D50" s="2975" t="str">
        <f>面积表!H48</f>
        <v>商业综合</v>
      </c>
      <c r="E50" s="2983">
        <f t="shared" ca="1" si="0"/>
        <v>513</v>
      </c>
      <c r="F50" s="2983">
        <f t="shared" ca="1" si="0"/>
        <v>35345</v>
      </c>
      <c r="G50" s="2983">
        <f t="shared" ca="1" si="4"/>
        <v>89</v>
      </c>
      <c r="H50" s="2983">
        <f t="shared" ca="1" si="5"/>
        <v>4272</v>
      </c>
      <c r="I50" s="2983">
        <f>典型户型修正办!S58</f>
        <v>602</v>
      </c>
      <c r="J50" s="2983">
        <f>典型户型修正办!R58</f>
        <v>39617</v>
      </c>
    </row>
    <row r="51" spans="1:11" ht="12.75">
      <c r="A51" s="2975" t="str">
        <f>面积表!G49</f>
        <v>8</v>
      </c>
      <c r="B51" s="2975" t="s">
        <v>3165</v>
      </c>
      <c r="C51" s="2982">
        <f>面积表!I49</f>
        <v>222.93</v>
      </c>
      <c r="D51" s="2975" t="str">
        <f>面积表!H49</f>
        <v>商业综合</v>
      </c>
      <c r="E51" s="2983">
        <f t="shared" ca="1" si="0"/>
        <v>395</v>
      </c>
      <c r="F51" s="2983">
        <f t="shared" ca="1" si="0"/>
        <v>36567</v>
      </c>
      <c r="G51" s="2983">
        <f t="shared" ca="1" si="4"/>
        <v>68</v>
      </c>
      <c r="H51" s="2983">
        <f t="shared" ca="1" si="5"/>
        <v>3050</v>
      </c>
      <c r="I51" s="2983">
        <f>典型户型修正办!S59</f>
        <v>463</v>
      </c>
      <c r="J51" s="2983">
        <f>典型户型修正办!R59</f>
        <v>39617</v>
      </c>
    </row>
    <row r="52" spans="1:11" ht="12.75">
      <c r="A52" s="2975" t="str">
        <f>面积表!G50</f>
        <v>8</v>
      </c>
      <c r="B52" s="2975" t="s">
        <v>3165</v>
      </c>
      <c r="C52" s="2982">
        <f>面积表!I50</f>
        <v>152.03</v>
      </c>
      <c r="D52" s="2975" t="str">
        <f>面积表!H50</f>
        <v>商业综合</v>
      </c>
      <c r="E52" s="2983">
        <f t="shared" ca="1" si="0"/>
        <v>542</v>
      </c>
      <c r="F52" s="2983">
        <f t="shared" ca="1" si="0"/>
        <v>33434</v>
      </c>
      <c r="G52" s="2983">
        <f t="shared" ca="1" si="4"/>
        <v>94</v>
      </c>
      <c r="H52" s="2983">
        <f t="shared" ca="1" si="5"/>
        <v>6183</v>
      </c>
      <c r="I52" s="2983">
        <f>典型户型修正办!S60</f>
        <v>636</v>
      </c>
      <c r="J52" s="2983">
        <f>典型户型修正办!R60</f>
        <v>39617</v>
      </c>
    </row>
    <row r="53" spans="1:11" s="2986" customFormat="1" ht="12.75">
      <c r="A53" s="3535" t="s">
        <v>3166</v>
      </c>
      <c r="B53" s="3536"/>
      <c r="C53" s="2984">
        <f>SUM(C16:C52)</f>
        <v>6491.35</v>
      </c>
      <c r="D53" s="2984">
        <f>SUM(D16:D52)</f>
        <v>0</v>
      </c>
      <c r="E53" s="2985">
        <f ca="1">SUM(E16:E52)</f>
        <v>20188</v>
      </c>
      <c r="F53" s="2985">
        <f t="shared" ca="1" si="0"/>
        <v>31099</v>
      </c>
      <c r="G53" s="2985">
        <f ca="1">SUM(G16:G52)</f>
        <v>3494</v>
      </c>
      <c r="H53" s="2985">
        <f ca="1">ROUND(G53/C53*10000,0)</f>
        <v>5383</v>
      </c>
      <c r="I53" s="2985">
        <f>SUM(I16:I52)</f>
        <v>23682</v>
      </c>
      <c r="J53" s="2985">
        <f>ROUND(I53/C53*10000,0)</f>
        <v>36482</v>
      </c>
      <c r="K53" s="2986">
        <f ca="1">G53+E53</f>
        <v>23682</v>
      </c>
    </row>
    <row r="54" spans="1:11" ht="12.75">
      <c r="A54" s="2957" t="s">
        <v>3150</v>
      </c>
      <c r="B54" s="2957" t="s">
        <v>3167</v>
      </c>
      <c r="C54" s="2982">
        <v>1949.34</v>
      </c>
      <c r="D54" s="2957">
        <v>184.92</v>
      </c>
      <c r="E54" s="2983">
        <f t="shared" ca="1" si="0"/>
        <v>4636</v>
      </c>
      <c r="F54" s="2983">
        <f t="shared" ca="1" si="0"/>
        <v>23782</v>
      </c>
      <c r="G54" s="2983">
        <f ca="1">ROUND(I54*$K$54,0)</f>
        <v>1803</v>
      </c>
      <c r="H54" s="2983">
        <f ca="1">ROUND(G54/C54*10000,0)</f>
        <v>9249</v>
      </c>
      <c r="I54" s="2983">
        <f ca="1">ROUND(J54*C54/10000,0)</f>
        <v>6439</v>
      </c>
      <c r="J54" s="2983">
        <f ca="1">结果表酒店!G20</f>
        <v>33031</v>
      </c>
      <c r="K54" s="2980">
        <f ca="1">收益法酒店!C13/收益法酒店!C40</f>
        <v>0.27998821102269378</v>
      </c>
    </row>
    <row r="55" spans="1:11" ht="12.75">
      <c r="A55" s="2957" t="s">
        <v>3151</v>
      </c>
      <c r="B55" s="2957" t="s">
        <v>3168</v>
      </c>
      <c r="C55" s="2982">
        <v>153.44999999999999</v>
      </c>
      <c r="D55" s="2957">
        <v>14.56</v>
      </c>
      <c r="E55" s="2983">
        <f t="shared" ca="1" si="0"/>
        <v>34771</v>
      </c>
      <c r="F55" s="2983">
        <f t="shared" ca="1" si="0"/>
        <v>23782</v>
      </c>
      <c r="G55" s="2983">
        <f ca="1">ROUND(I55*$K$54,0)</f>
        <v>13521</v>
      </c>
      <c r="H55" s="2983">
        <f ca="1">H54</f>
        <v>9249</v>
      </c>
      <c r="I55" s="2983">
        <f ca="1">结果表酒店!G19-I54</f>
        <v>48292</v>
      </c>
      <c r="J55" s="2983">
        <f ca="1">J54</f>
        <v>33031</v>
      </c>
    </row>
    <row r="56" spans="1:11" s="2986" customFormat="1" ht="12.75">
      <c r="A56" s="3535" t="s">
        <v>3169</v>
      </c>
      <c r="B56" s="3536"/>
      <c r="C56" s="2984">
        <f>SUM(C54:C55)</f>
        <v>2102.79</v>
      </c>
      <c r="D56" s="2984">
        <f>SUM(D54:D55)</f>
        <v>199.48</v>
      </c>
      <c r="E56" s="2985">
        <f ca="1">SUM(E54:E55)</f>
        <v>39407</v>
      </c>
      <c r="F56" s="2985">
        <f ca="1">F55</f>
        <v>23782</v>
      </c>
      <c r="G56" s="2985">
        <f ca="1">SUM(G54:G55)</f>
        <v>15324</v>
      </c>
      <c r="H56" s="2985">
        <f ca="1">H55</f>
        <v>9249</v>
      </c>
      <c r="I56" s="2985">
        <f ca="1">SUM(I54:I55)</f>
        <v>54731</v>
      </c>
      <c r="J56" s="2985">
        <f ca="1">J55</f>
        <v>33031</v>
      </c>
      <c r="K56" s="2986">
        <f ca="1">G56+E56</f>
        <v>54731</v>
      </c>
    </row>
    <row r="57" spans="1:11" s="2986" customFormat="1" ht="12.75">
      <c r="A57" s="3537" t="s">
        <v>3170</v>
      </c>
      <c r="B57" s="3538"/>
      <c r="C57" s="2984">
        <f>C56+C53+C15</f>
        <v>13104.509999999998</v>
      </c>
      <c r="D57" s="2984">
        <f>D56+D53+D15</f>
        <v>627.33000000000004</v>
      </c>
      <c r="E57" s="3539" t="e">
        <f ca="1">E56+E53+E15</f>
        <v>#DIV/0!</v>
      </c>
      <c r="F57" s="3539"/>
      <c r="G57" s="3539" t="e">
        <f ca="1">G56+G53+G15</f>
        <v>#DIV/0!</v>
      </c>
      <c r="H57" s="3539"/>
      <c r="I57" s="3539" t="e">
        <f ca="1">I56+I53+I15</f>
        <v>#DIV/0!</v>
      </c>
      <c r="J57" s="3539"/>
    </row>
    <row r="58" spans="1:11" ht="12.75">
      <c r="A58" s="2987"/>
      <c r="B58" s="2987"/>
      <c r="C58" s="2988"/>
      <c r="D58" s="2989"/>
      <c r="E58" s="3533" t="e">
        <f ca="1">E57*10000</f>
        <v>#DIV/0!</v>
      </c>
      <c r="F58" s="3533"/>
      <c r="G58" s="3533" t="e">
        <f ca="1">G57*10000</f>
        <v>#DIV/0!</v>
      </c>
      <c r="H58" s="3533"/>
      <c r="I58" s="3533" t="e">
        <f ca="1">I57*10000</f>
        <v>#DIV/0!</v>
      </c>
      <c r="J58" s="3533"/>
    </row>
    <row r="59" spans="1:11">
      <c r="A59" s="3534" t="s">
        <v>3171</v>
      </c>
      <c r="B59" s="3534"/>
      <c r="C59" s="3534"/>
      <c r="D59" s="3534"/>
      <c r="E59" s="3534"/>
      <c r="F59" s="3534"/>
      <c r="G59" s="3534"/>
      <c r="H59" s="3534"/>
      <c r="I59" s="3534"/>
      <c r="J59" s="3534"/>
    </row>
    <row r="60" spans="1:11">
      <c r="C60" s="2980">
        <f>[4]汉威!$C$62</f>
        <v>41487.209999999985</v>
      </c>
    </row>
    <row r="61" spans="1:11">
      <c r="C61" s="2990">
        <f>C57-C60</f>
        <v>-28382.699999999986</v>
      </c>
    </row>
  </sheetData>
  <mergeCells count="18">
    <mergeCell ref="D1:D2"/>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C19" sqref="C1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1366</v>
      </c>
      <c r="D1" s="2389"/>
      <c r="E1" s="2389"/>
      <c r="F1" s="2391" t="s">
        <v>2106</v>
      </c>
      <c r="G1" s="2045" t="s">
        <v>3050</v>
      </c>
      <c r="H1" s="2392" t="str">
        <f>IF(G1="现房","——","估价对象范围")</f>
        <v>——</v>
      </c>
      <c r="I1" s="2393"/>
    </row>
    <row r="2" spans="1:12" ht="21.75" customHeight="1" thickBot="1">
      <c r="A2" s="3612" t="str">
        <f>项目基本情况!S2</f>
        <v>北京市朝阳区广顺北大街16号院1、2、3号楼房地产</v>
      </c>
      <c r="B2" s="3613"/>
      <c r="C2" s="3613"/>
      <c r="D2" s="3613"/>
      <c r="E2" s="3613"/>
      <c r="F2" s="3613"/>
      <c r="G2" s="3613"/>
      <c r="H2" s="3613"/>
      <c r="I2" s="3614"/>
    </row>
    <row r="3" spans="1:12" ht="12.75">
      <c r="A3" s="3615" t="s">
        <v>2107</v>
      </c>
      <c r="B3" s="3616"/>
      <c r="C3" s="3616"/>
      <c r="D3" s="3616"/>
      <c r="E3" s="3616"/>
      <c r="F3" s="3616"/>
      <c r="G3" s="3616"/>
      <c r="H3" s="3616"/>
      <c r="I3" s="3616"/>
    </row>
    <row r="4" spans="1:12" ht="14.25">
      <c r="A4" s="2396" t="s">
        <v>2108</v>
      </c>
      <c r="B4" s="2397" t="s">
        <v>2109</v>
      </c>
      <c r="C4" s="2398" t="s">
        <v>3653</v>
      </c>
      <c r="D4" s="2398" t="s">
        <v>3694</v>
      </c>
      <c r="E4" s="3596" t="s">
        <v>2110</v>
      </c>
      <c r="F4" s="3609"/>
      <c r="G4" s="3609"/>
      <c r="H4" s="3609"/>
      <c r="I4" s="3597"/>
      <c r="K4" s="2399" t="str">
        <f>IF(ISNUMBER(FIND("比较法",结果表商!C4)),"比较法",IF(ISNUMBER(FIND("成本法",结果表商!C4)),"成本法",IF(ISNUMBER(FIND("假设开发法",结果表商!C4)),"假设开发法",IF(ISNUMBER(FIND("收益法",结果表商!C4)),"收益法","基准地价系数修正法"))))</f>
        <v>成本法</v>
      </c>
      <c r="L4" s="2399"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87" t="s">
        <v>2111</v>
      </c>
      <c r="B5" s="3504">
        <v>25</v>
      </c>
      <c r="C5" s="3617"/>
      <c r="D5" s="3605"/>
      <c r="E5" s="140" t="s">
        <v>2112</v>
      </c>
      <c r="F5" s="2400"/>
      <c r="G5" s="2400"/>
      <c r="H5" s="2400"/>
      <c r="I5" s="1811"/>
    </row>
    <row r="6" spans="1:12" ht="12.75">
      <c r="A6" s="3587"/>
      <c r="B6" s="3504"/>
      <c r="C6" s="3619"/>
      <c r="D6" s="3605"/>
      <c r="E6" s="140" t="s">
        <v>2113</v>
      </c>
      <c r="F6" s="2400"/>
      <c r="G6" s="2400"/>
      <c r="H6" s="2400"/>
      <c r="I6" s="1811"/>
    </row>
    <row r="7" spans="1:12" ht="12.75">
      <c r="A7" s="3587"/>
      <c r="B7" s="3504"/>
      <c r="C7" s="3618"/>
      <c r="D7" s="3605"/>
      <c r="E7" s="140" t="s">
        <v>2114</v>
      </c>
      <c r="F7" s="2400"/>
      <c r="G7" s="2400"/>
      <c r="H7" s="2400"/>
      <c r="I7" s="1811"/>
    </row>
    <row r="8" spans="1:12" ht="12.75">
      <c r="A8" s="3587" t="s">
        <v>2115</v>
      </c>
      <c r="B8" s="3504">
        <v>15</v>
      </c>
      <c r="C8" s="3617"/>
      <c r="D8" s="3605"/>
      <c r="E8" s="140" t="s">
        <v>2116</v>
      </c>
      <c r="F8" s="2400"/>
      <c r="G8" s="2400"/>
      <c r="H8" s="2400"/>
      <c r="I8" s="1811"/>
    </row>
    <row r="9" spans="1:12" ht="12.75">
      <c r="A9" s="3587"/>
      <c r="B9" s="3504"/>
      <c r="C9" s="3618"/>
      <c r="D9" s="3605"/>
      <c r="E9" s="140" t="s">
        <v>2117</v>
      </c>
      <c r="F9" s="2400"/>
      <c r="G9" s="2400"/>
      <c r="H9" s="2400"/>
      <c r="I9" s="1811"/>
    </row>
    <row r="10" spans="1:12" ht="12.75">
      <c r="A10" s="3587" t="s">
        <v>2118</v>
      </c>
      <c r="B10" s="3504">
        <v>15</v>
      </c>
      <c r="C10" s="3617"/>
      <c r="D10" s="3605"/>
      <c r="E10" s="140" t="s">
        <v>2119</v>
      </c>
      <c r="F10" s="2400"/>
      <c r="G10" s="2400"/>
      <c r="H10" s="2400"/>
      <c r="I10" s="1811"/>
    </row>
    <row r="11" spans="1:12" ht="12.75">
      <c r="A11" s="3587"/>
      <c r="B11" s="3504"/>
      <c r="C11" s="3618"/>
      <c r="D11" s="3605"/>
      <c r="E11" s="140" t="s">
        <v>2120</v>
      </c>
      <c r="F11" s="2400"/>
      <c r="G11" s="2400"/>
      <c r="H11" s="2400"/>
      <c r="I11" s="1811"/>
    </row>
    <row r="12" spans="1:12" ht="12.75">
      <c r="A12" s="3587" t="s">
        <v>2121</v>
      </c>
      <c r="B12" s="3504">
        <v>15</v>
      </c>
      <c r="C12" s="3617"/>
      <c r="D12" s="3605"/>
      <c r="E12" s="140" t="s">
        <v>2122</v>
      </c>
      <c r="F12" s="2400"/>
      <c r="G12" s="2400"/>
      <c r="H12" s="2400"/>
      <c r="I12" s="1811"/>
    </row>
    <row r="13" spans="1:12" ht="12.75">
      <c r="A13" s="3587"/>
      <c r="B13" s="3504"/>
      <c r="C13" s="3618"/>
      <c r="D13" s="3605"/>
      <c r="E13" s="140" t="s">
        <v>2123</v>
      </c>
      <c r="F13" s="2400"/>
      <c r="G13" s="2400"/>
      <c r="H13" s="2400"/>
      <c r="I13" s="1811"/>
    </row>
    <row r="14" spans="1:12" ht="12.75">
      <c r="A14" s="3587" t="s">
        <v>2124</v>
      </c>
      <c r="B14" s="3504">
        <v>30</v>
      </c>
      <c r="C14" s="3617">
        <v>4</v>
      </c>
      <c r="D14" s="3605">
        <v>6</v>
      </c>
      <c r="E14" s="140" t="s">
        <v>2125</v>
      </c>
      <c r="F14" s="2400"/>
      <c r="G14" s="2400"/>
      <c r="H14" s="2400"/>
      <c r="I14" s="1811"/>
    </row>
    <row r="15" spans="1:12" ht="12.75">
      <c r="A15" s="3587"/>
      <c r="B15" s="3504"/>
      <c r="C15" s="3619"/>
      <c r="D15" s="3605"/>
      <c r="E15" s="140" t="s">
        <v>2126</v>
      </c>
      <c r="F15" s="2400"/>
      <c r="G15" s="2400"/>
      <c r="H15" s="2400"/>
      <c r="I15" s="1811"/>
    </row>
    <row r="16" spans="1:12" ht="12.75">
      <c r="A16" s="3587"/>
      <c r="B16" s="3504"/>
      <c r="C16" s="3618"/>
      <c r="D16" s="3605"/>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t="e">
        <f ca="1">SUMIF(INDIRECT("'"&amp;C4&amp;"'"&amp;"!A:A"),结果表商!B19,INDIRECT("'"&amp;C4&amp;"'"&amp;"!B:B"))</f>
        <v>#REF!</v>
      </c>
      <c r="D19" s="144">
        <f ca="1">SUMIF(INDIRECT("'"&amp;D4&amp;"'"&amp;"!A:A"),结果表商!B19,INDIRECT("'"&amp;D4&amp;"'"&amp;"!B:B"))</f>
        <v>0</v>
      </c>
      <c r="E19" s="2405" t="s">
        <v>2135</v>
      </c>
      <c r="F19" s="2406" t="s">
        <v>2134</v>
      </c>
      <c r="G19" s="145" t="e">
        <f ca="1">ROUND(C19*$C$18+D19*$D$18,0)</f>
        <v>#REF!</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SUMIF(INDIRECT("'"&amp;C4&amp;"'"&amp;"!A:A"),结果表商!B20,INDIRECT("'"&amp;C4&amp;"'"&amp;"!B:B"))</f>
        <v>#REF!</v>
      </c>
      <c r="D20" s="147" t="e">
        <f ca="1">SUMIF(INDIRECT("'"&amp;D4&amp;"'"&amp;"!A:A"),结果表商!B20,INDIRECT("'"&amp;D4&amp;"'"&amp;"!B:B"))</f>
        <v>#DIV/0!</v>
      </c>
      <c r="E20" s="2408"/>
      <c r="F20" s="1229" t="s">
        <v>2138</v>
      </c>
      <c r="G20" s="148" t="e">
        <f ca="1">ROUND(C20*$C$18+D20*$D$18,0)</f>
        <v>#REF!</v>
      </c>
      <c r="H20" s="970" t="s">
        <v>2139</v>
      </c>
      <c r="I20" s="138"/>
    </row>
    <row r="21" spans="1:35" ht="15" customHeight="1" thickBot="1">
      <c r="A21" s="990"/>
      <c r="B21" s="2409" t="s">
        <v>2140</v>
      </c>
      <c r="C21" s="784" t="e">
        <f ca="1">ROUND(C19*10000/L19,0)</f>
        <v>#REF!</v>
      </c>
      <c r="D21" s="785" t="e">
        <f ca="1">ROUND(D19*10000/L19,0)</f>
        <v>#DIV/0!</v>
      </c>
      <c r="E21" s="990"/>
      <c r="F21" s="2409" t="s">
        <v>2140</v>
      </c>
      <c r="G21" s="149" t="e">
        <f ca="1">ROUND(G19*10000/L19,0)</f>
        <v>#REF!</v>
      </c>
      <c r="H21" s="2410" t="s">
        <v>2139</v>
      </c>
      <c r="I21" s="138"/>
    </row>
    <row r="22" spans="1:35" ht="15" thickBot="1">
      <c r="A22" s="2255" t="s">
        <v>2141</v>
      </c>
      <c r="B22" s="2411"/>
      <c r="C22" s="2412"/>
      <c r="D22" s="786" t="e">
        <f ca="1">IF(C19&lt;D19,D19/C19-1,C19/D19-1)</f>
        <v>#REF!</v>
      </c>
      <c r="E22" s="138"/>
      <c r="F22" s="138"/>
      <c r="G22" s="138"/>
      <c r="H22" s="138"/>
      <c r="I22" s="138"/>
    </row>
    <row r="23" spans="1:35" ht="13.5" thickBot="1">
      <c r="A23" s="2389"/>
      <c r="B23" s="2389"/>
      <c r="C23" s="2389"/>
      <c r="D23" s="2389"/>
      <c r="E23" s="138"/>
      <c r="F23" s="138"/>
      <c r="G23" s="138"/>
      <c r="H23" s="138"/>
      <c r="I23" s="138"/>
    </row>
    <row r="24" spans="1:35" ht="14.25">
      <c r="A24" s="3626" t="s">
        <v>2142</v>
      </c>
      <c r="B24" s="2406" t="s">
        <v>2134</v>
      </c>
      <c r="C24" s="145">
        <f>IF(B30=0,0,D30)</f>
        <v>0</v>
      </c>
      <c r="D24" s="2413"/>
      <c r="E24" s="138"/>
      <c r="F24" s="138"/>
      <c r="G24" s="138"/>
      <c r="H24" s="138"/>
      <c r="I24" s="138"/>
    </row>
    <row r="25" spans="1:35" ht="14.25">
      <c r="A25" s="3627"/>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#REF!</v>
      </c>
      <c r="D32" s="2420" t="s">
        <v>2149</v>
      </c>
      <c r="E32" s="138"/>
      <c r="F32" s="138"/>
      <c r="G32" s="138"/>
      <c r="H32" s="138"/>
      <c r="I32" s="138"/>
    </row>
    <row r="33" spans="1:15" ht="15">
      <c r="A33" s="947" t="s">
        <v>2150</v>
      </c>
      <c r="B33" s="2421"/>
      <c r="C33" s="2422" t="s">
        <v>3672</v>
      </c>
      <c r="D33" s="2423" t="s">
        <v>3047</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606" t="s">
        <v>2156</v>
      </c>
      <c r="B36" s="2432" t="s">
        <v>2157</v>
      </c>
      <c r="C36" s="154"/>
      <c r="D36" s="2433"/>
      <c r="E36" s="2434"/>
      <c r="F36" s="2435"/>
      <c r="G36" s="138"/>
      <c r="H36" s="138"/>
      <c r="I36" s="138"/>
    </row>
    <row r="37" spans="1:15" ht="15.75" thickBot="1">
      <c r="A37" s="3607"/>
      <c r="B37" s="2241" t="s">
        <v>2158</v>
      </c>
      <c r="C37" s="156"/>
      <c r="D37" s="1373"/>
      <c r="E37" s="1373"/>
      <c r="F37" s="2435"/>
      <c r="G37" s="138"/>
      <c r="H37" s="138"/>
      <c r="I37" s="138"/>
    </row>
    <row r="38" spans="1:15" ht="15.75" thickBot="1">
      <c r="A38" s="3608"/>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23" t="s">
        <v>2170</v>
      </c>
      <c r="B45" s="3624"/>
      <c r="C45" s="3625"/>
      <c r="D45" s="164" t="e">
        <f ca="1">系统读取表!B6</f>
        <v>#REF!</v>
      </c>
      <c r="E45" s="165" t="s">
        <v>2171</v>
      </c>
      <c r="F45" s="166">
        <v>0.6</v>
      </c>
      <c r="G45" s="167" t="s">
        <v>2172</v>
      </c>
      <c r="H45" s="138"/>
      <c r="I45" s="138"/>
      <c r="J45" s="3542" t="s">
        <v>2173</v>
      </c>
      <c r="K45" s="3542"/>
      <c r="L45" s="3542"/>
      <c r="M45" s="3542"/>
      <c r="N45" s="3542"/>
      <c r="O45" s="3542"/>
    </row>
    <row r="46" spans="1:15" ht="14.25" customHeight="1">
      <c r="A46" s="3620" t="s">
        <v>2174</v>
      </c>
      <c r="B46" s="3621"/>
      <c r="C46" s="3621"/>
      <c r="D46" s="3621"/>
      <c r="E46" s="3621"/>
      <c r="F46" s="3621"/>
      <c r="G46" s="3622"/>
      <c r="H46" s="2451"/>
      <c r="I46" s="168"/>
      <c r="J46" s="1789">
        <v>1</v>
      </c>
      <c r="K46" s="3542" t="s">
        <v>2175</v>
      </c>
      <c r="L46" s="3542"/>
      <c r="M46" s="3543"/>
      <c r="N46" s="3543"/>
      <c r="O46" s="3543"/>
    </row>
    <row r="47" spans="1:15" ht="12" customHeight="1">
      <c r="A47" s="169" t="s">
        <v>2176</v>
      </c>
      <c r="B47" s="170"/>
      <c r="C47" s="171"/>
      <c r="D47" s="172" t="s">
        <v>2177</v>
      </c>
      <c r="E47" s="24" t="s">
        <v>2178</v>
      </c>
      <c r="F47" s="173" t="s">
        <v>2179</v>
      </c>
      <c r="G47" s="174" t="s">
        <v>2180</v>
      </c>
      <c r="H47" s="2451"/>
      <c r="I47" s="168"/>
      <c r="J47" s="1789">
        <v>2</v>
      </c>
      <c r="K47" s="3542" t="s">
        <v>2181</v>
      </c>
      <c r="L47" s="3542"/>
      <c r="M47" s="3544">
        <f>'数据-取费表'!B2</f>
        <v>43983</v>
      </c>
      <c r="N47" s="3544"/>
      <c r="O47" s="3544"/>
    </row>
    <row r="48" spans="1:15" ht="25.5">
      <c r="A48" s="3610" t="s">
        <v>2182</v>
      </c>
      <c r="B48" s="3611"/>
      <c r="C48" s="3611"/>
      <c r="D48" s="140" t="e">
        <f ca="1">IF(H48="情况1",0,IF(H48="情况2",D52,IF(H48="情况3",D53,IF(H48="情况4",D54))))</f>
        <v>#REF!</v>
      </c>
      <c r="E48" s="1778" t="str">
        <f>IF(H48="情况4","(销售额-原购置价)×税（费）率","销售额×税（费）率")</f>
        <v>销售额×税（费）率</v>
      </c>
      <c r="F48" s="175">
        <f>IF(H48="情况1","免征",'数据-取费表'!B41)</f>
        <v>5.6000000000000001E-2</v>
      </c>
      <c r="G48" s="2452" t="s">
        <v>2183</v>
      </c>
      <c r="H48" s="2453" t="s">
        <v>3674</v>
      </c>
      <c r="I48" s="2451"/>
      <c r="J48" s="1789">
        <v>3</v>
      </c>
      <c r="K48" s="3542" t="s">
        <v>2185</v>
      </c>
      <c r="L48" s="3542"/>
      <c r="M48" s="3545" t="e">
        <f ca="1">系统读取表!B6</f>
        <v>#REF!</v>
      </c>
      <c r="N48" s="3545"/>
      <c r="O48" s="3545"/>
    </row>
    <row r="49" spans="1:35" ht="25.5" customHeight="1">
      <c r="A49" s="176" t="s">
        <v>2186</v>
      </c>
      <c r="B49" s="3590" t="s">
        <v>2187</v>
      </c>
      <c r="C49" s="3590"/>
      <c r="D49" s="177">
        <v>0</v>
      </c>
      <c r="E49" s="23" t="s">
        <v>2188</v>
      </c>
      <c r="F49" s="28" t="s">
        <v>34</v>
      </c>
      <c r="G49" s="3571"/>
      <c r="H49" s="138"/>
      <c r="I49" s="2454"/>
      <c r="J49" s="1789">
        <v>4</v>
      </c>
      <c r="K49" s="3542" t="str">
        <f>IF(项目基本情况!E8="房地产抵押价值","房地产抵押价值","抵押担保权已注销时的房地产抵押价值")</f>
        <v>房地产抵押价值</v>
      </c>
      <c r="L49" s="3542"/>
      <c r="M49" s="3545" t="e">
        <f ca="1">M48</f>
        <v>#REF!</v>
      </c>
      <c r="N49" s="3545"/>
      <c r="O49" s="3545"/>
    </row>
    <row r="50" spans="1:35" ht="25.5" customHeight="1">
      <c r="A50" s="178"/>
      <c r="B50" s="3590" t="s">
        <v>2189</v>
      </c>
      <c r="C50" s="3590"/>
      <c r="D50" s="179"/>
      <c r="E50" s="31"/>
      <c r="F50" s="180"/>
      <c r="G50" s="3572"/>
      <c r="H50" s="138"/>
      <c r="I50" s="2454"/>
      <c r="J50" s="3542" t="s">
        <v>2190</v>
      </c>
      <c r="K50" s="3542"/>
      <c r="L50" s="3542"/>
      <c r="M50" s="3542"/>
      <c r="N50" s="3542"/>
      <c r="O50" s="3542"/>
    </row>
    <row r="51" spans="1:35" ht="12" customHeight="1">
      <c r="A51" s="181"/>
      <c r="B51" s="3590" t="s">
        <v>2191</v>
      </c>
      <c r="C51" s="3590"/>
      <c r="D51" s="182"/>
      <c r="E51" s="30"/>
      <c r="F51" s="180"/>
      <c r="G51" s="3573"/>
      <c r="H51" s="138"/>
      <c r="I51" s="2454"/>
      <c r="J51" s="2455" t="s">
        <v>2192</v>
      </c>
      <c r="K51" s="3542" t="s">
        <v>2193</v>
      </c>
      <c r="L51" s="3542"/>
      <c r="M51" s="2455" t="s">
        <v>2194</v>
      </c>
      <c r="N51" s="2455" t="s">
        <v>2195</v>
      </c>
      <c r="O51" s="2455" t="s">
        <v>2196</v>
      </c>
    </row>
    <row r="52" spans="1:35" ht="24" customHeight="1">
      <c r="A52" s="183" t="s">
        <v>2197</v>
      </c>
      <c r="B52" s="3590" t="s">
        <v>2198</v>
      </c>
      <c r="C52" s="3590"/>
      <c r="D52" s="182" t="e">
        <f ca="1">ROUND(D45*'数据-取费表'!B41/(1+'数据-取费表'!C42),0)</f>
        <v>#REF!</v>
      </c>
      <c r="E52" s="11" t="s">
        <v>2199</v>
      </c>
      <c r="F52" s="184">
        <f>'数据-取费表'!B41</f>
        <v>5.6000000000000001E-2</v>
      </c>
      <c r="G52" s="2456"/>
      <c r="H52" s="138"/>
      <c r="I52" s="2454"/>
      <c r="J52" s="1789">
        <v>1</v>
      </c>
      <c r="K52" s="3565" t="s">
        <v>2200</v>
      </c>
      <c r="L52" s="3565"/>
      <c r="M52" s="1731" t="e">
        <f ca="1">D48</f>
        <v>#REF!</v>
      </c>
      <c r="N52" s="1789" t="str">
        <f>E48</f>
        <v>销售额×税（费）率</v>
      </c>
      <c r="O52" s="1732">
        <f>F48</f>
        <v>5.6000000000000001E-2</v>
      </c>
    </row>
    <row r="53" spans="1:35" ht="12" customHeight="1">
      <c r="A53" s="183" t="s">
        <v>2201</v>
      </c>
      <c r="B53" s="3591" t="s">
        <v>2202</v>
      </c>
      <c r="C53" s="3592"/>
      <c r="D53" s="182" t="e">
        <f ca="1">ROUND(D45*'数据-取费表'!B41/(1+'数据-取费表'!C42),0)</f>
        <v>#REF!</v>
      </c>
      <c r="E53" s="11" t="s">
        <v>2199</v>
      </c>
      <c r="F53" s="184">
        <f>'数据-取费表'!B41</f>
        <v>5.6000000000000001E-2</v>
      </c>
      <c r="G53" s="2456"/>
      <c r="H53" s="138"/>
      <c r="I53" s="2454"/>
      <c r="J53" s="1789">
        <v>2</v>
      </c>
      <c r="K53" s="3565" t="s">
        <v>2203</v>
      </c>
      <c r="L53" s="3565"/>
      <c r="M53" s="1731" t="e">
        <f t="shared" ref="M53:O54" ca="1" si="0">D55</f>
        <v>#REF!</v>
      </c>
      <c r="N53" s="1789" t="str">
        <f t="shared" si="0"/>
        <v>销售额×税（费）率</v>
      </c>
      <c r="O53" s="1732">
        <f t="shared" si="0"/>
        <v>5.0000000000000001E-4</v>
      </c>
    </row>
    <row r="54" spans="1:35" ht="12" customHeight="1">
      <c r="A54" s="183" t="s">
        <v>2204</v>
      </c>
      <c r="B54" s="3591" t="s">
        <v>2205</v>
      </c>
      <c r="C54" s="3592"/>
      <c r="D54" s="182" t="e">
        <f ca="1">C68</f>
        <v>#REF!</v>
      </c>
      <c r="E54" s="30" t="s">
        <v>2206</v>
      </c>
      <c r="F54" s="184">
        <f>'数据-取费表'!B41</f>
        <v>5.6000000000000001E-2</v>
      </c>
      <c r="G54" s="2456"/>
      <c r="H54" s="2457"/>
      <c r="I54" s="2454"/>
      <c r="J54" s="1789">
        <v>3</v>
      </c>
      <c r="K54" s="3565" t="s">
        <v>2207</v>
      </c>
      <c r="L54" s="3565"/>
      <c r="M54" s="1731" t="e">
        <f t="shared" ca="1" si="0"/>
        <v>#REF!</v>
      </c>
      <c r="N54" s="1789" t="str">
        <f t="shared" si="0"/>
        <v>增值额×税（费）率</v>
      </c>
      <c r="O54" s="1733" t="str">
        <f t="shared" si="0"/>
        <v>——</v>
      </c>
    </row>
    <row r="55" spans="1:35" ht="24" customHeight="1">
      <c r="A55" s="3629" t="s">
        <v>2208</v>
      </c>
      <c r="B55" s="3611"/>
      <c r="C55" s="3611"/>
      <c r="D55" s="185" t="e">
        <f ca="1">IF(H55="个人住宅",0,ROUND(D45*I55,0))</f>
        <v>#REF!</v>
      </c>
      <c r="E55" s="11" t="s">
        <v>2209</v>
      </c>
      <c r="F55" s="184">
        <f>IF(H55="正常",I55,"免征")</f>
        <v>5.0000000000000001E-4</v>
      </c>
      <c r="G55" s="2456"/>
      <c r="H55" s="2453" t="s">
        <v>2210</v>
      </c>
      <c r="I55" s="186">
        <f>'数据-取费表'!B49</f>
        <v>5.0000000000000001E-4</v>
      </c>
      <c r="J55" s="1789" t="str">
        <f>IF(H59="非个人房产","",4)</f>
        <v/>
      </c>
      <c r="K55" s="3565" t="str">
        <f>IF(H59="非个人房产","——","个人所得税")</f>
        <v>——</v>
      </c>
      <c r="L55" s="3565"/>
      <c r="M55" s="1734" t="str">
        <f>D59</f>
        <v>——</v>
      </c>
      <c r="N55" s="1787" t="str">
        <f>E59</f>
        <v>——</v>
      </c>
      <c r="O55" s="1735" t="str">
        <f>F59</f>
        <v>——</v>
      </c>
    </row>
    <row r="56" spans="1:35" ht="24.75">
      <c r="A56" s="3629" t="s">
        <v>2211</v>
      </c>
      <c r="B56" s="3611"/>
      <c r="C56" s="3611"/>
      <c r="D56" s="185" t="e">
        <f ca="1">IF(H56="个人住宅",D57,D58)</f>
        <v>#REF!</v>
      </c>
      <c r="E56" s="11" t="s">
        <v>2212</v>
      </c>
      <c r="F56" s="184" t="str">
        <f>IF(H56="正常",F58,"免征")</f>
        <v>——</v>
      </c>
      <c r="G56" s="2458" t="s">
        <v>2213</v>
      </c>
      <c r="H56" s="2459" t="s">
        <v>2210</v>
      </c>
      <c r="I56" s="2460"/>
      <c r="J56" s="1789" t="str">
        <f>IF(项目基本情况!K6="上海银行",IF(J55="",4,J55+1),"")</f>
        <v/>
      </c>
      <c r="K56" s="3548" t="str">
        <f>IF(项目基本情况!K6="上海银行","其他处置费用","")</f>
        <v/>
      </c>
      <c r="L56" s="3549"/>
      <c r="M56" s="1731" t="str">
        <f>IF(项目基本情况!K6="上海银行",M69,"")</f>
        <v/>
      </c>
      <c r="N56" s="3551" t="str">
        <f>IF(项目基本情况!K6="上海银行","包含处置中涉及的律师、诉讼、拍卖、评估等费用","")</f>
        <v/>
      </c>
      <c r="O56" s="3552"/>
    </row>
    <row r="57" spans="1:35" ht="12.75">
      <c r="A57" s="183" t="s">
        <v>2186</v>
      </c>
      <c r="B57" s="3596" t="s">
        <v>2214</v>
      </c>
      <c r="C57" s="3597"/>
      <c r="D57" s="187">
        <v>0</v>
      </c>
      <c r="E57" s="23" t="s">
        <v>2188</v>
      </c>
      <c r="F57" s="155"/>
      <c r="G57" s="2456"/>
      <c r="H57" s="2460"/>
      <c r="I57" s="2460"/>
      <c r="J57" s="3565">
        <f>IF(AND(J55="",J56=""),4,IF(项目基本情况!K6="上海银行",结果表商!J56+1,结果表商!J55+1))</f>
        <v>4</v>
      </c>
      <c r="K57" s="3565" t="s">
        <v>2215</v>
      </c>
      <c r="L57" s="2461" t="s">
        <v>2216</v>
      </c>
      <c r="M57" s="1736"/>
      <c r="N57" s="1737">
        <f ca="1">SUMIF(M52:M56,"&lt;9e307")</f>
        <v>0</v>
      </c>
      <c r="O57" s="2462"/>
      <c r="P57" s="1730" t="e">
        <f ca="1">N57/M49</f>
        <v>#REF!</v>
      </c>
    </row>
    <row r="58" spans="1:35" ht="24.75">
      <c r="A58" s="183" t="s">
        <v>2197</v>
      </c>
      <c r="B58" s="3596" t="s">
        <v>2217</v>
      </c>
      <c r="C58" s="3609"/>
      <c r="D58" s="185" t="e">
        <f ca="1">IF(H58="转让取得",C81,C97)</f>
        <v>#REF!</v>
      </c>
      <c r="E58" s="11" t="s">
        <v>2212</v>
      </c>
      <c r="F58" s="24" t="s">
        <v>34</v>
      </c>
      <c r="G58" s="2456"/>
      <c r="H58" s="2459" t="s">
        <v>2218</v>
      </c>
      <c r="I58" s="2460"/>
      <c r="J58" s="3565"/>
      <c r="K58" s="3565"/>
      <c r="L58" s="2461" t="s">
        <v>2219</v>
      </c>
      <c r="M58" s="1738"/>
      <c r="N58" s="2463" t="str">
        <f ca="1">NUMBERSTRING(INT(N57*10000),2)&amp;"元整"</f>
        <v>零元整</v>
      </c>
      <c r="O58" s="2464"/>
    </row>
    <row r="59" spans="1:35" ht="24.75" thickBot="1">
      <c r="A59" s="3569" t="s">
        <v>2220</v>
      </c>
      <c r="B59" s="3570"/>
      <c r="C59" s="357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67">
        <f>J57+1</f>
        <v>5</v>
      </c>
      <c r="K59" s="3565" t="s">
        <v>2222</v>
      </c>
      <c r="L59" s="1789" t="s">
        <v>2216</v>
      </c>
      <c r="M59" s="1739"/>
      <c r="N59" s="1740" t="e">
        <f ca="1">M49-N57</f>
        <v>#REF!</v>
      </c>
      <c r="O59" s="2466"/>
    </row>
    <row r="60" spans="1:35" ht="12" customHeight="1">
      <c r="A60" s="2467"/>
      <c r="B60" s="2389"/>
      <c r="C60" s="2389"/>
      <c r="D60" s="2389"/>
      <c r="E60" s="2141"/>
      <c r="F60" s="2460"/>
      <c r="G60" s="2460"/>
      <c r="H60" s="2468"/>
      <c r="I60" s="138"/>
      <c r="J60" s="3568"/>
      <c r="K60" s="3565"/>
      <c r="L60" s="2461" t="s">
        <v>2219</v>
      </c>
      <c r="M60" s="1738"/>
      <c r="N60" s="2463" t="e">
        <f ca="1">NUMBERSTRING(INT(N59*10000),2)&amp;"元整"</f>
        <v>#REF!</v>
      </c>
      <c r="O60" s="2464"/>
    </row>
    <row r="61" spans="1:35" ht="13.5" thickBot="1">
      <c r="A61" s="3628" t="s">
        <v>2223</v>
      </c>
      <c r="B61" s="3628"/>
      <c r="C61" s="3628"/>
      <c r="D61" s="3628"/>
      <c r="E61" s="3628"/>
      <c r="F61" s="2460"/>
      <c r="G61" s="2460"/>
      <c r="H61" s="2468"/>
      <c r="I61" s="138"/>
      <c r="J61" s="1789">
        <f>J59+1</f>
        <v>6</v>
      </c>
      <c r="K61" s="3565" t="s">
        <v>2224</v>
      </c>
      <c r="L61" s="3565"/>
      <c r="M61" s="1741"/>
      <c r="N61" s="1742" t="e">
        <f ca="1">ROUND(N59*10000/'数据-汇总表'!E3,0)</f>
        <v>#REF!</v>
      </c>
      <c r="O61" s="2469"/>
    </row>
    <row r="62" spans="1:35" ht="12.75">
      <c r="A62" s="3585" t="s">
        <v>2225</v>
      </c>
      <c r="B62" s="3586"/>
      <c r="C62" s="1781"/>
      <c r="D62" s="1781" t="s">
        <v>2226</v>
      </c>
      <c r="E62" s="192" t="s">
        <v>2227</v>
      </c>
      <c r="F62" s="2460"/>
      <c r="G62" s="2460"/>
      <c r="H62" s="2468"/>
      <c r="I62" s="138"/>
    </row>
    <row r="63" spans="1:35" ht="12.75">
      <c r="A63" s="203" t="s">
        <v>775</v>
      </c>
      <c r="B63" s="193" t="s">
        <v>2228</v>
      </c>
      <c r="C63" s="194" t="e">
        <f ca="1">ROUND((C64+C65)/(1+'数据-取费表'!C42),0)</f>
        <v>#REF!</v>
      </c>
      <c r="D63" s="195"/>
      <c r="E63" s="196"/>
      <c r="F63" s="2460"/>
      <c r="G63" s="2460"/>
      <c r="H63" s="2468"/>
      <c r="I63" s="138"/>
      <c r="J63" s="3550" t="s">
        <v>2229</v>
      </c>
      <c r="K63" s="2470" t="s">
        <v>2230</v>
      </c>
      <c r="L63" s="1729" t="e">
        <f ca="1">IF(M49&gt;10000,M49*0.5%,IF(AND(M49&gt;1000,M49&lt;=10000),M49*1%,IF(AND(M49&gt;100,M49&lt;=1000),M49*3%,IF(AND(M49&gt;10,M49&lt;=100),M49*5%,M49*8%))))</f>
        <v>#REF!</v>
      </c>
      <c r="M63" s="24" t="e">
        <f ca="1">ROUND(L63,1)</f>
        <v>#REF!</v>
      </c>
      <c r="Z63" s="2394"/>
      <c r="AI63" s="2395"/>
    </row>
    <row r="64" spans="1:35" ht="14.25" customHeight="1">
      <c r="A64" s="197" t="s">
        <v>770</v>
      </c>
      <c r="B64" s="198" t="s">
        <v>2231</v>
      </c>
      <c r="C64" s="199" t="e">
        <f ca="1">D45</f>
        <v>#REF!</v>
      </c>
      <c r="D64" s="200" t="s">
        <v>32</v>
      </c>
      <c r="E64" s="201"/>
      <c r="F64" s="2460"/>
      <c r="G64" s="2460"/>
      <c r="H64" s="2468"/>
      <c r="I64" s="138"/>
      <c r="J64" s="3550"/>
      <c r="K64" s="2470" t="s">
        <v>2232</v>
      </c>
      <c r="L64" s="172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2233</v>
      </c>
      <c r="Z64" s="2394"/>
      <c r="AI64" s="2395"/>
    </row>
    <row r="65" spans="1:35" ht="14.25" customHeight="1">
      <c r="A65" s="197" t="s">
        <v>771</v>
      </c>
      <c r="B65" s="198" t="s">
        <v>2234</v>
      </c>
      <c r="C65" s="202"/>
      <c r="D65" s="200"/>
      <c r="E65" s="201"/>
      <c r="F65" s="2460"/>
      <c r="G65" s="2460"/>
      <c r="H65" s="2468"/>
      <c r="I65" s="138"/>
      <c r="J65" s="3550"/>
      <c r="K65" s="2470" t="s">
        <v>2235</v>
      </c>
      <c r="L65" s="1729" t="e">
        <f ca="1">IF(M49&gt;1000,M49*0.1%,IF(AND(M49&gt;500,M49&lt;=1000),M49*0.5%,IF(AND(M49&gt;50,M49&lt;=500),M49*1%,IF(AND(M49&gt;1,M49&lt;=50),M49*1.5%))))</f>
        <v>#REF!</v>
      </c>
      <c r="M65" s="24" t="e">
        <f t="shared" ca="1" si="1"/>
        <v>#REF!</v>
      </c>
      <c r="N65" s="138" t="s">
        <v>2233</v>
      </c>
      <c r="Z65" s="2394"/>
      <c r="AI65" s="2395"/>
    </row>
    <row r="66" spans="1:35" ht="14.25" customHeight="1">
      <c r="A66" s="203" t="s">
        <v>772</v>
      </c>
      <c r="B66" s="204" t="s">
        <v>2236</v>
      </c>
      <c r="C66" s="205"/>
      <c r="D66" s="206" t="s">
        <v>32</v>
      </c>
      <c r="E66" s="1753" t="s">
        <v>1360</v>
      </c>
      <c r="F66" s="2460"/>
      <c r="G66" s="2460"/>
      <c r="H66" s="2468"/>
      <c r="I66" s="138"/>
      <c r="J66" s="3550"/>
      <c r="K66" s="2470" t="s">
        <v>2237</v>
      </c>
      <c r="L66" s="1729" t="e">
        <f ca="1">M49*0.5%</f>
        <v>#REF!</v>
      </c>
      <c r="M66" s="24" t="e">
        <f ca="1">IF(L66&gt;0.5,0.5,ROUND(L66,0))</f>
        <v>#REF!</v>
      </c>
      <c r="N66" s="138" t="s">
        <v>2238</v>
      </c>
      <c r="Z66" s="2394"/>
      <c r="AI66" s="2395"/>
    </row>
    <row r="67" spans="1:35" ht="14.25" customHeight="1">
      <c r="A67" s="203" t="s">
        <v>773</v>
      </c>
      <c r="B67" s="204" t="s">
        <v>2239</v>
      </c>
      <c r="C67" s="207" t="e">
        <f ca="1">C63-C66</f>
        <v>#REF!</v>
      </c>
      <c r="D67" s="200" t="s">
        <v>32</v>
      </c>
      <c r="E67" s="201"/>
      <c r="F67" s="2460"/>
      <c r="G67" s="2460"/>
      <c r="H67" s="2468"/>
      <c r="I67" s="138"/>
      <c r="J67" s="3550"/>
      <c r="K67" s="2470" t="s">
        <v>2240</v>
      </c>
      <c r="L67" s="172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94"/>
      <c r="AI67" s="2395"/>
    </row>
    <row r="68" spans="1:35" ht="14.25" customHeight="1" thickBot="1">
      <c r="A68" s="208" t="s">
        <v>774</v>
      </c>
      <c r="B68" s="209" t="s">
        <v>2241</v>
      </c>
      <c r="C68" s="210" t="e">
        <f ca="1">IF(C67&lt;=0,0,ROUND(C67*D68,0))</f>
        <v>#REF!</v>
      </c>
      <c r="D68" s="211">
        <f>'数据-取费表'!B41</f>
        <v>5.6000000000000001E-2</v>
      </c>
      <c r="E68" s="212"/>
      <c r="F68" s="2460"/>
      <c r="G68" s="2460"/>
      <c r="H68" s="2468"/>
      <c r="I68" s="138"/>
      <c r="J68" s="3550"/>
      <c r="K68" s="2470" t="s">
        <v>2242</v>
      </c>
      <c r="L68" s="1729" t="e">
        <f ca="1">IF(M49&gt;10000,M49*0.5%,IF(AND(M49&gt;5000,M49&lt;=10000),M49*1%,IF(AND(M49&gt;1000,M49&lt;=5000),M49*2%,IF(AND(M49&gt;200,M49&lt;=1000),M49*3%,M49*5%))))</f>
        <v>#REF!</v>
      </c>
      <c r="M68" s="24" t="e">
        <f ca="1">ROUND(L68,1)</f>
        <v>#REF!</v>
      </c>
      <c r="Z68" s="2394"/>
      <c r="AI68" s="2395"/>
    </row>
    <row r="69" spans="1:35" s="2417" customFormat="1" ht="16.5" customHeight="1">
      <c r="A69" s="2471"/>
      <c r="B69" s="2472"/>
      <c r="C69" s="2473"/>
      <c r="D69" s="2474"/>
      <c r="E69" s="2475"/>
      <c r="F69" s="2141"/>
      <c r="G69" s="2141"/>
      <c r="H69" s="2140"/>
      <c r="I69" s="2389"/>
      <c r="J69" s="3550"/>
      <c r="K69" s="2470" t="s">
        <v>2243</v>
      </c>
      <c r="L69" s="2476"/>
      <c r="M69" s="24" t="e">
        <f ca="1">ROUND(SUM(M63:M68),0)</f>
        <v>#REF!</v>
      </c>
      <c r="N69" s="1730" t="e">
        <f ca="1">M69/M49</f>
        <v>#REF!</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4" t="s">
        <v>2244</v>
      </c>
      <c r="B70" s="3595"/>
      <c r="C70" s="3595"/>
      <c r="D70" s="3595"/>
      <c r="E70" s="3595"/>
      <c r="F70" s="3595"/>
      <c r="G70" s="3595"/>
      <c r="H70" s="359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85" t="s">
        <v>2225</v>
      </c>
      <c r="B71" s="3586"/>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#REF!</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#REF!</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91" t="s">
        <v>2253</v>
      </c>
      <c r="F76" s="3590"/>
      <c r="G76" s="3590"/>
      <c r="H76" s="359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#REF!</v>
      </c>
      <c r="D78" s="226">
        <f>'数据-取费表'!B43</f>
        <v>6.000000000000001E-3</v>
      </c>
      <c r="E78" s="3582" t="s">
        <v>2258</v>
      </c>
      <c r="F78" s="3583"/>
      <c r="G78" s="3583"/>
      <c r="H78" s="358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t="e">
        <f ca="1">C72-C73</f>
        <v>#REF!</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4" t="s">
        <v>2262</v>
      </c>
      <c r="B83" s="3595"/>
      <c r="C83" s="3595"/>
      <c r="D83" s="3595"/>
      <c r="E83" s="3595"/>
      <c r="F83" s="3595"/>
      <c r="G83" s="3595"/>
      <c r="H83" s="359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85" t="s">
        <v>2225</v>
      </c>
      <c r="B84" s="3586"/>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#REF!</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#REF!</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103731.33</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100661.33</v>
      </c>
      <c r="D88" s="226"/>
      <c r="E88" s="237" t="s">
        <v>2265</v>
      </c>
      <c r="F88" s="1777"/>
      <c r="G88" s="238" t="s">
        <v>2266</v>
      </c>
      <c r="H88" s="2488" t="s">
        <v>3675</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3070</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82" t="s">
        <v>2271</v>
      </c>
      <c r="F91" s="3583"/>
      <c r="G91" s="3583"/>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10373</v>
      </c>
      <c r="D92" s="226">
        <v>0.1</v>
      </c>
      <c r="E92" s="3582" t="s">
        <v>2275</v>
      </c>
      <c r="F92" s="3583"/>
      <c r="G92" s="3583"/>
      <c r="H92" s="358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#REF!</v>
      </c>
      <c r="D93" s="226">
        <f>'数据-取费表'!B43</f>
        <v>6.000000000000001E-3</v>
      </c>
      <c r="E93" s="3582" t="s">
        <v>2258</v>
      </c>
      <c r="F93" s="3583"/>
      <c r="G93" s="3583"/>
      <c r="H93" s="358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20746</v>
      </c>
      <c r="D94" s="226">
        <v>0.2</v>
      </c>
      <c r="E94" s="3630" t="s">
        <v>2279</v>
      </c>
      <c r="F94" s="3631"/>
      <c r="G94" s="3631"/>
      <c r="H94" s="363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t="e">
        <f ca="1">ROUND(C85-C86,0)</f>
        <v>#REF!</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66"/>
      <c r="E100" s="3527" t="s">
        <v>2282</v>
      </c>
      <c r="F100" s="3527"/>
      <c r="G100" s="3527"/>
      <c r="H100" s="3566"/>
      <c r="I100" s="138"/>
    </row>
    <row r="101" spans="1:35" ht="18.75" customHeight="1">
      <c r="A101" s="3574" t="s">
        <v>2283</v>
      </c>
      <c r="B101" s="3575"/>
      <c r="C101" s="732" t="str">
        <f>C4</f>
        <v>成本法商业</v>
      </c>
      <c r="D101" s="733" t="str">
        <f>D4</f>
        <v>收益法商（汇总）</v>
      </c>
      <c r="E101" s="3546" t="s">
        <v>2284</v>
      </c>
      <c r="F101" s="3547"/>
      <c r="G101" s="2491" t="s">
        <v>2285</v>
      </c>
      <c r="H101" s="1035" t="e">
        <f ca="1">H118</f>
        <v>#REF!</v>
      </c>
      <c r="I101" s="138"/>
    </row>
    <row r="102" spans="1:35" ht="18.75" customHeight="1">
      <c r="A102" s="3576" t="s">
        <v>2286</v>
      </c>
      <c r="B102" s="2491" t="s">
        <v>2285</v>
      </c>
      <c r="C102" s="732" t="e">
        <f ca="1">C19</f>
        <v>#REF!</v>
      </c>
      <c r="D102" s="733">
        <f ca="1">D19</f>
        <v>0</v>
      </c>
      <c r="E102" s="3546"/>
      <c r="F102" s="3547"/>
      <c r="G102" s="2491" t="s">
        <v>2287</v>
      </c>
      <c r="H102" s="371" t="e">
        <f ca="1">I118</f>
        <v>#REF!</v>
      </c>
      <c r="I102" s="138"/>
    </row>
    <row r="103" spans="1:35" ht="42.75" customHeight="1">
      <c r="A103" s="3576"/>
      <c r="B103" s="2491" t="s">
        <v>2287</v>
      </c>
      <c r="C103" s="734" t="e">
        <f ca="1">C20</f>
        <v>#REF!</v>
      </c>
      <c r="D103" s="735" t="e">
        <f ca="1">D20</f>
        <v>#DIV/0!</v>
      </c>
      <c r="E103" s="3540" t="s">
        <v>2288</v>
      </c>
      <c r="F103" s="3541"/>
      <c r="G103" s="2492" t="s">
        <v>2289</v>
      </c>
      <c r="H103" s="1035">
        <f>IF(D36="正常操作",H104+H105+H106,H105+H106)</f>
        <v>0</v>
      </c>
      <c r="I103" s="138"/>
    </row>
    <row r="104" spans="1:35" ht="18.75" customHeight="1">
      <c r="A104" s="3576" t="s">
        <v>2290</v>
      </c>
      <c r="B104" s="2493" t="s">
        <v>2285</v>
      </c>
      <c r="C104" s="736" t="e">
        <f ca="1">H118</f>
        <v>#REF!</v>
      </c>
      <c r="D104" s="737"/>
      <c r="E104" s="2241" t="s">
        <v>2291</v>
      </c>
      <c r="F104" s="2233"/>
      <c r="G104" s="2492" t="s">
        <v>2289</v>
      </c>
      <c r="H104" s="1036">
        <f>IF(D36="同一抵押权人同一抵押物续贷",C36&amp;"（未扣减，详见特别提示）",C36)</f>
        <v>0</v>
      </c>
      <c r="I104" s="138"/>
    </row>
    <row r="105" spans="1:35" ht="18.75" customHeight="1" thickBot="1">
      <c r="A105" s="3588"/>
      <c r="B105" s="2494" t="s">
        <v>2287</v>
      </c>
      <c r="C105" s="738" t="e">
        <f ca="1">I118</f>
        <v>#REF!</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7" t="str">
        <f>IF(项目基本情况!E8="已注销","——","3.房地产抵押价值")</f>
        <v>3.房地产抵押价值</v>
      </c>
      <c r="F107" s="3547"/>
      <c r="G107" s="2491" t="s">
        <v>2285</v>
      </c>
      <c r="H107" s="1035" t="e">
        <f ca="1">IF(E107="——","——",H101-H103)</f>
        <v>#REF!</v>
      </c>
      <c r="I107" s="138"/>
    </row>
    <row r="108" spans="1:35" ht="18.75" customHeight="1">
      <c r="A108" s="138"/>
      <c r="B108" s="138"/>
      <c r="C108" s="138"/>
      <c r="D108" s="138"/>
      <c r="E108" s="3577"/>
      <c r="F108" s="3547"/>
      <c r="G108" s="2491" t="s">
        <v>2287</v>
      </c>
      <c r="H108" s="371" t="e">
        <f ca="1">ROUND(H107*10000/'数据-汇总表'!E3,0)</f>
        <v>#REF!</v>
      </c>
      <c r="I108" s="138"/>
    </row>
    <row r="109" spans="1:35" ht="18.75" customHeight="1">
      <c r="A109" s="138"/>
      <c r="B109" s="138"/>
      <c r="C109" s="138"/>
      <c r="D109" s="138"/>
      <c r="E109" s="3577" t="str">
        <f>IF(项目基本情况!E8="已注销及未注销","4.抵押担保权已注销时的房地产抵押价值",IF(项目基本情况!E8="已注销","3.抵押担保权已注销时的房地产抵押价值","——"))</f>
        <v>——</v>
      </c>
      <c r="F109" s="3547"/>
      <c r="G109" s="2491" t="s">
        <v>2285</v>
      </c>
      <c r="H109" s="348" t="str">
        <f>IF(E109="——","——",H101-H105-H106)</f>
        <v>——</v>
      </c>
      <c r="I109" s="138"/>
    </row>
    <row r="110" spans="1:35" ht="18.75" customHeight="1">
      <c r="A110" s="138"/>
      <c r="B110" s="138"/>
      <c r="C110" s="138"/>
      <c r="D110" s="138"/>
      <c r="E110" s="3577"/>
      <c r="F110" s="3547"/>
      <c r="G110" s="2491" t="s">
        <v>2287</v>
      </c>
      <c r="H110" s="371" t="str">
        <f>IF(H109="——","——",ROUND(H109*10000/'数据-汇总表'!E3,0))</f>
        <v>——</v>
      </c>
      <c r="I110" s="138"/>
    </row>
    <row r="111" spans="1:35" ht="18.75" customHeight="1">
      <c r="A111" s="138"/>
      <c r="B111" s="138"/>
      <c r="C111" s="138"/>
      <c r="D111" s="138"/>
      <c r="E111" s="3578" t="str">
        <f>IF(项目基本情况!E9="抵押净值",IF(OR(项目基本情况!E8="已注销",项目基本情况!E8="房地产抵押价值"),"4.抵押净值","5.抵押净值"),"——")</f>
        <v>——</v>
      </c>
      <c r="F111" s="3579"/>
      <c r="G111" s="2491" t="s">
        <v>2285</v>
      </c>
      <c r="H111" s="1035" t="str">
        <f>IF(E111="——","——",N59)</f>
        <v>——</v>
      </c>
      <c r="I111" s="138"/>
    </row>
    <row r="112" spans="1:35" ht="18.75" customHeight="1" thickBot="1">
      <c r="A112" s="138"/>
      <c r="B112" s="138"/>
      <c r="C112" s="138"/>
      <c r="D112" s="138"/>
      <c r="E112" s="3580"/>
      <c r="F112" s="3581"/>
      <c r="G112" s="2496" t="s">
        <v>2287</v>
      </c>
      <c r="H112" s="785" t="str">
        <f>IF(E111="——","——",N61)</f>
        <v>——</v>
      </c>
      <c r="I112" s="138"/>
    </row>
    <row r="113" spans="1:11" ht="18.75" customHeight="1">
      <c r="A113" s="138"/>
      <c r="B113" s="138"/>
      <c r="C113" s="138"/>
      <c r="D113" s="138"/>
      <c r="E113" s="3589" t="s">
        <v>2293</v>
      </c>
      <c r="F113" s="3589"/>
      <c r="G113" s="3589"/>
      <c r="H113" s="3589"/>
      <c r="I113" s="138"/>
    </row>
    <row r="114" spans="1:11" ht="3.75" customHeight="1">
      <c r="A114" s="2389"/>
      <c r="B114" s="2389"/>
      <c r="C114" s="2389"/>
      <c r="D114" s="2389"/>
      <c r="E114" s="2467"/>
      <c r="F114" s="2467"/>
      <c r="G114" s="2467"/>
      <c r="H114" s="2467"/>
      <c r="I114" s="2389"/>
    </row>
    <row r="115" spans="1:11" ht="18.75" customHeight="1">
      <c r="A115" s="3602" t="s">
        <v>2295</v>
      </c>
      <c r="B115" s="3603"/>
      <c r="C115" s="3603"/>
      <c r="D115" s="3603"/>
      <c r="E115" s="3603"/>
      <c r="F115" s="3603"/>
      <c r="G115" s="3603"/>
      <c r="H115" s="3603"/>
      <c r="I115" s="3604"/>
    </row>
    <row r="116" spans="1:11" ht="27" customHeight="1">
      <c r="A116" s="3504" t="s">
        <v>2296</v>
      </c>
      <c r="B116" s="3556" t="s">
        <v>2297</v>
      </c>
      <c r="C116" s="3556" t="s">
        <v>2298</v>
      </c>
      <c r="D116" s="3562" t="s">
        <v>2299</v>
      </c>
      <c r="E116" s="3563"/>
      <c r="F116" s="3598" t="s">
        <v>2300</v>
      </c>
      <c r="G116" s="3598"/>
      <c r="H116" s="3504" t="s">
        <v>2301</v>
      </c>
      <c r="I116" s="3504"/>
    </row>
    <row r="117" spans="1:11" ht="18.75" customHeight="1">
      <c r="A117" s="3504"/>
      <c r="B117" s="3557"/>
      <c r="C117" s="3557"/>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0</v>
      </c>
      <c r="C118" s="1775">
        <f>M19</f>
        <v>0</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t="e">
        <f ca="1">ROUND(IF(D32="总价",C32,I118*B118/10000),0)</f>
        <v>#REF!</v>
      </c>
      <c r="I118" s="1775" t="e">
        <f ca="1">ROUND(IF(D32="楼面单价",C32,H118*10000/B118),0)</f>
        <v>#REF!</v>
      </c>
    </row>
    <row r="119" spans="1:11" ht="18.75" customHeight="1">
      <c r="A119" s="3504" t="s">
        <v>2305</v>
      </c>
      <c r="B119" s="3504"/>
      <c r="C119" s="3504"/>
      <c r="D119" s="3558" t="e">
        <f ca="1">NUMBERSTRING(INT(D118*10000),2)&amp;"元整"</f>
        <v>#REF!</v>
      </c>
      <c r="E119" s="3559"/>
      <c r="F119" s="3558" t="e">
        <f ca="1">NUMBERSTRING(INT(F118*10000),2)&amp;"元整"</f>
        <v>#REF!</v>
      </c>
      <c r="G119" s="3559"/>
      <c r="H119" s="3558" t="e">
        <f ca="1">NUMBERSTRING(INT(H118*10000),2)&amp;"元整"</f>
        <v>#REF!</v>
      </c>
      <c r="I119" s="3559"/>
    </row>
    <row r="120" spans="1:11" ht="18.75" customHeight="1">
      <c r="A120" s="3553" t="str">
        <f>IF(项目基本情况!B9="房地产市场价值","",MID(E103,3,LEN(E103)-2))</f>
        <v>估价师知悉的法定优先受偿款</v>
      </c>
      <c r="B120" s="3554"/>
      <c r="C120" s="3555"/>
      <c r="D120" s="3553">
        <f>H103</f>
        <v>0</v>
      </c>
      <c r="E120" s="3554"/>
      <c r="F120" s="3554"/>
      <c r="G120" s="3554"/>
      <c r="H120" s="3554"/>
      <c r="I120" s="3555"/>
      <c r="K120" s="2394" t="str">
        <f>IF(D120=0,"故，本次评估不存在"&amp;A120,"故，本次评估"&amp;A120&amp;"为人民币"&amp;D120&amp;"万元整。")</f>
        <v>故，本次评估不存在估价师知悉的法定优先受偿款</v>
      </c>
    </row>
    <row r="121" spans="1:11" ht="18.75" customHeight="1">
      <c r="A121" s="3599" t="s">
        <v>2305</v>
      </c>
      <c r="B121" s="3600"/>
      <c r="C121" s="3601"/>
      <c r="D121" s="3558" t="str">
        <f>IF(D120=0,"零元整",NUMBERSTRING(INT(D120*10000),2)&amp;"元整")</f>
        <v>零元整</v>
      </c>
      <c r="E121" s="3560"/>
      <c r="F121" s="3560"/>
      <c r="G121" s="3560"/>
      <c r="H121" s="3560"/>
      <c r="I121" s="3559"/>
    </row>
    <row r="122" spans="1:11" ht="18.75" customHeight="1">
      <c r="A122" s="3564" t="str">
        <f>IF(项目基本情况!B9="房地产市场价值","",MID(E107,3,LEN(E107)-2))</f>
        <v>房地产抵押价值</v>
      </c>
      <c r="B122" s="3564"/>
      <c r="C122" s="3564"/>
      <c r="D122" s="3553" t="e">
        <f ca="1">H107</f>
        <v>#REF!</v>
      </c>
      <c r="E122" s="3554"/>
      <c r="F122" s="3554"/>
      <c r="G122" s="3554"/>
      <c r="H122" s="3554"/>
      <c r="I122" s="3555"/>
    </row>
    <row r="123" spans="1:11" ht="18.75" customHeight="1">
      <c r="A123" s="3504" t="s">
        <v>2305</v>
      </c>
      <c r="B123" s="3504"/>
      <c r="C123" s="3504"/>
      <c r="D123" s="3558" t="e">
        <f ca="1">NUMBERSTRING(INT(D122*10000),2)&amp;"元整"</f>
        <v>#REF!</v>
      </c>
      <c r="E123" s="3560"/>
      <c r="F123" s="3560"/>
      <c r="G123" s="3560"/>
      <c r="H123" s="3560"/>
      <c r="I123" s="3559"/>
    </row>
    <row r="124" spans="1:11" ht="18.75" customHeight="1">
      <c r="A124" s="3564" t="str">
        <f>IF(项目基本情况!B9="房地产市场价值","",MID(E109,3,LEN(E109)-2))</f>
        <v/>
      </c>
      <c r="B124" s="3564"/>
      <c r="C124" s="3564"/>
      <c r="D124" s="3553" t="str">
        <f>H109</f>
        <v>——</v>
      </c>
      <c r="E124" s="3554"/>
      <c r="F124" s="3554"/>
      <c r="G124" s="3554"/>
      <c r="H124" s="3554"/>
      <c r="I124" s="3555"/>
    </row>
    <row r="125" spans="1:11" ht="18.75" customHeight="1">
      <c r="A125" s="3504" t="s">
        <v>2305</v>
      </c>
      <c r="B125" s="3504"/>
      <c r="C125" s="3504"/>
      <c r="D125" s="3558" t="e">
        <f>NUMBERSTRING(INT(D124*10000),2)&amp;"元整"</f>
        <v>#VALUE!</v>
      </c>
      <c r="E125" s="3560"/>
      <c r="F125" s="3560"/>
      <c r="G125" s="3560"/>
      <c r="H125" s="3560"/>
      <c r="I125" s="3559"/>
    </row>
    <row r="126" spans="1:11" ht="18.75" customHeight="1">
      <c r="A126" s="3564" t="str">
        <f>IF(项目基本情况!B9="房地产市场价值","",MID(E111,3,LEN(E111)-2))</f>
        <v/>
      </c>
      <c r="B126" s="3564"/>
      <c r="C126" s="3564"/>
      <c r="D126" s="3553" t="str">
        <f>H111</f>
        <v>——</v>
      </c>
      <c r="E126" s="3554"/>
      <c r="F126" s="3554"/>
      <c r="G126" s="3554"/>
      <c r="H126" s="3554"/>
      <c r="I126" s="3555"/>
    </row>
    <row r="127" spans="1:11" ht="18.75" customHeight="1">
      <c r="A127" s="3504" t="s">
        <v>2305</v>
      </c>
      <c r="B127" s="3504"/>
      <c r="C127" s="3504"/>
      <c r="D127" s="3558" t="e">
        <f>NUMBERSTRING(INT(D126*10000),2)&amp;"元整"</f>
        <v>#VALUE!</v>
      </c>
      <c r="E127" s="3560"/>
      <c r="F127" s="3560"/>
      <c r="G127" s="3560"/>
      <c r="H127" s="3560"/>
      <c r="I127" s="3559"/>
    </row>
    <row r="128" spans="1:11" ht="21.75" customHeight="1">
      <c r="A128" s="3561" t="s">
        <v>2306</v>
      </c>
      <c r="B128" s="3561"/>
      <c r="C128" s="3561"/>
      <c r="D128" s="3561"/>
      <c r="E128" s="3561"/>
      <c r="F128" s="3561"/>
      <c r="G128" s="3561"/>
      <c r="H128" s="3561"/>
      <c r="I128" s="356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9" sqref="C19"/>
    </sheetView>
  </sheetViews>
  <sheetFormatPr defaultRowHeight="13.5"/>
  <cols>
    <col min="1" max="1" width="38.5" customWidth="1"/>
    <col min="3" max="3" width="14" customWidth="1"/>
  </cols>
  <sheetData>
    <row r="1" spans="1:14" s="1615" customFormat="1">
      <c r="A1" s="1615" t="s">
        <v>3590</v>
      </c>
      <c r="B1" s="1615" t="s">
        <v>3591</v>
      </c>
      <c r="C1" s="1615" t="s">
        <v>3592</v>
      </c>
      <c r="D1" s="1615" t="s">
        <v>3593</v>
      </c>
      <c r="E1" s="1615" t="s">
        <v>3594</v>
      </c>
      <c r="F1" s="1615" t="s">
        <v>3595</v>
      </c>
      <c r="G1" s="1615" t="s">
        <v>3596</v>
      </c>
      <c r="H1" s="1615" t="s">
        <v>3597</v>
      </c>
      <c r="I1" s="1615" t="s">
        <v>3598</v>
      </c>
      <c r="J1" s="1615" t="s">
        <v>3599</v>
      </c>
      <c r="K1" s="1615" t="s">
        <v>3600</v>
      </c>
      <c r="L1" s="1615" t="s">
        <v>3601</v>
      </c>
      <c r="M1" s="1615" t="s">
        <v>3602</v>
      </c>
      <c r="N1" s="1615" t="s">
        <v>3603</v>
      </c>
    </row>
    <row r="2" spans="1:14" s="1615" customFormat="1">
      <c r="A2" s="1615" t="s">
        <v>3604</v>
      </c>
      <c r="B2" s="1615" t="s">
        <v>3033</v>
      </c>
      <c r="C2" s="1615" t="s">
        <v>3605</v>
      </c>
      <c r="D2" s="1615">
        <v>138746.29999999999</v>
      </c>
      <c r="E2" s="1615">
        <v>486596</v>
      </c>
      <c r="F2" s="1615">
        <v>3.51</v>
      </c>
      <c r="G2" s="1615" t="s">
        <v>3606</v>
      </c>
      <c r="H2" s="1615" t="s">
        <v>3607</v>
      </c>
      <c r="I2" s="1615">
        <v>866300</v>
      </c>
      <c r="J2" s="1615">
        <v>866300</v>
      </c>
      <c r="K2" s="1615">
        <v>17803.27</v>
      </c>
      <c r="L2" s="1615">
        <v>0</v>
      </c>
      <c r="M2" s="1615" t="s">
        <v>3608</v>
      </c>
      <c r="N2" s="1615" t="s">
        <v>3609</v>
      </c>
    </row>
    <row r="3" spans="1:14" s="3370" customFormat="1">
      <c r="A3" s="3370" t="s">
        <v>3610</v>
      </c>
      <c r="B3" s="3370" t="s">
        <v>3033</v>
      </c>
      <c r="C3" s="3370" t="s">
        <v>3605</v>
      </c>
      <c r="D3" s="3370">
        <v>39744.120000000003</v>
      </c>
      <c r="E3" s="3370">
        <v>119232</v>
      </c>
      <c r="F3" s="3370">
        <v>3</v>
      </c>
      <c r="G3" s="3370" t="s">
        <v>3606</v>
      </c>
      <c r="H3" s="3370" t="s">
        <v>3611</v>
      </c>
      <c r="I3" s="3370">
        <v>227000</v>
      </c>
      <c r="J3" s="3370">
        <v>292000</v>
      </c>
      <c r="K3" s="3370">
        <v>24490.06</v>
      </c>
      <c r="L3" s="3370">
        <v>28.63</v>
      </c>
      <c r="M3" s="3370" t="s">
        <v>3612</v>
      </c>
      <c r="N3" s="3370" t="s">
        <v>3613</v>
      </c>
    </row>
    <row r="4" spans="1:14" s="1615" customFormat="1">
      <c r="A4" s="1615" t="s">
        <v>3614</v>
      </c>
      <c r="B4" s="1615" t="s">
        <v>3033</v>
      </c>
      <c r="C4" s="1615" t="s">
        <v>3605</v>
      </c>
      <c r="D4" s="1615">
        <v>92055.95</v>
      </c>
      <c r="E4" s="1615">
        <v>92056</v>
      </c>
      <c r="F4" s="1615">
        <v>1</v>
      </c>
      <c r="G4" s="1615" t="s">
        <v>3615</v>
      </c>
      <c r="H4" s="1615" t="s">
        <v>3616</v>
      </c>
      <c r="I4" s="1615" t="s">
        <v>1320</v>
      </c>
      <c r="J4" s="1615">
        <v>285373.59000000003</v>
      </c>
      <c r="K4" s="1615">
        <v>31000</v>
      </c>
      <c r="L4" s="1615" t="s">
        <v>1320</v>
      </c>
      <c r="M4" s="1615" t="s">
        <v>3617</v>
      </c>
      <c r="N4" s="1615" t="s">
        <v>3613</v>
      </c>
    </row>
    <row r="5" spans="1:14" s="3370" customFormat="1">
      <c r="A5" s="3370" t="s">
        <v>3618</v>
      </c>
      <c r="B5" s="3370" t="s">
        <v>3033</v>
      </c>
      <c r="C5" s="3370" t="s">
        <v>3605</v>
      </c>
      <c r="D5" s="3370">
        <v>46165.91</v>
      </c>
      <c r="E5" s="3370">
        <v>92332</v>
      </c>
      <c r="F5" s="3370">
        <v>2</v>
      </c>
      <c r="G5" s="3370" t="s">
        <v>3606</v>
      </c>
      <c r="H5" s="3370" t="s">
        <v>3619</v>
      </c>
      <c r="I5" s="3370">
        <v>176000</v>
      </c>
      <c r="J5" s="3370">
        <v>225000</v>
      </c>
      <c r="K5" s="3370">
        <v>24368.58</v>
      </c>
      <c r="L5" s="3370">
        <v>27.84</v>
      </c>
      <c r="M5" s="3370" t="s">
        <v>3620</v>
      </c>
      <c r="N5" s="3370" t="s">
        <v>3613</v>
      </c>
    </row>
    <row r="6" spans="1:14" s="3370" customFormat="1">
      <c r="A6" s="3370" t="s">
        <v>3621</v>
      </c>
      <c r="B6" s="3370" t="s">
        <v>3033</v>
      </c>
      <c r="C6" s="3370" t="s">
        <v>3605</v>
      </c>
      <c r="D6" s="3370">
        <v>38100</v>
      </c>
      <c r="E6" s="3370">
        <v>76200</v>
      </c>
      <c r="F6" s="3370">
        <v>2</v>
      </c>
      <c r="G6" s="3370" t="s">
        <v>3606</v>
      </c>
      <c r="H6" s="3370" t="s">
        <v>3619</v>
      </c>
      <c r="I6" s="3370">
        <v>145000</v>
      </c>
      <c r="J6" s="3370">
        <v>204000</v>
      </c>
      <c r="K6" s="3370">
        <v>26771.65</v>
      </c>
      <c r="L6" s="3370">
        <v>40.69</v>
      </c>
      <c r="M6" s="3370" t="s">
        <v>3622</v>
      </c>
      <c r="N6" s="3370" t="s">
        <v>3613</v>
      </c>
    </row>
  </sheetData>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3680</v>
      </c>
      <c r="C1" s="242"/>
      <c r="D1" s="242"/>
      <c r="E1" s="242"/>
      <c r="F1" s="242"/>
      <c r="G1" s="1361">
        <f>MATCH(B1,'数据-取费表'!A6:A16,0)+5</f>
        <v>6</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ROUND('土地比较法-住宅、综合'!B56*'数据-汇总表'!F19/10000,0)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3628</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33" t="s">
        <v>2397</v>
      </c>
    </row>
    <row r="43" spans="1:7" ht="13.5" customHeight="1">
      <c r="A43" s="941" t="s">
        <v>792</v>
      </c>
      <c r="B43" s="259" t="s">
        <v>2398</v>
      </c>
      <c r="C43" s="282">
        <f ca="1">ROUND(IF('数据-取费表'!B22&lt;=1,C39*F22*'数据-取费表'!B21/2,C39*(POWER((1+F22),'数据-取费表'!B21/2)-1)),0)</f>
        <v>0</v>
      </c>
      <c r="D43" s="282"/>
      <c r="E43" s="282"/>
      <c r="F43" s="283"/>
      <c r="G43" s="3634"/>
    </row>
    <row r="44" spans="1:7" ht="13.5" customHeight="1">
      <c r="A44" s="941" t="s">
        <v>793</v>
      </c>
      <c r="B44" s="259" t="s">
        <v>2399</v>
      </c>
      <c r="C44" s="282">
        <f ca="1">ROUND(IF('数据-取费表'!B22&lt;=1,C40*F22*'数据-取费表'!B21/2,C40*(POWER((1+F22),'数据-取费表'!B21/2)-1)),4)</f>
        <v>1E-3</v>
      </c>
      <c r="D44" s="282"/>
      <c r="E44" s="282"/>
      <c r="F44" s="283"/>
      <c r="G44" s="3635"/>
    </row>
    <row r="45" spans="1:7" s="258" customFormat="1" ht="13.5" customHeight="1">
      <c r="A45" s="299" t="s">
        <v>2400</v>
      </c>
      <c r="B45" s="288" t="s">
        <v>2366</v>
      </c>
      <c r="C45" s="289">
        <f ca="1">C46</f>
        <v>0</v>
      </c>
      <c r="D45" s="279">
        <f ca="1">C47</f>
        <v>5.0000000000000001E-3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3049</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t="e">
        <f>IF(C2="——",ROUND(C49*D3/10000,0),ROUND(C49*D3/10000,0)-D2)</f>
        <v>#DIV/0!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t="e">
        <f>IF(C2="——",C49,ROUND(B2*10000/D3,0))</f>
        <v>#DIV/0!</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42" t="s">
        <v>2635</v>
      </c>
      <c r="S4" s="3643"/>
      <c r="T4" s="3642" t="s">
        <v>2636</v>
      </c>
      <c r="U4" s="3643"/>
      <c r="V4" s="3639" t="s">
        <v>2637</v>
      </c>
      <c r="W4" s="3639"/>
      <c r="X4" s="1793"/>
      <c r="Y4" s="3642" t="s">
        <v>2639</v>
      </c>
      <c r="Z4" s="3643"/>
      <c r="AA4" s="3636" t="s">
        <v>2635</v>
      </c>
      <c r="AB4" s="3639" t="s">
        <v>2636</v>
      </c>
      <c r="AC4" s="3636" t="s">
        <v>2637</v>
      </c>
    </row>
    <row r="5" spans="1:29" ht="15">
      <c r="A5" s="403"/>
      <c r="B5" s="404"/>
      <c r="C5" s="3648" t="s">
        <v>3433</v>
      </c>
      <c r="D5" s="3649"/>
      <c r="E5" s="3646" t="s">
        <v>3443</v>
      </c>
      <c r="F5" s="3647"/>
      <c r="G5" s="3648" t="s">
        <v>3435</v>
      </c>
      <c r="H5" s="3649"/>
      <c r="I5" s="3648" t="s">
        <v>3436</v>
      </c>
      <c r="J5" s="3649"/>
      <c r="K5" s="609"/>
      <c r="L5" s="1113"/>
      <c r="M5" s="1114"/>
      <c r="N5" s="1114"/>
      <c r="O5" s="1114"/>
      <c r="P5" s="3661"/>
      <c r="Q5" s="3662"/>
      <c r="R5" s="3644"/>
      <c r="S5" s="3645"/>
      <c r="T5" s="3644"/>
      <c r="U5" s="3645"/>
      <c r="V5" s="3639"/>
      <c r="W5" s="3639"/>
      <c r="X5" s="1793"/>
      <c r="Y5" s="3644"/>
      <c r="Z5" s="3645"/>
      <c r="AA5" s="3637"/>
      <c r="AB5" s="3639"/>
      <c r="AC5" s="3637"/>
    </row>
    <row r="6" spans="1:29" ht="15.75" thickBot="1">
      <c r="A6" s="405"/>
      <c r="B6" s="406"/>
      <c r="C6" s="3650" t="s">
        <v>2534</v>
      </c>
      <c r="D6" s="3651"/>
      <c r="E6" s="3652" t="s">
        <v>2534</v>
      </c>
      <c r="F6" s="3653"/>
      <c r="G6" s="3650" t="s">
        <v>2534</v>
      </c>
      <c r="H6" s="3651"/>
      <c r="I6" s="3650" t="s">
        <v>2534</v>
      </c>
      <c r="J6" s="3651"/>
      <c r="K6" s="609" t="s">
        <v>2535</v>
      </c>
      <c r="L6" s="1113"/>
      <c r="M6" s="1114"/>
      <c r="N6" s="1114"/>
      <c r="O6" s="1114"/>
      <c r="P6" s="3663"/>
      <c r="Q6" s="3664"/>
      <c r="R6" s="3644"/>
      <c r="S6" s="3645"/>
      <c r="T6" s="3665"/>
      <c r="U6" s="3666"/>
      <c r="V6" s="3639"/>
      <c r="W6" s="3639"/>
      <c r="X6" s="1793"/>
      <c r="Y6" s="3665"/>
      <c r="Z6" s="3666"/>
      <c r="AA6" s="3638"/>
      <c r="AB6" s="3639"/>
      <c r="AC6" s="3638"/>
    </row>
    <row r="7" spans="1:29" s="117" customFormat="1" ht="15.75" thickBot="1">
      <c r="A7" s="407" t="s">
        <v>2536</v>
      </c>
      <c r="B7" s="408"/>
      <c r="C7" s="409">
        <f>'数据-取费表'!B2</f>
        <v>43983</v>
      </c>
      <c r="D7" s="410">
        <v>100</v>
      </c>
      <c r="E7" s="411">
        <v>43820</v>
      </c>
      <c r="F7" s="412">
        <f>SUMIF(58:58,YEAR(E7)&amp;"-"&amp;MONTH(E7),59:59)</f>
        <v>0</v>
      </c>
      <c r="G7" s="411">
        <v>43823</v>
      </c>
      <c r="H7" s="410">
        <f>SUMIF(58:58,YEAR(G7)&amp;"-"&amp;MONTH(G7),59:59)</f>
        <v>0</v>
      </c>
      <c r="I7" s="411">
        <v>43780</v>
      </c>
      <c r="J7" s="410">
        <f>SUMIF(58:58,YEAR(I7)&amp;"-"&amp;MONTH(I7),59:59)</f>
        <v>0</v>
      </c>
      <c r="K7" s="610"/>
      <c r="L7" s="1115"/>
      <c r="M7" s="1116"/>
      <c r="N7" s="1116"/>
      <c r="O7" s="1116"/>
      <c r="P7" s="3640" t="s">
        <v>2537</v>
      </c>
      <c r="Q7" s="3667"/>
      <c r="R7" s="766" t="s">
        <v>17</v>
      </c>
      <c r="S7" s="767">
        <f t="shared" ref="S7:S15" si="0">F7</f>
        <v>0</v>
      </c>
      <c r="T7" s="766" t="s">
        <v>17</v>
      </c>
      <c r="U7" s="767">
        <f t="shared" ref="U7:U15" si="1">H7</f>
        <v>0</v>
      </c>
      <c r="V7" s="766" t="s">
        <v>17</v>
      </c>
      <c r="W7" s="767">
        <f t="shared" ref="W7:W15" si="2">J7</f>
        <v>0</v>
      </c>
      <c r="X7" s="768"/>
      <c r="Y7" s="3640" t="s">
        <v>2537</v>
      </c>
      <c r="Z7" s="3641"/>
      <c r="AA7" s="769" t="e">
        <f>D7/F7</f>
        <v>#DIV/0!</v>
      </c>
      <c r="AB7" s="769" t="e">
        <f>D7/H7</f>
        <v>#DIV/0!</v>
      </c>
      <c r="AC7" s="769" t="e">
        <f>D7/J7</f>
        <v>#DIV/0!</v>
      </c>
    </row>
    <row r="8" spans="1:29" s="117" customFormat="1" ht="15.75" thickBot="1">
      <c r="A8" s="407" t="s">
        <v>2538</v>
      </c>
      <c r="B8" s="408"/>
      <c r="C8" s="413" t="s">
        <v>2640</v>
      </c>
      <c r="D8" s="410">
        <v>100</v>
      </c>
      <c r="E8" s="413" t="s">
        <v>3051</v>
      </c>
      <c r="F8" s="412">
        <f>SUMIF(61:61,E8,62:62)-SUMIF(61:61,C8,62:62)+100</f>
        <v>100</v>
      </c>
      <c r="G8" s="413" t="s">
        <v>3051</v>
      </c>
      <c r="H8" s="410">
        <f>SUMIF(61:61,G8,62:62)-SUMIF(61:61,C8,62:62)+100</f>
        <v>100</v>
      </c>
      <c r="I8" s="413" t="s">
        <v>3051</v>
      </c>
      <c r="J8" s="410">
        <f>SUMIF(61:61,I8,62:62)-SUMIF(61:61,C8,62:62)+100</f>
        <v>100</v>
      </c>
      <c r="K8" s="610"/>
      <c r="L8" s="1115"/>
      <c r="M8" s="1116"/>
      <c r="N8" s="1116"/>
      <c r="O8" s="1116"/>
      <c r="P8" s="3640" t="s">
        <v>2540</v>
      </c>
      <c r="Q8" s="3641"/>
      <c r="R8" s="766" t="s">
        <v>17</v>
      </c>
      <c r="S8" s="767">
        <f t="shared" si="0"/>
        <v>100</v>
      </c>
      <c r="T8" s="766" t="s">
        <v>17</v>
      </c>
      <c r="U8" s="767">
        <f t="shared" si="1"/>
        <v>100</v>
      </c>
      <c r="V8" s="766" t="s">
        <v>17</v>
      </c>
      <c r="W8" s="767">
        <f t="shared" si="2"/>
        <v>100</v>
      </c>
      <c r="X8" s="768"/>
      <c r="Y8" s="3640" t="s">
        <v>2540</v>
      </c>
      <c r="Z8" s="3641"/>
      <c r="AA8" s="769">
        <f t="shared" ref="AA8:AA46" si="3">D8/F8</f>
        <v>1</v>
      </c>
      <c r="AB8" s="769">
        <f t="shared" ref="AB8:AB46" si="4">D8/H8</f>
        <v>1</v>
      </c>
      <c r="AC8" s="769">
        <f t="shared" ref="AC8:AC46" si="5">D8/J8</f>
        <v>1</v>
      </c>
    </row>
    <row r="9" spans="1:29" s="117" customFormat="1">
      <c r="A9" s="414" t="s">
        <v>2541</v>
      </c>
      <c r="B9" s="71" t="s">
        <v>2542</v>
      </c>
      <c r="C9" s="2965" t="s">
        <v>3063</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54" t="s">
        <v>2543</v>
      </c>
      <c r="Q9" s="1775" t="str">
        <f t="shared" ref="Q9:Q15" si="6">B9</f>
        <v>用途</v>
      </c>
      <c r="R9" s="766" t="s">
        <v>17</v>
      </c>
      <c r="S9" s="767">
        <f t="shared" si="0"/>
        <v>100</v>
      </c>
      <c r="T9" s="766" t="s">
        <v>17</v>
      </c>
      <c r="U9" s="767">
        <f t="shared" si="1"/>
        <v>100</v>
      </c>
      <c r="V9" s="766" t="s">
        <v>17</v>
      </c>
      <c r="W9" s="767">
        <f t="shared" si="2"/>
        <v>100</v>
      </c>
      <c r="X9" s="768"/>
      <c r="Y9" s="3504" t="s">
        <v>2544</v>
      </c>
      <c r="Z9" s="55" t="str">
        <f t="shared" ref="Z9:Z15" si="7">Q9</f>
        <v>用途</v>
      </c>
      <c r="AA9" s="769">
        <f t="shared" si="3"/>
        <v>1</v>
      </c>
      <c r="AB9" s="769">
        <f t="shared" si="4"/>
        <v>1</v>
      </c>
      <c r="AC9" s="769">
        <f t="shared" si="5"/>
        <v>1</v>
      </c>
    </row>
    <row r="10" spans="1:29" s="426" customFormat="1" ht="27">
      <c r="A10" s="420"/>
      <c r="B10" s="421" t="s">
        <v>2545</v>
      </c>
      <c r="C10" s="422" t="s">
        <v>3434</v>
      </c>
      <c r="D10" s="136">
        <v>100</v>
      </c>
      <c r="E10" s="422" t="s">
        <v>3434</v>
      </c>
      <c r="F10" s="424">
        <f>SUMIF(65:65,E10,66:66)-SUMIF(65:65,C10,66:66)+100</f>
        <v>100</v>
      </c>
      <c r="G10" s="422" t="s">
        <v>3434</v>
      </c>
      <c r="H10" s="136">
        <f>SUMIF(65:65,G10,66:66)-SUMIF(65:65,C10,66:66)+100</f>
        <v>100</v>
      </c>
      <c r="I10" s="422" t="s">
        <v>3434</v>
      </c>
      <c r="J10" s="136">
        <f>SUMIF(65:65,I10,66:66)-SUMIF(65:65,C10,66:66)+100</f>
        <v>100</v>
      </c>
      <c r="K10" s="611"/>
      <c r="L10" s="1118"/>
      <c r="M10" s="1119"/>
      <c r="N10" s="1119"/>
      <c r="O10" s="1119"/>
      <c r="P10" s="3654"/>
      <c r="Q10" s="1775" t="str">
        <f t="shared" si="6"/>
        <v>土地使用年限（年）</v>
      </c>
      <c r="R10" s="766" t="s">
        <v>17</v>
      </c>
      <c r="S10" s="767">
        <f t="shared" si="0"/>
        <v>100</v>
      </c>
      <c r="T10" s="766" t="s">
        <v>17</v>
      </c>
      <c r="U10" s="767">
        <f t="shared" si="1"/>
        <v>100</v>
      </c>
      <c r="V10" s="766" t="s">
        <v>17</v>
      </c>
      <c r="W10" s="767">
        <f t="shared" si="2"/>
        <v>100</v>
      </c>
      <c r="X10" s="768"/>
      <c r="Y10" s="3504"/>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54"/>
      <c r="Q11" s="1775" t="str">
        <f t="shared" si="6"/>
        <v>容积率</v>
      </c>
      <c r="R11" s="766" t="s">
        <v>17</v>
      </c>
      <c r="S11" s="767">
        <f t="shared" si="0"/>
        <v>100</v>
      </c>
      <c r="T11" s="766" t="s">
        <v>17</v>
      </c>
      <c r="U11" s="767">
        <f t="shared" si="1"/>
        <v>100</v>
      </c>
      <c r="V11" s="766" t="s">
        <v>17</v>
      </c>
      <c r="W11" s="767">
        <f t="shared" si="2"/>
        <v>100</v>
      </c>
      <c r="X11" s="768"/>
      <c r="Y11" s="3504"/>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54"/>
      <c r="Q12" s="1775">
        <f t="shared" si="6"/>
        <v>111</v>
      </c>
      <c r="R12" s="766" t="s">
        <v>17</v>
      </c>
      <c r="S12" s="767">
        <f t="shared" si="0"/>
        <v>100</v>
      </c>
      <c r="T12" s="766" t="s">
        <v>17</v>
      </c>
      <c r="U12" s="767">
        <f t="shared" si="1"/>
        <v>100</v>
      </c>
      <c r="V12" s="766" t="s">
        <v>17</v>
      </c>
      <c r="W12" s="767">
        <f t="shared" si="2"/>
        <v>100</v>
      </c>
      <c r="X12" s="768"/>
      <c r="Y12" s="3504"/>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54"/>
      <c r="Q13" s="1775">
        <f t="shared" si="6"/>
        <v>111</v>
      </c>
      <c r="R13" s="766" t="s">
        <v>17</v>
      </c>
      <c r="S13" s="767">
        <f t="shared" si="0"/>
        <v>100</v>
      </c>
      <c r="T13" s="766" t="s">
        <v>17</v>
      </c>
      <c r="U13" s="767">
        <f t="shared" si="1"/>
        <v>100</v>
      </c>
      <c r="V13" s="766" t="s">
        <v>17</v>
      </c>
      <c r="W13" s="767">
        <f t="shared" si="2"/>
        <v>100</v>
      </c>
      <c r="X13" s="768"/>
      <c r="Y13" s="3504"/>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54"/>
      <c r="Q14" s="1775">
        <f t="shared" si="6"/>
        <v>111</v>
      </c>
      <c r="R14" s="766" t="s">
        <v>17</v>
      </c>
      <c r="S14" s="767">
        <f t="shared" si="0"/>
        <v>100</v>
      </c>
      <c r="T14" s="766" t="s">
        <v>17</v>
      </c>
      <c r="U14" s="767">
        <f t="shared" si="1"/>
        <v>100</v>
      </c>
      <c r="V14" s="766" t="s">
        <v>17</v>
      </c>
      <c r="W14" s="767">
        <f t="shared" si="2"/>
        <v>100</v>
      </c>
      <c r="X14" s="768"/>
      <c r="Y14" s="3504"/>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668" t="s">
        <v>2548</v>
      </c>
      <c r="Q15" s="1790" t="str">
        <f t="shared" si="6"/>
        <v>商业繁华度</v>
      </c>
      <c r="R15" s="770" t="s">
        <v>17</v>
      </c>
      <c r="S15" s="771">
        <f t="shared" si="0"/>
        <v>100</v>
      </c>
      <c r="T15" s="770" t="s">
        <v>17</v>
      </c>
      <c r="U15" s="771">
        <f t="shared" si="1"/>
        <v>100</v>
      </c>
      <c r="V15" s="770" t="s">
        <v>17</v>
      </c>
      <c r="W15" s="771">
        <f t="shared" si="2"/>
        <v>100</v>
      </c>
      <c r="X15" s="1793"/>
      <c r="Y15" s="3670" t="s">
        <v>2548</v>
      </c>
      <c r="Z15" s="1794" t="str">
        <f t="shared" si="7"/>
        <v>商业繁华度</v>
      </c>
      <c r="AA15" s="1791">
        <f t="shared" si="3"/>
        <v>1</v>
      </c>
      <c r="AB15" s="1791">
        <f t="shared" si="4"/>
        <v>1</v>
      </c>
      <c r="AC15" s="1791">
        <f t="shared" si="5"/>
        <v>1</v>
      </c>
    </row>
    <row r="16" spans="1:29" ht="15">
      <c r="A16" s="427"/>
      <c r="B16" s="445"/>
      <c r="C16" s="446" t="s">
        <v>3057</v>
      </c>
      <c r="D16" s="447"/>
      <c r="E16" s="446" t="s">
        <v>3057</v>
      </c>
      <c r="F16" s="448"/>
      <c r="G16" s="446" t="s">
        <v>3057</v>
      </c>
      <c r="H16" s="449"/>
      <c r="I16" s="446" t="s">
        <v>3057</v>
      </c>
      <c r="J16" s="447"/>
      <c r="K16" s="614"/>
      <c r="L16" s="1123"/>
      <c r="M16" s="1114"/>
      <c r="N16" s="1114"/>
      <c r="O16" s="1114"/>
      <c r="P16" s="3669"/>
      <c r="Q16" s="1790"/>
      <c r="R16" s="770"/>
      <c r="S16" s="771"/>
      <c r="T16" s="770"/>
      <c r="U16" s="771"/>
      <c r="V16" s="770"/>
      <c r="W16" s="771"/>
      <c r="X16" s="1793"/>
      <c r="Y16" s="3671"/>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69"/>
      <c r="Q17" s="1790" t="str">
        <f>B17</f>
        <v>交通便捷度</v>
      </c>
      <c r="R17" s="770" t="s">
        <v>17</v>
      </c>
      <c r="S17" s="771">
        <f>F17</f>
        <v>100</v>
      </c>
      <c r="T17" s="770" t="s">
        <v>17</v>
      </c>
      <c r="U17" s="771">
        <f>H17</f>
        <v>100</v>
      </c>
      <c r="V17" s="770" t="s">
        <v>17</v>
      </c>
      <c r="W17" s="771">
        <f>J17</f>
        <v>100</v>
      </c>
      <c r="X17" s="1793"/>
      <c r="Y17" s="3671"/>
      <c r="Z17" s="1794" t="str">
        <f>Q17</f>
        <v>交通便捷度</v>
      </c>
      <c r="AA17" s="1791">
        <f t="shared" si="3"/>
        <v>1</v>
      </c>
      <c r="AB17" s="1791">
        <f t="shared" si="4"/>
        <v>1</v>
      </c>
      <c r="AC17" s="1791">
        <f t="shared" si="5"/>
        <v>1</v>
      </c>
    </row>
    <row r="18" spans="1:29" ht="15">
      <c r="A18" s="427"/>
      <c r="B18" s="455"/>
      <c r="C18" s="2581" t="s">
        <v>3057</v>
      </c>
      <c r="D18" s="449"/>
      <c r="E18" s="2581" t="s">
        <v>3057</v>
      </c>
      <c r="F18" s="452"/>
      <c r="G18" s="2581" t="s">
        <v>3057</v>
      </c>
      <c r="H18" s="447"/>
      <c r="I18" s="2581" t="s">
        <v>3057</v>
      </c>
      <c r="J18" s="447"/>
      <c r="K18" s="614"/>
      <c r="L18" s="1123"/>
      <c r="M18" s="1114"/>
      <c r="N18" s="1114"/>
      <c r="O18" s="1114"/>
      <c r="P18" s="3669"/>
      <c r="Q18" s="1790"/>
      <c r="R18" s="770"/>
      <c r="S18" s="771"/>
      <c r="T18" s="770"/>
      <c r="U18" s="771"/>
      <c r="V18" s="770"/>
      <c r="W18" s="771"/>
      <c r="X18" s="1793"/>
      <c r="Y18" s="3671"/>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669"/>
      <c r="Q19" s="1790" t="str">
        <f>B19</f>
        <v>公共配套设施</v>
      </c>
      <c r="R19" s="770" t="s">
        <v>17</v>
      </c>
      <c r="S19" s="771">
        <f>F19</f>
        <v>100</v>
      </c>
      <c r="T19" s="770" t="s">
        <v>17</v>
      </c>
      <c r="U19" s="771">
        <f>H19</f>
        <v>100</v>
      </c>
      <c r="V19" s="770" t="s">
        <v>17</v>
      </c>
      <c r="W19" s="771">
        <f>J19</f>
        <v>100</v>
      </c>
      <c r="X19" s="1793"/>
      <c r="Y19" s="3671"/>
      <c r="Z19" s="1794" t="str">
        <f>Q19</f>
        <v>公共配套设施</v>
      </c>
      <c r="AA19" s="1791">
        <f t="shared" si="3"/>
        <v>1</v>
      </c>
      <c r="AB19" s="1791">
        <f t="shared" si="4"/>
        <v>1</v>
      </c>
      <c r="AC19" s="1791">
        <f t="shared" si="5"/>
        <v>1</v>
      </c>
    </row>
    <row r="20" spans="1:29" ht="15">
      <c r="A20" s="427"/>
      <c r="B20" s="455"/>
      <c r="C20" s="446" t="s">
        <v>3057</v>
      </c>
      <c r="D20" s="447"/>
      <c r="E20" s="446" t="s">
        <v>3057</v>
      </c>
      <c r="F20" s="448"/>
      <c r="G20" s="446" t="s">
        <v>3057</v>
      </c>
      <c r="H20" s="447"/>
      <c r="I20" s="446" t="s">
        <v>3057</v>
      </c>
      <c r="J20" s="447"/>
      <c r="K20" s="614"/>
      <c r="L20" s="1123"/>
      <c r="M20" s="1114"/>
      <c r="N20" s="1114"/>
      <c r="O20" s="1114"/>
      <c r="P20" s="3669"/>
      <c r="Q20" s="1790"/>
      <c r="R20" s="770"/>
      <c r="S20" s="771"/>
      <c r="T20" s="770"/>
      <c r="U20" s="771"/>
      <c r="V20" s="770"/>
      <c r="W20" s="771"/>
      <c r="X20" s="1793"/>
      <c r="Y20" s="3671"/>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3064</v>
      </c>
      <c r="F21" s="457">
        <f>SUMIF(82:82,E22,83:83)-SUMIF(82:82,C22,83:83)+100</f>
        <v>100</v>
      </c>
      <c r="G21" s="2967" t="s">
        <v>3064</v>
      </c>
      <c r="H21" s="449">
        <f>SUMIF(82:82,G22,83:83)-SUMIF(82:82,C22,83:83)+100</f>
        <v>100</v>
      </c>
      <c r="I21" s="2967" t="s">
        <v>3064</v>
      </c>
      <c r="J21" s="449">
        <f>SUMIF(82:82,I22,83:83)-SUMIF(82:82,C22,83:83)+100</f>
        <v>100</v>
      </c>
      <c r="K21" s="613">
        <v>1</v>
      </c>
      <c r="L21" s="1123"/>
      <c r="M21" s="1114"/>
      <c r="N21" s="1114"/>
      <c r="O21" s="1114"/>
      <c r="P21" s="3669"/>
      <c r="Q21" s="1790" t="str">
        <f>B21</f>
        <v>基础设施水平</v>
      </c>
      <c r="R21" s="770" t="s">
        <v>17</v>
      </c>
      <c r="S21" s="771">
        <f>F21</f>
        <v>100</v>
      </c>
      <c r="T21" s="770" t="s">
        <v>17</v>
      </c>
      <c r="U21" s="771">
        <f>H21</f>
        <v>100</v>
      </c>
      <c r="V21" s="770" t="s">
        <v>17</v>
      </c>
      <c r="W21" s="771">
        <f>J21</f>
        <v>100</v>
      </c>
      <c r="X21" s="1793"/>
      <c r="Y21" s="3671"/>
      <c r="Z21" s="1794" t="str">
        <f>Q21</f>
        <v>基础设施水平</v>
      </c>
      <c r="AA21" s="1791">
        <f t="shared" ref="AA21" si="8">D21/F21</f>
        <v>1</v>
      </c>
      <c r="AB21" s="1791">
        <f t="shared" ref="AB21" si="9">D21/H21</f>
        <v>1</v>
      </c>
      <c r="AC21" s="1791">
        <f t="shared" ref="AC21" si="10">D21/J21</f>
        <v>1</v>
      </c>
    </row>
    <row r="22" spans="1:29" ht="15">
      <c r="A22" s="427"/>
      <c r="B22" s="1366"/>
      <c r="C22" s="2581" t="s">
        <v>3096</v>
      </c>
      <c r="D22" s="447"/>
      <c r="E22" s="2581" t="s">
        <v>3096</v>
      </c>
      <c r="F22" s="448"/>
      <c r="G22" s="2581" t="s">
        <v>3096</v>
      </c>
      <c r="H22" s="447"/>
      <c r="I22" s="2581" t="s">
        <v>3096</v>
      </c>
      <c r="J22" s="447"/>
      <c r="K22" s="1365"/>
      <c r="L22" s="1123"/>
      <c r="M22" s="1114"/>
      <c r="N22" s="1114"/>
      <c r="O22" s="1114"/>
      <c r="P22" s="3669"/>
      <c r="Q22" s="1790"/>
      <c r="R22" s="770"/>
      <c r="S22" s="771"/>
      <c r="T22" s="770"/>
      <c r="U22" s="771"/>
      <c r="V22" s="770"/>
      <c r="W22" s="771"/>
      <c r="X22" s="1793"/>
      <c r="Y22" s="3671"/>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669"/>
      <c r="Q23" s="1790" t="str">
        <f>B23</f>
        <v>自然及人文环境</v>
      </c>
      <c r="R23" s="770" t="s">
        <v>17</v>
      </c>
      <c r="S23" s="771">
        <f>F23</f>
        <v>100</v>
      </c>
      <c r="T23" s="770" t="s">
        <v>17</v>
      </c>
      <c r="U23" s="771">
        <f>H23</f>
        <v>100</v>
      </c>
      <c r="V23" s="770" t="s">
        <v>17</v>
      </c>
      <c r="W23" s="771">
        <f>J23</f>
        <v>100</v>
      </c>
      <c r="X23" s="1793"/>
      <c r="Y23" s="3671"/>
      <c r="Z23" s="1794" t="str">
        <f>Q23</f>
        <v>自然及人文环境</v>
      </c>
      <c r="AA23" s="1791">
        <f t="shared" si="3"/>
        <v>1</v>
      </c>
      <c r="AB23" s="1791">
        <f t="shared" si="4"/>
        <v>1</v>
      </c>
      <c r="AC23" s="1791">
        <f t="shared" si="5"/>
        <v>1</v>
      </c>
    </row>
    <row r="24" spans="1:29" ht="15">
      <c r="A24" s="427"/>
      <c r="B24" s="455"/>
      <c r="C24" s="446" t="s">
        <v>3057</v>
      </c>
      <c r="D24" s="447"/>
      <c r="E24" s="446" t="s">
        <v>3057</v>
      </c>
      <c r="F24" s="448"/>
      <c r="G24" s="446" t="s">
        <v>3057</v>
      </c>
      <c r="H24" s="447"/>
      <c r="I24" s="446" t="s">
        <v>3057</v>
      </c>
      <c r="J24" s="447"/>
      <c r="K24" s="614"/>
      <c r="L24" s="1123"/>
      <c r="M24" s="1114"/>
      <c r="N24" s="1114"/>
      <c r="O24" s="1114"/>
      <c r="P24" s="3669"/>
      <c r="Q24" s="1790"/>
      <c r="R24" s="770"/>
      <c r="S24" s="771"/>
      <c r="T24" s="770"/>
      <c r="U24" s="771"/>
      <c r="V24" s="770"/>
      <c r="W24" s="771"/>
      <c r="X24" s="1793"/>
      <c r="Y24" s="3671"/>
      <c r="Z24" s="1794"/>
      <c r="AA24" s="1791">
        <v>1</v>
      </c>
      <c r="AB24" s="1791">
        <v>1</v>
      </c>
      <c r="AC24" s="1791">
        <v>1</v>
      </c>
    </row>
    <row r="25" spans="1:29" ht="15">
      <c r="A25" s="427"/>
      <c r="B25" s="421" t="s">
        <v>2644</v>
      </c>
      <c r="C25" s="615" t="s">
        <v>3062</v>
      </c>
      <c r="D25" s="434">
        <v>100</v>
      </c>
      <c r="E25" s="615" t="s">
        <v>3062</v>
      </c>
      <c r="F25" s="460">
        <f>SUMIF(86:86,E25,87:87)-SUMIF(86:86,C25,87:87)+100</f>
        <v>100</v>
      </c>
      <c r="G25" s="615" t="s">
        <v>3062</v>
      </c>
      <c r="H25" s="434">
        <f>SUMIF(86:86,G25,87:87)-SUMIF(86:86,C25,87:87)+100</f>
        <v>100</v>
      </c>
      <c r="I25" s="615" t="s">
        <v>3062</v>
      </c>
      <c r="J25" s="434">
        <f>SUMIF(86:86,I25,87:87)-SUMIF(86:86,C25,87:87)+100</f>
        <v>100</v>
      </c>
      <c r="K25" s="611">
        <v>2</v>
      </c>
      <c r="L25" s="1123"/>
      <c r="M25" s="1114"/>
      <c r="N25" s="1114"/>
      <c r="O25" s="1114"/>
      <c r="P25" s="3669"/>
      <c r="Q25" s="1790" t="str">
        <f t="shared" ref="Q25:Q46" si="11">B25</f>
        <v>临街状况</v>
      </c>
      <c r="R25" s="770" t="s">
        <v>17</v>
      </c>
      <c r="S25" s="771">
        <f>F25</f>
        <v>100</v>
      </c>
      <c r="T25" s="770" t="s">
        <v>17</v>
      </c>
      <c r="U25" s="771">
        <f>H25</f>
        <v>100</v>
      </c>
      <c r="V25" s="770" t="s">
        <v>17</v>
      </c>
      <c r="W25" s="771">
        <f>J25</f>
        <v>100</v>
      </c>
      <c r="X25" s="1793"/>
      <c r="Y25" s="3671"/>
      <c r="Z25" s="1794" t="str">
        <f>Q25</f>
        <v>临街状况</v>
      </c>
      <c r="AA25" s="1791">
        <f t="shared" si="3"/>
        <v>1</v>
      </c>
      <c r="AB25" s="1791">
        <f t="shared" si="4"/>
        <v>1</v>
      </c>
      <c r="AC25" s="1791">
        <f t="shared" si="5"/>
        <v>1</v>
      </c>
    </row>
    <row r="26" spans="1:29" ht="15">
      <c r="A26" s="427"/>
      <c r="B26" s="1368" t="s">
        <v>2645</v>
      </c>
      <c r="C26" s="2970" t="s">
        <v>3442</v>
      </c>
      <c r="D26" s="434">
        <v>100</v>
      </c>
      <c r="E26" s="2970" t="s">
        <v>3074</v>
      </c>
      <c r="F26" s="460">
        <f>SUMIF(88:88,E26,89:89)-SUMIF(88:88,C26,89:89)+100</f>
        <v>100</v>
      </c>
      <c r="G26" s="2970" t="s">
        <v>3074</v>
      </c>
      <c r="H26" s="434">
        <f>SUMIF(88:88,G26,89:89)-SUMIF(88:88,C26,89:89)+100</f>
        <v>100</v>
      </c>
      <c r="I26" s="2970" t="s">
        <v>3074</v>
      </c>
      <c r="J26" s="434">
        <f>SUMIF(88:88,I26,89:89)-SUMIF(88:88,C26,89:89)+100</f>
        <v>100</v>
      </c>
      <c r="K26" s="612"/>
      <c r="L26" s="1123"/>
      <c r="M26" s="1114"/>
      <c r="N26" s="1114"/>
      <c r="O26" s="1114"/>
      <c r="P26" s="3669"/>
      <c r="Q26" s="1790" t="str">
        <f t="shared" si="11"/>
        <v>平面位置/可视性</v>
      </c>
      <c r="R26" s="770" t="s">
        <v>17</v>
      </c>
      <c r="S26" s="771">
        <f>F26</f>
        <v>100</v>
      </c>
      <c r="T26" s="770" t="s">
        <v>17</v>
      </c>
      <c r="U26" s="771">
        <f>H26</f>
        <v>100</v>
      </c>
      <c r="V26" s="770" t="s">
        <v>17</v>
      </c>
      <c r="W26" s="771">
        <f>J26</f>
        <v>100</v>
      </c>
      <c r="X26" s="1793"/>
      <c r="Y26" s="3671"/>
      <c r="Z26" s="1794" t="str">
        <f>Q26</f>
        <v>平面位置/可视性</v>
      </c>
      <c r="AA26" s="1791">
        <f t="shared" si="3"/>
        <v>1</v>
      </c>
      <c r="AB26" s="1791">
        <f t="shared" si="4"/>
        <v>1</v>
      </c>
      <c r="AC26" s="1791">
        <f t="shared" si="5"/>
        <v>1</v>
      </c>
    </row>
    <row r="27" spans="1:29" s="117" customFormat="1" ht="15">
      <c r="A27" s="430"/>
      <c r="B27" s="450" t="s">
        <v>2646</v>
      </c>
      <c r="C27" s="2638" t="s">
        <v>3057</v>
      </c>
      <c r="D27" s="461">
        <v>100</v>
      </c>
      <c r="E27" s="2638" t="s">
        <v>3057</v>
      </c>
      <c r="F27" s="463">
        <f>SUMIF(90:90,E27,91:91)-SUMIF(90:90,C27,91:91)+100</f>
        <v>100</v>
      </c>
      <c r="G27" s="2638" t="s">
        <v>3057</v>
      </c>
      <c r="H27" s="461">
        <f>SUMIF(90:90,G27,91:91)-SUMIF(90:90,C27,91:91)+100</f>
        <v>100</v>
      </c>
      <c r="I27" s="2638" t="s">
        <v>3057</v>
      </c>
      <c r="J27" s="461">
        <f>SUMIF(90:90,I27,91:91)-SUMIF(90:90,C27,91:91)+100</f>
        <v>100</v>
      </c>
      <c r="K27" s="611">
        <v>2</v>
      </c>
      <c r="L27" s="1115"/>
      <c r="M27" s="1116"/>
      <c r="N27" s="1116"/>
      <c r="O27" s="1116"/>
      <c r="P27" s="3669"/>
      <c r="Q27" s="1775" t="str">
        <f t="shared" si="11"/>
        <v>人流量</v>
      </c>
      <c r="R27" s="766" t="s">
        <v>17</v>
      </c>
      <c r="S27" s="767">
        <f>F27</f>
        <v>100</v>
      </c>
      <c r="T27" s="766" t="s">
        <v>17</v>
      </c>
      <c r="U27" s="767">
        <f>H27</f>
        <v>100</v>
      </c>
      <c r="V27" s="766" t="s">
        <v>17</v>
      </c>
      <c r="W27" s="767">
        <f>J27</f>
        <v>100</v>
      </c>
      <c r="X27" s="768"/>
      <c r="Y27" s="3671"/>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69"/>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71"/>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69"/>
      <c r="Q29" s="1790">
        <f t="shared" si="11"/>
        <v>111</v>
      </c>
      <c r="R29" s="770" t="s">
        <v>17</v>
      </c>
      <c r="S29" s="771">
        <f t="shared" si="12"/>
        <v>100</v>
      </c>
      <c r="T29" s="770" t="s">
        <v>17</v>
      </c>
      <c r="U29" s="771">
        <f t="shared" si="13"/>
        <v>100</v>
      </c>
      <c r="V29" s="770" t="s">
        <v>17</v>
      </c>
      <c r="W29" s="771">
        <f t="shared" si="14"/>
        <v>100</v>
      </c>
      <c r="X29" s="1793"/>
      <c r="Y29" s="3671"/>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69"/>
      <c r="Q30" s="1790">
        <f t="shared" si="11"/>
        <v>111</v>
      </c>
      <c r="R30" s="770" t="s">
        <v>17</v>
      </c>
      <c r="S30" s="771">
        <f t="shared" si="12"/>
        <v>100</v>
      </c>
      <c r="T30" s="770" t="s">
        <v>17</v>
      </c>
      <c r="U30" s="771">
        <f t="shared" si="13"/>
        <v>100</v>
      </c>
      <c r="V30" s="770" t="s">
        <v>17</v>
      </c>
      <c r="W30" s="771">
        <f t="shared" si="14"/>
        <v>100</v>
      </c>
      <c r="X30" s="1793"/>
      <c r="Y30" s="3671"/>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69"/>
      <c r="Q31" s="1790">
        <f t="shared" si="11"/>
        <v>111</v>
      </c>
      <c r="R31" s="770" t="s">
        <v>17</v>
      </c>
      <c r="S31" s="771">
        <f t="shared" si="12"/>
        <v>100</v>
      </c>
      <c r="T31" s="770" t="s">
        <v>17</v>
      </c>
      <c r="U31" s="771">
        <f t="shared" si="13"/>
        <v>100</v>
      </c>
      <c r="V31" s="770" t="s">
        <v>17</v>
      </c>
      <c r="W31" s="771">
        <f t="shared" si="14"/>
        <v>100</v>
      </c>
      <c r="X31" s="1793"/>
      <c r="Y31" s="3671"/>
      <c r="Z31" s="1794">
        <f t="shared" si="15"/>
        <v>111</v>
      </c>
      <c r="AA31" s="1791">
        <f t="shared" si="3"/>
        <v>1</v>
      </c>
      <c r="AB31" s="1791">
        <f t="shared" si="4"/>
        <v>1</v>
      </c>
      <c r="AC31" s="1791">
        <f t="shared" si="5"/>
        <v>1</v>
      </c>
    </row>
    <row r="32" spans="1:29" ht="15">
      <c r="A32" s="439" t="s">
        <v>2551</v>
      </c>
      <c r="B32" s="71" t="s">
        <v>2648</v>
      </c>
      <c r="C32" s="2590" t="s">
        <v>3093</v>
      </c>
      <c r="D32" s="466">
        <v>100</v>
      </c>
      <c r="E32" s="2590" t="s">
        <v>3093</v>
      </c>
      <c r="F32" s="460">
        <f>SUMIF(100:100,E32,101:101)-SUMIF(100:100,C32,101:101)+100</f>
        <v>100</v>
      </c>
      <c r="G32" s="2590" t="s">
        <v>3093</v>
      </c>
      <c r="H32" s="434">
        <f>SUMIF(100:100,G32,101:101)-SUMIF(100:100,C32,101:101)+100</f>
        <v>100</v>
      </c>
      <c r="I32" s="2590" t="s">
        <v>3093</v>
      </c>
      <c r="J32" s="466">
        <f>SUMIF(100:100,I32,101:101)-SUMIF(100:100,C32,101:101)+100</f>
        <v>100</v>
      </c>
      <c r="K32" s="611">
        <v>3</v>
      </c>
      <c r="L32" s="1123"/>
      <c r="M32" s="1114"/>
      <c r="N32" s="1114"/>
      <c r="O32" s="1114"/>
      <c r="P32" s="3672" t="s">
        <v>2553</v>
      </c>
      <c r="Q32" s="1790" t="str">
        <f t="shared" si="11"/>
        <v>商业类型</v>
      </c>
      <c r="R32" s="770" t="s">
        <v>17</v>
      </c>
      <c r="S32" s="771">
        <f t="shared" si="12"/>
        <v>100</v>
      </c>
      <c r="T32" s="770" t="s">
        <v>17</v>
      </c>
      <c r="U32" s="771">
        <f t="shared" si="13"/>
        <v>100</v>
      </c>
      <c r="V32" s="770" t="s">
        <v>17</v>
      </c>
      <c r="W32" s="771">
        <f t="shared" si="14"/>
        <v>100</v>
      </c>
      <c r="X32" s="1793"/>
      <c r="Y32" s="3675"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673"/>
      <c r="Q33" s="772" t="str">
        <f t="shared" si="11"/>
        <v>项目建筑规模</v>
      </c>
      <c r="R33" s="773" t="s">
        <v>17</v>
      </c>
      <c r="S33" s="774">
        <f t="shared" si="12"/>
        <v>102.5</v>
      </c>
      <c r="T33" s="773" t="s">
        <v>17</v>
      </c>
      <c r="U33" s="774">
        <f t="shared" si="13"/>
        <v>102</v>
      </c>
      <c r="V33" s="773" t="s">
        <v>17</v>
      </c>
      <c r="W33" s="774">
        <f t="shared" si="14"/>
        <v>102</v>
      </c>
      <c r="X33" s="775"/>
      <c r="Y33" s="3675"/>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3043</v>
      </c>
      <c r="D34" s="434">
        <v>100</v>
      </c>
      <c r="E34" s="2592" t="s">
        <v>3043</v>
      </c>
      <c r="F34" s="460">
        <f>SUMIF(105:105,E34,106:106)-SUMIF(105:105,C34,106:106)+100</f>
        <v>100</v>
      </c>
      <c r="G34" s="2592" t="s">
        <v>3043</v>
      </c>
      <c r="H34" s="434">
        <f>SUMIF(105:105,G34,106:106)-SUMIF(105:105,C34,106:106)+100</f>
        <v>100</v>
      </c>
      <c r="I34" s="2592" t="s">
        <v>3043</v>
      </c>
      <c r="J34" s="434">
        <f>SUMIF(105:105,I34,106:106)-SUMIF(105:105,C34,106:106)+100</f>
        <v>100</v>
      </c>
      <c r="K34" s="611">
        <v>2</v>
      </c>
      <c r="L34" s="1123"/>
      <c r="M34" s="1114"/>
      <c r="N34" s="1114"/>
      <c r="O34" s="1114"/>
      <c r="P34" s="3673"/>
      <c r="Q34" s="1790" t="str">
        <f t="shared" si="11"/>
        <v>建筑结构</v>
      </c>
      <c r="R34" s="770" t="s">
        <v>17</v>
      </c>
      <c r="S34" s="771">
        <f t="shared" si="12"/>
        <v>100</v>
      </c>
      <c r="T34" s="770" t="s">
        <v>17</v>
      </c>
      <c r="U34" s="771">
        <f t="shared" si="13"/>
        <v>100</v>
      </c>
      <c r="V34" s="770" t="s">
        <v>17</v>
      </c>
      <c r="W34" s="771">
        <f t="shared" si="14"/>
        <v>100</v>
      </c>
      <c r="X34" s="1793"/>
      <c r="Y34" s="3675"/>
      <c r="Z34" s="1794" t="str">
        <f t="shared" si="15"/>
        <v>建筑结构</v>
      </c>
      <c r="AA34" s="1791">
        <f t="shared" si="3"/>
        <v>1</v>
      </c>
      <c r="AB34" s="1791">
        <f t="shared" si="4"/>
        <v>1</v>
      </c>
      <c r="AC34" s="1791">
        <f t="shared" si="5"/>
        <v>1</v>
      </c>
    </row>
    <row r="35" spans="1:29" ht="15">
      <c r="A35" s="471"/>
      <c r="B35" s="421" t="s">
        <v>2649</v>
      </c>
      <c r="C35" s="2586" t="s">
        <v>3095</v>
      </c>
      <c r="D35" s="434">
        <v>100</v>
      </c>
      <c r="E35" s="2586" t="s">
        <v>3095</v>
      </c>
      <c r="F35" s="460">
        <f>SUMIF(107:107,E35,108:108)-SUMIF(107:107,C35,108:108)+100</f>
        <v>100</v>
      </c>
      <c r="G35" s="2586" t="s">
        <v>3095</v>
      </c>
      <c r="H35" s="434">
        <f>SUMIF(107:107,G35,108:108)-SUMIF(107:107,C35,108:108)+100</f>
        <v>100</v>
      </c>
      <c r="I35" s="2586" t="s">
        <v>3095</v>
      </c>
      <c r="J35" s="434">
        <f>SUMIF(107:107,I35,108:108)-SUMIF(107:107,C35,108:108)+100</f>
        <v>100</v>
      </c>
      <c r="K35" s="611">
        <v>2</v>
      </c>
      <c r="L35" s="1123"/>
      <c r="M35" s="1114"/>
      <c r="N35" s="1114"/>
      <c r="O35" s="1114"/>
      <c r="P35" s="3673"/>
      <c r="Q35" s="1790" t="str">
        <f t="shared" si="11"/>
        <v>公共部分装修</v>
      </c>
      <c r="R35" s="770" t="s">
        <v>17</v>
      </c>
      <c r="S35" s="771">
        <f t="shared" si="12"/>
        <v>100</v>
      </c>
      <c r="T35" s="770" t="s">
        <v>17</v>
      </c>
      <c r="U35" s="771">
        <f t="shared" si="13"/>
        <v>100</v>
      </c>
      <c r="V35" s="770" t="s">
        <v>17</v>
      </c>
      <c r="W35" s="771">
        <f t="shared" si="14"/>
        <v>100</v>
      </c>
      <c r="X35" s="1793"/>
      <c r="Y35" s="3675"/>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73"/>
      <c r="Q36" s="1790" t="str">
        <f t="shared" si="11"/>
        <v>成新度</v>
      </c>
      <c r="R36" s="770" t="s">
        <v>17</v>
      </c>
      <c r="S36" s="771">
        <f t="shared" si="12"/>
        <v>100</v>
      </c>
      <c r="T36" s="770" t="s">
        <v>17</v>
      </c>
      <c r="U36" s="771">
        <f t="shared" si="13"/>
        <v>100</v>
      </c>
      <c r="V36" s="770" t="s">
        <v>17</v>
      </c>
      <c r="W36" s="771">
        <f t="shared" si="14"/>
        <v>100</v>
      </c>
      <c r="X36" s="1793"/>
      <c r="Y36" s="3675"/>
      <c r="Z36" s="1794" t="str">
        <f t="shared" si="15"/>
        <v>成新度</v>
      </c>
      <c r="AA36" s="1791">
        <f t="shared" si="3"/>
        <v>1</v>
      </c>
      <c r="AB36" s="1791">
        <f t="shared" si="4"/>
        <v>1</v>
      </c>
      <c r="AC36" s="1791">
        <f t="shared" si="5"/>
        <v>1</v>
      </c>
    </row>
    <row r="37" spans="1:29" s="117" customFormat="1" ht="15">
      <c r="A37" s="472"/>
      <c r="B37" s="421" t="s">
        <v>2651</v>
      </c>
      <c r="C37" s="2586" t="s">
        <v>3444</v>
      </c>
      <c r="D37" s="136">
        <v>100</v>
      </c>
      <c r="E37" s="2586" t="s">
        <v>3444</v>
      </c>
      <c r="F37" s="460">
        <f>SUMIF(112:112,E37,113:113)-SUMIF(112:112,C37,113:113)+100</f>
        <v>100</v>
      </c>
      <c r="G37" s="2586" t="s">
        <v>3444</v>
      </c>
      <c r="H37" s="434">
        <f>SUMIF(112:112,G37,113:113)-SUMIF(112:112,C37,113:113)+100</f>
        <v>100</v>
      </c>
      <c r="I37" s="2586" t="s">
        <v>3444</v>
      </c>
      <c r="J37" s="434">
        <f>SUMIF(112:112,I37,113:113)-SUMIF(112:112,C37,113:113)+100</f>
        <v>100</v>
      </c>
      <c r="K37" s="611">
        <v>1</v>
      </c>
      <c r="L37" s="1115"/>
      <c r="M37" s="1116"/>
      <c r="N37" s="1116"/>
      <c r="O37" s="1116"/>
      <c r="P37" s="3673"/>
      <c r="Q37" s="1775" t="str">
        <f t="shared" si="11"/>
        <v>市政基础设施</v>
      </c>
      <c r="R37" s="766" t="s">
        <v>17</v>
      </c>
      <c r="S37" s="767">
        <f t="shared" si="12"/>
        <v>100</v>
      </c>
      <c r="T37" s="766" t="s">
        <v>17</v>
      </c>
      <c r="U37" s="767">
        <f t="shared" si="13"/>
        <v>100</v>
      </c>
      <c r="V37" s="766" t="s">
        <v>17</v>
      </c>
      <c r="W37" s="767">
        <f t="shared" si="14"/>
        <v>100</v>
      </c>
      <c r="X37" s="768"/>
      <c r="Y37" s="3675"/>
      <c r="Z37" s="55" t="str">
        <f t="shared" si="15"/>
        <v>市政基础设施</v>
      </c>
      <c r="AA37" s="769">
        <f t="shared" si="3"/>
        <v>1</v>
      </c>
      <c r="AB37" s="769">
        <f t="shared" si="4"/>
        <v>1</v>
      </c>
      <c r="AC37" s="769">
        <f t="shared" si="5"/>
        <v>1</v>
      </c>
    </row>
    <row r="38" spans="1:29" ht="15">
      <c r="A38" s="471"/>
      <c r="B38" s="421" t="s">
        <v>2652</v>
      </c>
      <c r="C38" s="2586" t="s">
        <v>3097</v>
      </c>
      <c r="D38" s="434">
        <v>100</v>
      </c>
      <c r="E38" s="2586" t="s">
        <v>3097</v>
      </c>
      <c r="F38" s="460">
        <f>SUMIF(114:114,E38,115:115)-SUMIF(114:114,C38,115:115)+100</f>
        <v>100</v>
      </c>
      <c r="G38" s="2586" t="s">
        <v>3097</v>
      </c>
      <c r="H38" s="434">
        <f>SUMIF(114:114,G38,115:115)-SUMIF(114:114,C38,115:115)+100</f>
        <v>100</v>
      </c>
      <c r="I38" s="2586" t="s">
        <v>3097</v>
      </c>
      <c r="J38" s="434">
        <f>SUMIF(114:114,I38,115:115)-SUMIF(114:114,C38,115:115)+100</f>
        <v>100</v>
      </c>
      <c r="K38" s="611">
        <v>3</v>
      </c>
      <c r="L38" s="1123"/>
      <c r="M38" s="1114"/>
      <c r="N38" s="1114"/>
      <c r="O38" s="1114"/>
      <c r="P38" s="3673" t="s">
        <v>2553</v>
      </c>
      <c r="Q38" s="1790" t="str">
        <f t="shared" si="11"/>
        <v>业态</v>
      </c>
      <c r="R38" s="770" t="s">
        <v>17</v>
      </c>
      <c r="S38" s="771">
        <f t="shared" si="12"/>
        <v>100</v>
      </c>
      <c r="T38" s="770" t="s">
        <v>17</v>
      </c>
      <c r="U38" s="771">
        <f t="shared" si="13"/>
        <v>100</v>
      </c>
      <c r="V38" s="770" t="s">
        <v>17</v>
      </c>
      <c r="W38" s="771">
        <f t="shared" si="14"/>
        <v>100</v>
      </c>
      <c r="X38" s="1793"/>
      <c r="Y38" s="3675" t="s">
        <v>2553</v>
      </c>
      <c r="Z38" s="1794" t="str">
        <f t="shared" si="15"/>
        <v>业态</v>
      </c>
      <c r="AA38" s="1791">
        <f t="shared" si="3"/>
        <v>1</v>
      </c>
      <c r="AB38" s="1791">
        <f t="shared" si="4"/>
        <v>1</v>
      </c>
      <c r="AC38" s="1791">
        <f t="shared" si="5"/>
        <v>1</v>
      </c>
    </row>
    <row r="39" spans="1:29" ht="15">
      <c r="A39" s="471"/>
      <c r="B39" s="421" t="s">
        <v>2653</v>
      </c>
      <c r="C39" s="2586" t="s">
        <v>3098</v>
      </c>
      <c r="D39" s="434">
        <v>100</v>
      </c>
      <c r="E39" s="2586" t="s">
        <v>3098</v>
      </c>
      <c r="F39" s="460">
        <f>SUMIF(116:116,E39,117:117)-SUMIF(116:116,C39,117:117)+100</f>
        <v>100</v>
      </c>
      <c r="G39" s="2586" t="s">
        <v>3098</v>
      </c>
      <c r="H39" s="434">
        <f>SUMIF(116:116,G39,117:117)-SUMIF(116:116,C39,117:117)+100</f>
        <v>100</v>
      </c>
      <c r="I39" s="2586" t="s">
        <v>3101</v>
      </c>
      <c r="J39" s="434">
        <f>SUMIF(116:116,I39,117:117)-SUMIF(116:116,C39,117:117)+100</f>
        <v>103</v>
      </c>
      <c r="K39" s="611">
        <v>3</v>
      </c>
      <c r="L39" s="1123"/>
      <c r="M39" s="1114"/>
      <c r="N39" s="1114"/>
      <c r="O39" s="1114"/>
      <c r="P39" s="3673"/>
      <c r="Q39" s="1790" t="str">
        <f t="shared" si="11"/>
        <v>层高</v>
      </c>
      <c r="R39" s="770" t="s">
        <v>17</v>
      </c>
      <c r="S39" s="771">
        <f t="shared" si="12"/>
        <v>100</v>
      </c>
      <c r="T39" s="770" t="s">
        <v>17</v>
      </c>
      <c r="U39" s="771">
        <f t="shared" si="13"/>
        <v>100</v>
      </c>
      <c r="V39" s="770" t="s">
        <v>17</v>
      </c>
      <c r="W39" s="771">
        <f t="shared" si="14"/>
        <v>103</v>
      </c>
      <c r="X39" s="1793"/>
      <c r="Y39" s="3675"/>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73"/>
      <c r="Q40" s="1790" t="str">
        <f t="shared" si="11"/>
        <v>单套建筑面积</v>
      </c>
      <c r="R40" s="770" t="s">
        <v>17</v>
      </c>
      <c r="S40" s="771">
        <f t="shared" si="12"/>
        <v>100</v>
      </c>
      <c r="T40" s="770" t="s">
        <v>17</v>
      </c>
      <c r="U40" s="771">
        <f t="shared" si="13"/>
        <v>100</v>
      </c>
      <c r="V40" s="770" t="s">
        <v>17</v>
      </c>
      <c r="W40" s="771">
        <f t="shared" si="14"/>
        <v>100</v>
      </c>
      <c r="X40" s="1793"/>
      <c r="Y40" s="3675"/>
      <c r="Z40" s="1794" t="str">
        <f t="shared" si="15"/>
        <v>单套建筑面积</v>
      </c>
      <c r="AA40" s="1791">
        <f t="shared" si="3"/>
        <v>1</v>
      </c>
      <c r="AB40" s="1791">
        <f t="shared" si="4"/>
        <v>1</v>
      </c>
      <c r="AC40" s="1791">
        <f t="shared" si="5"/>
        <v>1</v>
      </c>
    </row>
    <row r="41" spans="1:29" s="470" customFormat="1" ht="15">
      <c r="A41" s="467"/>
      <c r="B41" s="1792" t="s">
        <v>2655</v>
      </c>
      <c r="C41" s="615" t="s">
        <v>3099</v>
      </c>
      <c r="D41" s="434">
        <v>100</v>
      </c>
      <c r="E41" s="615" t="s">
        <v>3099</v>
      </c>
      <c r="F41" s="460">
        <f>SUMIF(120:120,E41,121:121)-SUMIF(120:120,C41,121:121)+100</f>
        <v>100</v>
      </c>
      <c r="G41" s="615" t="s">
        <v>3099</v>
      </c>
      <c r="H41" s="434">
        <f>SUMIF(120:120,G41,121:121)-SUMIF(120:120,C41,121:121)+100</f>
        <v>100</v>
      </c>
      <c r="I41" s="615" t="s">
        <v>3099</v>
      </c>
      <c r="J41" s="434">
        <f>SUMIF(120:120,I41,121:121)-SUMIF(120:120,C41,121:121)+100</f>
        <v>100</v>
      </c>
      <c r="K41" s="611">
        <v>2</v>
      </c>
      <c r="L41" s="1121"/>
      <c r="M41" s="1124"/>
      <c r="N41" s="1124"/>
      <c r="O41" s="1124"/>
      <c r="P41" s="3673"/>
      <c r="Q41" s="772" t="str">
        <f t="shared" si="11"/>
        <v>进深比</v>
      </c>
      <c r="R41" s="773" t="s">
        <v>17</v>
      </c>
      <c r="S41" s="774">
        <f t="shared" si="12"/>
        <v>100</v>
      </c>
      <c r="T41" s="773" t="s">
        <v>17</v>
      </c>
      <c r="U41" s="774">
        <f t="shared" si="13"/>
        <v>100</v>
      </c>
      <c r="V41" s="773" t="s">
        <v>17</v>
      </c>
      <c r="W41" s="774">
        <f t="shared" si="14"/>
        <v>100</v>
      </c>
      <c r="X41" s="775"/>
      <c r="Y41" s="3675"/>
      <c r="Z41" s="776" t="str">
        <f t="shared" si="15"/>
        <v>进深比</v>
      </c>
      <c r="AA41" s="1791">
        <f t="shared" si="3"/>
        <v>1</v>
      </c>
      <c r="AB41" s="1791">
        <f t="shared" si="4"/>
        <v>1</v>
      </c>
      <c r="AC41" s="1791">
        <f t="shared" si="5"/>
        <v>1</v>
      </c>
    </row>
    <row r="42" spans="1:29" ht="15">
      <c r="A42" s="471"/>
      <c r="B42" s="421" t="s">
        <v>2656</v>
      </c>
      <c r="C42" s="2586" t="s">
        <v>3100</v>
      </c>
      <c r="D42" s="434">
        <v>100</v>
      </c>
      <c r="E42" s="2586" t="s">
        <v>3100</v>
      </c>
      <c r="F42" s="460">
        <f>SUMIF(122:122,E42,123:123)-SUMIF(122:122,C42,123:123)+100</f>
        <v>100</v>
      </c>
      <c r="G42" s="2586" t="s">
        <v>3100</v>
      </c>
      <c r="H42" s="434">
        <f>SUMIF(122:122,G42,123:123)-SUMIF(122:122,C42,123:123)+100</f>
        <v>100</v>
      </c>
      <c r="I42" s="2586" t="s">
        <v>3100</v>
      </c>
      <c r="J42" s="434">
        <f>SUMIF(122:122,I42,123:123)-SUMIF(122:122,C42,123:123)+100</f>
        <v>100</v>
      </c>
      <c r="K42" s="611">
        <v>3</v>
      </c>
      <c r="L42" s="1123"/>
      <c r="M42" s="1114"/>
      <c r="N42" s="1114"/>
      <c r="O42" s="1114"/>
      <c r="P42" s="3673"/>
      <c r="Q42" s="1790" t="str">
        <f t="shared" si="11"/>
        <v>内部装修</v>
      </c>
      <c r="R42" s="770" t="s">
        <v>17</v>
      </c>
      <c r="S42" s="771">
        <f t="shared" si="12"/>
        <v>100</v>
      </c>
      <c r="T42" s="770" t="s">
        <v>17</v>
      </c>
      <c r="U42" s="771">
        <f t="shared" si="13"/>
        <v>100</v>
      </c>
      <c r="V42" s="770" t="s">
        <v>17</v>
      </c>
      <c r="W42" s="771">
        <f t="shared" si="14"/>
        <v>100</v>
      </c>
      <c r="X42" s="1793"/>
      <c r="Y42" s="3675"/>
      <c r="Z42" s="1794" t="str">
        <f t="shared" si="15"/>
        <v>内部装修</v>
      </c>
      <c r="AA42" s="1791">
        <f t="shared" si="3"/>
        <v>1</v>
      </c>
      <c r="AB42" s="1791">
        <f t="shared" si="4"/>
        <v>1</v>
      </c>
      <c r="AC42" s="1791">
        <f t="shared" si="5"/>
        <v>1</v>
      </c>
    </row>
    <row r="43" spans="1:29" ht="15">
      <c r="A43" s="471"/>
      <c r="B43" s="421" t="s">
        <v>2564</v>
      </c>
      <c r="C43" s="2586" t="s">
        <v>3057</v>
      </c>
      <c r="D43" s="434">
        <v>100</v>
      </c>
      <c r="E43" s="2586" t="s">
        <v>3057</v>
      </c>
      <c r="F43" s="460">
        <f>SUMIF(124:124,E43,125:125)-SUMIF(124:124,C43,125:125)+100</f>
        <v>100</v>
      </c>
      <c r="G43" s="2586" t="s">
        <v>3057</v>
      </c>
      <c r="H43" s="434">
        <f>SUMIF(124:124,G43,125:125)-SUMIF(124:124,C43,125:125)+100</f>
        <v>100</v>
      </c>
      <c r="I43" s="2586" t="s">
        <v>3057</v>
      </c>
      <c r="J43" s="434">
        <f>SUMIF(124:124,I43,125:125)-SUMIF(124:124,C43,125:125)+100</f>
        <v>100</v>
      </c>
      <c r="K43" s="611">
        <v>2</v>
      </c>
      <c r="L43" s="1123"/>
      <c r="M43" s="1114"/>
      <c r="N43" s="1114"/>
      <c r="O43" s="1114"/>
      <c r="P43" s="3673"/>
      <c r="Q43" s="1790" t="str">
        <f t="shared" si="11"/>
        <v>内部装修维护情况</v>
      </c>
      <c r="R43" s="770" t="s">
        <v>17</v>
      </c>
      <c r="S43" s="771">
        <f t="shared" si="12"/>
        <v>100</v>
      </c>
      <c r="T43" s="770" t="s">
        <v>17</v>
      </c>
      <c r="U43" s="771">
        <f t="shared" si="13"/>
        <v>100</v>
      </c>
      <c r="V43" s="770" t="s">
        <v>17</v>
      </c>
      <c r="W43" s="771">
        <f t="shared" si="14"/>
        <v>100</v>
      </c>
      <c r="X43" s="1793"/>
      <c r="Y43" s="3675"/>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73"/>
      <c r="Q44" s="1775">
        <f t="shared" si="11"/>
        <v>0</v>
      </c>
      <c r="R44" s="766" t="s">
        <v>17</v>
      </c>
      <c r="S44" s="767">
        <f t="shared" si="12"/>
        <v>100</v>
      </c>
      <c r="T44" s="766" t="s">
        <v>17</v>
      </c>
      <c r="U44" s="767">
        <f t="shared" si="13"/>
        <v>100</v>
      </c>
      <c r="V44" s="766" t="s">
        <v>17</v>
      </c>
      <c r="W44" s="767">
        <f t="shared" si="14"/>
        <v>100</v>
      </c>
      <c r="X44" s="768"/>
      <c r="Y44" s="3675"/>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73"/>
      <c r="Q45" s="1790">
        <f t="shared" si="11"/>
        <v>0</v>
      </c>
      <c r="R45" s="770" t="s">
        <v>17</v>
      </c>
      <c r="S45" s="771">
        <f t="shared" si="12"/>
        <v>100</v>
      </c>
      <c r="T45" s="770" t="s">
        <v>17</v>
      </c>
      <c r="U45" s="771">
        <f t="shared" si="13"/>
        <v>100</v>
      </c>
      <c r="V45" s="770" t="s">
        <v>17</v>
      </c>
      <c r="W45" s="771">
        <f t="shared" si="14"/>
        <v>100</v>
      </c>
      <c r="X45" s="1793"/>
      <c r="Y45" s="3675"/>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74"/>
      <c r="Q46" s="1790">
        <f t="shared" si="11"/>
        <v>1</v>
      </c>
      <c r="R46" s="770" t="s">
        <v>17</v>
      </c>
      <c r="S46" s="771">
        <f t="shared" si="12"/>
        <v>100</v>
      </c>
      <c r="T46" s="770" t="s">
        <v>17</v>
      </c>
      <c r="U46" s="771">
        <f t="shared" si="13"/>
        <v>100</v>
      </c>
      <c r="V46" s="770" t="s">
        <v>17</v>
      </c>
      <c r="W46" s="771">
        <f t="shared" si="14"/>
        <v>100</v>
      </c>
      <c r="X46" s="1793"/>
      <c r="Y46" s="3676"/>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677" t="str">
        <f>A47</f>
        <v>成交单价（元/平方米）</v>
      </c>
      <c r="Q47" s="3677"/>
      <c r="R47" s="3639">
        <f>E47</f>
        <v>50400</v>
      </c>
      <c r="S47" s="3639"/>
      <c r="T47" s="3639">
        <f>G47</f>
        <v>50285</v>
      </c>
      <c r="U47" s="3639"/>
      <c r="V47" s="3639">
        <f>I47</f>
        <v>53620</v>
      </c>
      <c r="W47" s="3639"/>
      <c r="X47" s="755"/>
      <c r="Y47" s="777"/>
      <c r="Z47" s="755"/>
      <c r="AA47" s="755"/>
      <c r="AB47" s="755"/>
      <c r="AC47" s="755"/>
    </row>
    <row r="48" spans="1:29" ht="15.75" thickBot="1">
      <c r="A48" s="485" t="s">
        <v>2657</v>
      </c>
      <c r="B48" s="486"/>
      <c r="C48" s="1394" t="e">
        <f>R49</f>
        <v>#DIV/0!</v>
      </c>
      <c r="D48" s="1395"/>
      <c r="E48" s="1396" t="e">
        <f>R48</f>
        <v>#DIV/0!</v>
      </c>
      <c r="F48" s="1396"/>
      <c r="G48" s="1394" t="e">
        <f>T48</f>
        <v>#DIV/0!</v>
      </c>
      <c r="H48" s="1395"/>
      <c r="I48" s="1396" t="e">
        <f>V48</f>
        <v>#DIV/0!</v>
      </c>
      <c r="J48" s="1395"/>
      <c r="K48" s="780"/>
      <c r="L48" s="1126"/>
      <c r="M48" s="1127"/>
      <c r="N48" s="1114"/>
      <c r="O48" s="1127"/>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755"/>
      <c r="Y48" s="755"/>
      <c r="Z48" s="755"/>
      <c r="AA48" s="755"/>
      <c r="AB48" s="755"/>
      <c r="AC48" s="755"/>
    </row>
    <row r="49" spans="1:29" ht="15.75" thickBot="1">
      <c r="A49" s="491" t="s">
        <v>2658</v>
      </c>
      <c r="B49" s="492"/>
      <c r="C49" s="1398" t="e">
        <f>R49</f>
        <v>#DIV/0!</v>
      </c>
      <c r="D49" s="1398"/>
      <c r="E49" s="1398"/>
      <c r="F49" s="1398"/>
      <c r="G49" s="1398"/>
      <c r="H49" s="1398"/>
      <c r="I49" s="1398"/>
      <c r="J49" s="1398"/>
      <c r="K49" s="781"/>
      <c r="L49" s="1126"/>
      <c r="M49" s="1127"/>
      <c r="N49" s="1114"/>
      <c r="O49" s="1127"/>
      <c r="P49" s="3679" t="str">
        <f>A49</f>
        <v>估价对象XX用房的比较价值（楼面单价，元/平方米）</v>
      </c>
      <c r="Q49" s="3680"/>
      <c r="R49" s="3681" t="e">
        <f>IF(F1="售价",ROUND(AVERAGE(R48:V48),0),ROUND(AVERAGE(R48:V48),1))</f>
        <v>#DIV/0!</v>
      </c>
      <c r="S49" s="3681"/>
      <c r="T49" s="3681"/>
      <c r="U49" s="3681"/>
      <c r="V49" s="3681"/>
      <c r="W49" s="368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2020-6</v>
      </c>
      <c r="D58" s="1555">
        <f>EDATE(C58,-1)</f>
        <v>43952</v>
      </c>
      <c r="E58" s="1555">
        <f t="shared" ref="E58:N58" si="16">EDATE(D58,-1)</f>
        <v>43922</v>
      </c>
      <c r="F58" s="1555">
        <f t="shared" si="16"/>
        <v>43891</v>
      </c>
      <c r="G58" s="1555">
        <f t="shared" si="16"/>
        <v>43862</v>
      </c>
      <c r="H58" s="1555">
        <f t="shared" si="16"/>
        <v>43831</v>
      </c>
      <c r="I58" s="1555">
        <f t="shared" si="16"/>
        <v>43800</v>
      </c>
      <c r="J58" s="1555">
        <f t="shared" si="16"/>
        <v>43770</v>
      </c>
      <c r="K58" s="1555">
        <f t="shared" si="16"/>
        <v>43739</v>
      </c>
      <c r="L58" s="1555">
        <f t="shared" si="16"/>
        <v>43709</v>
      </c>
      <c r="M58" s="1555">
        <f t="shared" si="16"/>
        <v>43678</v>
      </c>
      <c r="N58" s="1555">
        <f t="shared" si="16"/>
        <v>43647</v>
      </c>
      <c r="O58" s="1555">
        <f>EDATE(N58,-1)</f>
        <v>43617</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3065</v>
      </c>
      <c r="D86" s="2969" t="s">
        <v>3066</v>
      </c>
      <c r="E86" s="2969" t="s">
        <v>3067</v>
      </c>
      <c r="F86" s="2969" t="s">
        <v>3068</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3069</v>
      </c>
      <c r="D88" s="2969" t="s">
        <v>3070</v>
      </c>
      <c r="E88" s="2969" t="s">
        <v>3071</v>
      </c>
      <c r="F88" s="2969" t="s">
        <v>3072</v>
      </c>
      <c r="G88" s="2969" t="s">
        <v>3073</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3069</v>
      </c>
      <c r="D90" s="2969" t="s">
        <v>3070</v>
      </c>
      <c r="E90" s="2969" t="s">
        <v>3071</v>
      </c>
      <c r="F90" s="2969" t="s">
        <v>3072</v>
      </c>
      <c r="G90" s="2969" t="s">
        <v>3073</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3075</v>
      </c>
      <c r="D100" s="2971" t="s">
        <v>3076</v>
      </c>
      <c r="E100" s="2971" t="s">
        <v>3077</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3078</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3079</v>
      </c>
      <c r="D107" s="2969" t="s">
        <v>3080</v>
      </c>
      <c r="E107" s="2969" t="s">
        <v>3081</v>
      </c>
      <c r="F107" s="2972" t="s">
        <v>3082</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3083</v>
      </c>
      <c r="D112" s="2969" t="s">
        <v>3084</v>
      </c>
      <c r="E112" s="2969" t="s">
        <v>3085</v>
      </c>
      <c r="F112" s="2969" t="s">
        <v>3086</v>
      </c>
      <c r="G112" s="2969" t="s">
        <v>3087</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3088</v>
      </c>
      <c r="D114" s="2969" t="s">
        <v>3089</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3090</v>
      </c>
      <c r="D116" s="2969" t="s">
        <v>3091</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3092</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3079</v>
      </c>
      <c r="D122" s="2969" t="s">
        <v>3080</v>
      </c>
      <c r="E122" s="2969" t="s">
        <v>3081</v>
      </c>
      <c r="F122" s="2972" t="s">
        <v>3082</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87" priority="17" stopIfTrue="1" operator="containsText" text="超过">
      <formula>NOT(ISERROR(SEARCH("超过",F52)))</formula>
    </cfRule>
  </conditionalFormatting>
  <conditionalFormatting sqref="H54">
    <cfRule type="containsText" dxfId="186" priority="15" stopIfTrue="1" operator="containsText" text="超过">
      <formula>NOT(ISERROR(SEARCH("超过",H54)))</formula>
    </cfRule>
  </conditionalFormatting>
  <conditionalFormatting sqref="F54">
    <cfRule type="containsText" dxfId="185" priority="14" stopIfTrue="1" operator="containsText" text="超过">
      <formula>NOT(ISERROR(SEARCH("超过",F54)))</formula>
    </cfRule>
  </conditionalFormatting>
  <conditionalFormatting sqref="F53 H53">
    <cfRule type="containsText" dxfId="184" priority="13" stopIfTrue="1" operator="containsText" text="超过">
      <formula>NOT(ISERROR(SEARCH("超过",F53)))</formula>
    </cfRule>
  </conditionalFormatting>
  <conditionalFormatting sqref="E52">
    <cfRule type="expression" dxfId="183" priority="12" stopIfTrue="1">
      <formula>$F$52="超过30%"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4">
    <cfRule type="expression" dxfId="180" priority="9" stopIfTrue="1">
      <formula>$H$54="超过30%"</formula>
    </cfRule>
  </conditionalFormatting>
  <conditionalFormatting sqref="G52">
    <cfRule type="expression" dxfId="179" priority="8" stopIfTrue="1">
      <formula>$H$52="超过30%"</formula>
    </cfRule>
  </conditionalFormatting>
  <conditionalFormatting sqref="G53">
    <cfRule type="expression" dxfId="178" priority="7" stopIfTrue="1">
      <formula>$H$53="超过20%"</formula>
    </cfRule>
  </conditionalFormatting>
  <conditionalFormatting sqref="J52">
    <cfRule type="containsText" dxfId="177" priority="6" stopIfTrue="1" operator="containsText" text="超过">
      <formula>NOT(ISERROR(SEARCH("超过",J52)))</formula>
    </cfRule>
  </conditionalFormatting>
  <conditionalFormatting sqref="J54">
    <cfRule type="containsText" dxfId="176" priority="5" stopIfTrue="1" operator="containsText" text="超过">
      <formula>NOT(ISERROR(SEARCH("超过",J54)))</formula>
    </cfRule>
  </conditionalFormatting>
  <conditionalFormatting sqref="J53">
    <cfRule type="containsText" dxfId="175" priority="4" stopIfTrue="1" operator="containsText" text="超过">
      <formula>NOT(ISERROR(SEARCH("超过",J53)))</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83" t="s">
        <v>2983</v>
      </c>
      <c r="D1" s="3684"/>
      <c r="E1" s="3684"/>
      <c r="F1" s="3684"/>
      <c r="G1" s="3684"/>
      <c r="H1" s="3684"/>
      <c r="I1" s="3684"/>
      <c r="J1" s="3684"/>
      <c r="K1" s="3684"/>
      <c r="L1" s="3684"/>
      <c r="M1" s="3684"/>
      <c r="N1" s="3684"/>
      <c r="O1" s="3684"/>
      <c r="P1" s="3684"/>
      <c r="Q1" s="3684"/>
      <c r="R1" s="3684"/>
      <c r="S1" s="3685"/>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#DIV/0!</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t="e">
        <f>R22</f>
        <v>#DIV/0!</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548" t="s">
        <v>33</v>
      </c>
      <c r="D22" s="3549"/>
      <c r="E22" s="3549"/>
      <c r="F22" s="3549"/>
      <c r="G22" s="3549"/>
      <c r="H22" s="3549"/>
      <c r="I22" s="3549"/>
      <c r="J22" s="3549"/>
      <c r="K22" s="3549"/>
      <c r="L22" s="3549"/>
      <c r="M22" s="3549"/>
      <c r="N22" s="3549"/>
      <c r="O22" s="3549"/>
      <c r="P22" s="3549"/>
      <c r="Q22" s="3682"/>
      <c r="R22" s="713" t="e">
        <f>ROUND(S22*10000/B22,0)</f>
        <v>#DIV/0!</v>
      </c>
      <c r="S22" s="24" t="e">
        <f>SUM(S24:S10000)</f>
        <v>#DIV/0!</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3113</v>
      </c>
      <c r="E24" s="715">
        <v>1</v>
      </c>
      <c r="F24" s="716" t="s">
        <v>3058</v>
      </c>
      <c r="G24" s="715">
        <v>1</v>
      </c>
      <c r="H24" s="716" t="s">
        <v>3058</v>
      </c>
      <c r="I24" s="715">
        <v>1</v>
      </c>
      <c r="J24" s="716"/>
      <c r="K24" s="715">
        <v>1</v>
      </c>
      <c r="L24" s="716"/>
      <c r="M24" s="715">
        <v>1</v>
      </c>
      <c r="N24" s="716"/>
      <c r="O24" s="715">
        <v>1</v>
      </c>
      <c r="P24" s="716">
        <v>1</v>
      </c>
      <c r="Q24" s="715">
        <v>1</v>
      </c>
      <c r="R24" s="717" t="e">
        <f>'比较法-商业'!B3</f>
        <v>#DIV/0!</v>
      </c>
      <c r="S24" s="715" t="e">
        <f t="shared" ref="S24:S54" si="11">ROUND(R24*B24/10000,0)</f>
        <v>#DIV/0!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3113</v>
      </c>
      <c r="E25" s="24">
        <f>(SUMIF($5:$5,D25,$6:$6)-SUMIF($5:$5,$D$24,$6:$6)+100)/100</f>
        <v>1</v>
      </c>
      <c r="F25" s="716" t="s">
        <v>3058</v>
      </c>
      <c r="G25" s="24">
        <f>(SUMIF($7:$7,F25,$8:$8)-SUMIF($7:$7,$F$24,$8:$8)+100)/100</f>
        <v>1</v>
      </c>
      <c r="H25" s="716" t="s">
        <v>3058</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t="e">
        <f>IF(B25="",0,ROUND($R$24*C25*E25*G25*I25*K25*M25*O25*Q25,0))</f>
        <v>#DIV/0!</v>
      </c>
      <c r="S25" s="361" t="e">
        <f t="shared" si="11"/>
        <v>#DIV/0!</v>
      </c>
    </row>
    <row r="26" spans="1:45">
      <c r="A26" s="3007" t="str">
        <f>面积表!D4</f>
        <v>601</v>
      </c>
      <c r="B26" s="2953">
        <f>面积表!I4</f>
        <v>1443.69</v>
      </c>
      <c r="C26" s="24">
        <f t="shared" ref="C26:C89" si="12">IF(B26="",1,(LOOKUP(B26,$3:$3,$4:$4)-LOOKUP($B$24,$3:$3,$4:$4)+100)/100)</f>
        <v>1</v>
      </c>
      <c r="D26" s="716" t="s">
        <v>3113</v>
      </c>
      <c r="E26" s="24">
        <f t="shared" ref="E26:E89" si="13">(SUMIF($5:$5,D26,$6:$6)-SUMIF($5:$5,$D$24,$6:$6)+100)/100</f>
        <v>1</v>
      </c>
      <c r="F26" s="716" t="s">
        <v>3058</v>
      </c>
      <c r="G26" s="24">
        <f t="shared" ref="G26:G89" si="14">(SUMIF($7:$7,F26,$8:$8)-SUMIF($7:$7,$F$24,$8:$8)+100)/100</f>
        <v>1</v>
      </c>
      <c r="H26" s="716" t="s">
        <v>3058</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t="e">
        <f t="shared" ref="R26:R89" si="20">IF(B26="",0,ROUND($R$24*C26*E26*G26*I26*K26*M26*O26*Q26,0))</f>
        <v>#DIV/0!</v>
      </c>
      <c r="S26" s="361" t="e">
        <f t="shared" si="11"/>
        <v>#DIV/0!</v>
      </c>
    </row>
    <row r="27" spans="1:45">
      <c r="A27" s="3007" t="str">
        <f>面积表!D5</f>
        <v>701</v>
      </c>
      <c r="B27" s="2953">
        <f>面积表!I5</f>
        <v>1443.69</v>
      </c>
      <c r="C27" s="24">
        <f t="shared" si="12"/>
        <v>1</v>
      </c>
      <c r="D27" s="716" t="s">
        <v>3113</v>
      </c>
      <c r="E27" s="24">
        <f t="shared" si="13"/>
        <v>1</v>
      </c>
      <c r="F27" s="716" t="s">
        <v>3058</v>
      </c>
      <c r="G27" s="24">
        <f t="shared" si="14"/>
        <v>1</v>
      </c>
      <c r="H27" s="716" t="s">
        <v>3058</v>
      </c>
      <c r="I27" s="24">
        <f t="shared" si="15"/>
        <v>1</v>
      </c>
      <c r="J27" s="716"/>
      <c r="K27" s="24">
        <f t="shared" si="16"/>
        <v>1</v>
      </c>
      <c r="L27" s="716"/>
      <c r="M27" s="24">
        <f t="shared" si="17"/>
        <v>1</v>
      </c>
      <c r="N27" s="716"/>
      <c r="O27" s="24">
        <f t="shared" si="18"/>
        <v>1</v>
      </c>
      <c r="P27" s="716">
        <v>1</v>
      </c>
      <c r="Q27" s="24">
        <f t="shared" si="19"/>
        <v>1</v>
      </c>
      <c r="R27" s="713" t="e">
        <f t="shared" si="20"/>
        <v>#DIV/0!</v>
      </c>
      <c r="S27" s="361" t="e">
        <f t="shared" si="11"/>
        <v>#DIV/0!</v>
      </c>
    </row>
    <row r="28" spans="1:45">
      <c r="A28" s="3007" t="str">
        <f>面积表!D6</f>
        <v>801</v>
      </c>
      <c r="B28" s="2953">
        <f>面积表!I6</f>
        <v>1443.69</v>
      </c>
      <c r="C28" s="24">
        <f t="shared" si="12"/>
        <v>1</v>
      </c>
      <c r="D28" s="716" t="s">
        <v>3113</v>
      </c>
      <c r="E28" s="24">
        <f t="shared" si="13"/>
        <v>1</v>
      </c>
      <c r="F28" s="716" t="s">
        <v>3058</v>
      </c>
      <c r="G28" s="24">
        <f t="shared" si="14"/>
        <v>1</v>
      </c>
      <c r="H28" s="716" t="s">
        <v>3058</v>
      </c>
      <c r="I28" s="24">
        <f t="shared" si="15"/>
        <v>1</v>
      </c>
      <c r="J28" s="716"/>
      <c r="K28" s="24">
        <f t="shared" si="16"/>
        <v>1</v>
      </c>
      <c r="L28" s="716"/>
      <c r="M28" s="24">
        <f t="shared" si="17"/>
        <v>1</v>
      </c>
      <c r="N28" s="716"/>
      <c r="O28" s="24">
        <f t="shared" si="18"/>
        <v>1</v>
      </c>
      <c r="P28" s="716">
        <v>1</v>
      </c>
      <c r="Q28" s="24">
        <f t="shared" si="19"/>
        <v>1</v>
      </c>
      <c r="R28" s="713" t="e">
        <f t="shared" si="20"/>
        <v>#DIV/0!</v>
      </c>
      <c r="S28" s="361" t="e">
        <f t="shared" si="11"/>
        <v>#DIV/0!</v>
      </c>
    </row>
    <row r="29" spans="1:45">
      <c r="A29" s="3007" t="str">
        <f>面积表!D7</f>
        <v>901</v>
      </c>
      <c r="B29" s="2953">
        <f>面积表!I7</f>
        <v>1443.69</v>
      </c>
      <c r="C29" s="24">
        <f t="shared" si="12"/>
        <v>1</v>
      </c>
      <c r="D29" s="716" t="s">
        <v>3113</v>
      </c>
      <c r="E29" s="24">
        <f t="shared" si="13"/>
        <v>1</v>
      </c>
      <c r="F29" s="716" t="s">
        <v>3058</v>
      </c>
      <c r="G29" s="24">
        <f t="shared" si="14"/>
        <v>1</v>
      </c>
      <c r="H29" s="716" t="s">
        <v>3058</v>
      </c>
      <c r="I29" s="24">
        <f t="shared" si="15"/>
        <v>1</v>
      </c>
      <c r="J29" s="716"/>
      <c r="K29" s="24">
        <f t="shared" si="16"/>
        <v>1</v>
      </c>
      <c r="L29" s="716"/>
      <c r="M29" s="24">
        <f t="shared" si="17"/>
        <v>1</v>
      </c>
      <c r="N29" s="716"/>
      <c r="O29" s="24">
        <f t="shared" si="18"/>
        <v>1</v>
      </c>
      <c r="P29" s="716">
        <v>1</v>
      </c>
      <c r="Q29" s="24">
        <f t="shared" si="19"/>
        <v>1</v>
      </c>
      <c r="R29" s="713" t="e">
        <f t="shared" si="20"/>
        <v>#DIV/0!</v>
      </c>
      <c r="S29" s="361" t="e">
        <f t="shared" si="11"/>
        <v>#DIV/0!</v>
      </c>
    </row>
    <row r="30" spans="1:45">
      <c r="A30" s="3007" t="str">
        <f>面积表!D8</f>
        <v>1001</v>
      </c>
      <c r="B30" s="2953">
        <f>面积表!I8</f>
        <v>1443.69</v>
      </c>
      <c r="C30" s="24">
        <f t="shared" si="12"/>
        <v>1</v>
      </c>
      <c r="D30" s="716" t="s">
        <v>3113</v>
      </c>
      <c r="E30" s="24">
        <f t="shared" si="13"/>
        <v>1</v>
      </c>
      <c r="F30" s="716" t="s">
        <v>3058</v>
      </c>
      <c r="G30" s="24">
        <f t="shared" si="14"/>
        <v>1</v>
      </c>
      <c r="H30" s="716" t="s">
        <v>3058</v>
      </c>
      <c r="I30" s="24">
        <f t="shared" si="15"/>
        <v>1</v>
      </c>
      <c r="J30" s="716"/>
      <c r="K30" s="24">
        <f t="shared" si="16"/>
        <v>1</v>
      </c>
      <c r="L30" s="716"/>
      <c r="M30" s="24">
        <f t="shared" si="17"/>
        <v>1</v>
      </c>
      <c r="N30" s="716"/>
      <c r="O30" s="24">
        <f t="shared" si="18"/>
        <v>1</v>
      </c>
      <c r="P30" s="716">
        <v>1</v>
      </c>
      <c r="Q30" s="24">
        <f t="shared" si="19"/>
        <v>1</v>
      </c>
      <c r="R30" s="713" t="e">
        <f t="shared" si="20"/>
        <v>#DIV/0!</v>
      </c>
      <c r="S30" s="361" t="e">
        <f t="shared" si="11"/>
        <v>#DIV/0!</v>
      </c>
    </row>
    <row r="31" spans="1:45">
      <c r="A31" s="3007" t="str">
        <f>面积表!D9</f>
        <v>1101</v>
      </c>
      <c r="B31" s="2953">
        <f>面积表!I9</f>
        <v>1443.69</v>
      </c>
      <c r="C31" s="24">
        <f t="shared" si="12"/>
        <v>1</v>
      </c>
      <c r="D31" s="716" t="s">
        <v>3113</v>
      </c>
      <c r="E31" s="24">
        <f t="shared" si="13"/>
        <v>1</v>
      </c>
      <c r="F31" s="716" t="s">
        <v>3058</v>
      </c>
      <c r="G31" s="24">
        <f t="shared" si="14"/>
        <v>1</v>
      </c>
      <c r="H31" s="716" t="s">
        <v>3058</v>
      </c>
      <c r="I31" s="24">
        <f t="shared" si="15"/>
        <v>1</v>
      </c>
      <c r="J31" s="716"/>
      <c r="K31" s="24">
        <f t="shared" si="16"/>
        <v>1</v>
      </c>
      <c r="L31" s="716"/>
      <c r="M31" s="24">
        <f t="shared" si="17"/>
        <v>1</v>
      </c>
      <c r="N31" s="716"/>
      <c r="O31" s="24">
        <f t="shared" si="18"/>
        <v>1</v>
      </c>
      <c r="P31" s="716">
        <v>1</v>
      </c>
      <c r="Q31" s="24">
        <f t="shared" si="19"/>
        <v>1</v>
      </c>
      <c r="R31" s="713" t="e">
        <f t="shared" si="20"/>
        <v>#DIV/0!</v>
      </c>
      <c r="S31" s="361" t="e">
        <f t="shared" si="11"/>
        <v>#DIV/0!</v>
      </c>
    </row>
    <row r="32" spans="1:45">
      <c r="A32" s="3007" t="str">
        <f>面积表!D10</f>
        <v>1201</v>
      </c>
      <c r="B32" s="2953">
        <f>面积表!I10</f>
        <v>1443.69</v>
      </c>
      <c r="C32" s="24">
        <f t="shared" si="12"/>
        <v>1</v>
      </c>
      <c r="D32" s="716" t="s">
        <v>3113</v>
      </c>
      <c r="E32" s="24">
        <f t="shared" si="13"/>
        <v>1</v>
      </c>
      <c r="F32" s="716" t="s">
        <v>3058</v>
      </c>
      <c r="G32" s="24">
        <f t="shared" si="14"/>
        <v>1</v>
      </c>
      <c r="H32" s="716" t="s">
        <v>3058</v>
      </c>
      <c r="I32" s="24">
        <f t="shared" si="15"/>
        <v>1</v>
      </c>
      <c r="J32" s="716"/>
      <c r="K32" s="24">
        <f t="shared" si="16"/>
        <v>1</v>
      </c>
      <c r="L32" s="716"/>
      <c r="M32" s="24">
        <f t="shared" si="17"/>
        <v>1</v>
      </c>
      <c r="N32" s="716"/>
      <c r="O32" s="24">
        <f t="shared" si="18"/>
        <v>1</v>
      </c>
      <c r="P32" s="716">
        <v>1</v>
      </c>
      <c r="Q32" s="24">
        <f t="shared" si="19"/>
        <v>1</v>
      </c>
      <c r="R32" s="713" t="e">
        <f t="shared" si="20"/>
        <v>#DIV/0!</v>
      </c>
      <c r="S32" s="361" t="e">
        <f t="shared" si="11"/>
        <v>#DIV/0!</v>
      </c>
    </row>
    <row r="33" spans="1:19">
      <c r="A33" s="3007" t="str">
        <f>面积表!D11</f>
        <v>1301</v>
      </c>
      <c r="B33" s="2953">
        <f>面积表!I11</f>
        <v>1443.69</v>
      </c>
      <c r="C33" s="24">
        <f t="shared" si="12"/>
        <v>1</v>
      </c>
      <c r="D33" s="716" t="s">
        <v>3113</v>
      </c>
      <c r="E33" s="24">
        <f t="shared" si="13"/>
        <v>1</v>
      </c>
      <c r="F33" s="716" t="s">
        <v>3058</v>
      </c>
      <c r="G33" s="24">
        <f t="shared" si="14"/>
        <v>1</v>
      </c>
      <c r="H33" s="716" t="s">
        <v>3058</v>
      </c>
      <c r="I33" s="24">
        <f t="shared" si="15"/>
        <v>1</v>
      </c>
      <c r="J33" s="716"/>
      <c r="K33" s="24">
        <f t="shared" si="16"/>
        <v>1</v>
      </c>
      <c r="L33" s="716"/>
      <c r="M33" s="24">
        <f t="shared" si="17"/>
        <v>1</v>
      </c>
      <c r="N33" s="716"/>
      <c r="O33" s="24">
        <f t="shared" si="18"/>
        <v>1</v>
      </c>
      <c r="P33" s="716">
        <v>2</v>
      </c>
      <c r="Q33" s="24">
        <f t="shared" si="19"/>
        <v>0.75</v>
      </c>
      <c r="R33" s="713" t="e">
        <f t="shared" si="20"/>
        <v>#DIV/0!</v>
      </c>
      <c r="S33" s="361" t="e">
        <f t="shared" si="11"/>
        <v>#DIV/0!</v>
      </c>
    </row>
    <row r="34" spans="1:19">
      <c r="A34" s="3007"/>
      <c r="B34" s="2953"/>
      <c r="C34" s="24">
        <f t="shared" si="12"/>
        <v>1</v>
      </c>
      <c r="D34" s="716"/>
      <c r="E34" s="24">
        <f t="shared" si="13"/>
        <v>0.06</v>
      </c>
      <c r="F34" s="716" t="s">
        <v>3058</v>
      </c>
      <c r="G34" s="24">
        <f t="shared" si="14"/>
        <v>1</v>
      </c>
      <c r="H34" s="716" t="s">
        <v>3058</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3058</v>
      </c>
      <c r="G35" s="24">
        <f t="shared" si="14"/>
        <v>1</v>
      </c>
      <c r="H35" s="716" t="s">
        <v>3058</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3678</v>
      </c>
      <c r="C1" s="242"/>
      <c r="D1" s="242"/>
      <c r="E1" s="242"/>
      <c r="F1" s="242"/>
      <c r="G1" s="1361">
        <f>MATCH(B1,'数据-取费表'!A6:A16,0)+5</f>
        <v>7</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ROUND('土地比较法-住宅、综合'!B56*'数据-汇总表'!F20/10000,0)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3628</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33" t="s">
        <v>2397</v>
      </c>
    </row>
    <row r="43" spans="1:7" ht="13.5" customHeight="1">
      <c r="A43" s="941" t="s">
        <v>792</v>
      </c>
      <c r="B43" s="259" t="s">
        <v>2398</v>
      </c>
      <c r="C43" s="282">
        <f ca="1">ROUND(IF('数据-取费表'!B22&lt;=1,C39*F22*'数据-取费表'!B21/2,C39*(POWER((1+F22),'数据-取费表'!B21/2)-1)),0)</f>
        <v>0</v>
      </c>
      <c r="D43" s="282"/>
      <c r="E43" s="282"/>
      <c r="F43" s="283"/>
      <c r="G43" s="3634"/>
    </row>
    <row r="44" spans="1:7" ht="13.5" customHeight="1">
      <c r="A44" s="941" t="s">
        <v>793</v>
      </c>
      <c r="B44" s="259" t="s">
        <v>2399</v>
      </c>
      <c r="C44" s="282">
        <f ca="1">ROUND(IF('数据-取费表'!B22&lt;=1,C40*F22*'数据-取费表'!B21/2,C40*(POWER((1+F22),'数据-取费表'!B21/2)-1)),4)</f>
        <v>1E-3</v>
      </c>
      <c r="D44" s="282"/>
      <c r="E44" s="282"/>
      <c r="F44" s="283"/>
      <c r="G44" s="3635"/>
    </row>
    <row r="45" spans="1:7" s="258" customFormat="1" ht="13.5" customHeight="1">
      <c r="A45" s="299" t="s">
        <v>2400</v>
      </c>
      <c r="B45" s="288" t="s">
        <v>2366</v>
      </c>
      <c r="C45" s="289">
        <f ca="1">C46</f>
        <v>0</v>
      </c>
      <c r="D45" s="279">
        <f ca="1">C47</f>
        <v>5.0000000000000001E-3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22.8</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0</v>
      </c>
      <c r="D6" s="164" t="s">
        <v>3004</v>
      </c>
      <c r="E6" s="347" t="s">
        <v>1393</v>
      </c>
      <c r="F6" s="348">
        <f ca="1">INDIRECT("'数据-取费表'!u"&amp;$G$1)</f>
        <v>0</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2942" t="s">
        <v>1394</v>
      </c>
      <c r="F7" s="348">
        <f ca="1">IF(INDIRECT("'数据-取费表'!ah"&amp;$G$1)="",INDIRECT("'数据-取费表'!k"&amp;$G$1),INDIRECT("'数据-取费表'!ah"&amp;$G$1))</f>
        <v>0</v>
      </c>
      <c r="G7" s="1831"/>
      <c r="H7" s="349"/>
      <c r="I7" s="3687"/>
      <c r="J7" s="351"/>
      <c r="K7" s="352"/>
      <c r="L7" s="347" t="s">
        <v>1394</v>
      </c>
      <c r="M7" s="348">
        <f ca="1">F7</f>
        <v>0</v>
      </c>
    </row>
    <row r="8" spans="1:37" ht="18" customHeight="1">
      <c r="A8" s="349"/>
      <c r="B8" s="3687"/>
      <c r="C8" s="351"/>
      <c r="D8" s="352"/>
      <c r="E8" s="347" t="s">
        <v>1395</v>
      </c>
      <c r="F8" s="348">
        <f ca="1">INDIRECT("'数据-取费表'!ai"&amp;$G$1)</f>
        <v>0</v>
      </c>
      <c r="G8" s="1831"/>
      <c r="H8" s="349"/>
      <c r="I8" s="3687"/>
      <c r="J8" s="351"/>
      <c r="K8" s="352"/>
      <c r="L8" s="347" t="s">
        <v>1395</v>
      </c>
      <c r="M8" s="348">
        <f ca="1">INDIRECT("'数据-取费表'!ai"&amp;$G$1)</f>
        <v>0</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2938">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89" t="s">
        <v>1536</v>
      </c>
      <c r="L53" s="3690"/>
      <c r="O53" s="1864" t="s">
        <v>1043</v>
      </c>
      <c r="P53" s="1865" t="s">
        <v>1537</v>
      </c>
      <c r="Q53" s="1866">
        <f ca="1">Q47+Q48</f>
        <v>0</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3678</v>
      </c>
      <c r="D1" s="1800" t="s">
        <v>70</v>
      </c>
      <c r="E1" s="1801" t="s">
        <v>1375</v>
      </c>
      <c r="F1" s="1265">
        <f ca="1">J53</f>
        <v>22.8</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0</v>
      </c>
      <c r="D6" s="164" t="s">
        <v>3004</v>
      </c>
      <c r="E6" s="347" t="s">
        <v>1393</v>
      </c>
      <c r="F6" s="348">
        <f ca="1">INDIRECT("'数据-取费表'!u"&amp;$G$1)</f>
        <v>0</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3407" t="s">
        <v>1394</v>
      </c>
      <c r="F7" s="348">
        <f ca="1">IF(INDIRECT("'数据-取费表'!ah"&amp;$G$1)="",INDIRECT("'数据-取费表'!k"&amp;$G$1),INDIRECT("'数据-取费表'!ah"&amp;$G$1))</f>
        <v>0</v>
      </c>
      <c r="G7" s="1831"/>
      <c r="H7" s="349"/>
      <c r="I7" s="3687"/>
      <c r="J7" s="351"/>
      <c r="K7" s="352"/>
      <c r="L7" s="347" t="s">
        <v>1394</v>
      </c>
      <c r="M7" s="348">
        <f ca="1">F7</f>
        <v>0</v>
      </c>
    </row>
    <row r="8" spans="1:37" ht="18" customHeight="1">
      <c r="A8" s="349"/>
      <c r="B8" s="3687"/>
      <c r="C8" s="351"/>
      <c r="D8" s="352"/>
      <c r="E8" s="347" t="s">
        <v>1395</v>
      </c>
      <c r="F8" s="348">
        <f ca="1">INDIRECT("'数据-取费表'!ai"&amp;$G$1)</f>
        <v>0</v>
      </c>
      <c r="G8" s="1831"/>
      <c r="H8" s="349"/>
      <c r="I8" s="3687"/>
      <c r="J8" s="351"/>
      <c r="K8" s="352"/>
      <c r="L8" s="347" t="s">
        <v>1395</v>
      </c>
      <c r="M8" s="348">
        <f ca="1">INDIRECT("'数据-取费表'!ai"&amp;$G$1)</f>
        <v>0</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399" t="s">
        <v>1442</v>
      </c>
      <c r="E37" s="347" t="s">
        <v>1410</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89" t="s">
        <v>1536</v>
      </c>
      <c r="L53" s="3690"/>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估价对象为北京市朝阳区广顺北大街16号院1、2、3号楼房地产，为所有。根据《国有土地使用证》[]，估价对象（分摊）出让国有建设用地使用权面积为10980.19平方米，建筑面积为47823.99平方米。</v>
      </c>
    </row>
    <row r="8" spans="1:1" ht="57.75">
      <c r="A8" s="1930" t="s">
        <v>1602</v>
      </c>
    </row>
    <row r="9" spans="1:1" ht="18.75">
      <c r="A9" s="1929" t="s">
        <v>1603</v>
      </c>
    </row>
    <row r="10" spans="1:1" ht="72">
      <c r="A10" s="1927"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10980.19平方米，规划建筑面积为47823.99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2020年6月1日（评估专业人员实地查勘之日）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"本次评估采用的主估价方法为"&amp;结果表商!K4&amp;"和"&amp;结果表商!L4&amp;"。"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691" t="s">
        <v>2510</v>
      </c>
      <c r="C5" s="3691"/>
      <c r="D5" s="2546"/>
      <c r="E5" s="2547" t="s">
        <v>2511</v>
      </c>
      <c r="F5" s="2548" t="s">
        <v>2512</v>
      </c>
    </row>
    <row r="6" spans="1:6">
      <c r="A6" s="2549">
        <f>'数据-取费表'!AN6</f>
        <v>0</v>
      </c>
      <c r="B6" s="2548" t="e">
        <f ca="1">IF(F6="是",'数据-取费表'!AO6,0)</f>
        <v>#REF!</v>
      </c>
      <c r="C6" s="2539" t="s">
        <v>2507</v>
      </c>
      <c r="D6" s="2542"/>
      <c r="E6" s="2550">
        <f>IF(OR(A6=0,F6="否"),0,'数据-取费表'!K6+'数据-取费表'!S6)</f>
        <v>0</v>
      </c>
      <c r="F6" s="2551" t="s">
        <v>2513</v>
      </c>
    </row>
    <row r="7" spans="1:6">
      <c r="A7" s="2549">
        <f>'数据-取费表'!AN7</f>
        <v>0</v>
      </c>
      <c r="B7" s="2548" t="e">
        <f ca="1">IF(F7="是",'数据-取费表'!AO7,0)</f>
        <v>#REF!</v>
      </c>
      <c r="C7" s="2539" t="s">
        <v>2507</v>
      </c>
      <c r="D7" s="2542"/>
      <c r="E7" s="2550">
        <f>IF(OR(A7=0,F7="否"),0,'数据-取费表'!K7+'数据-取费表'!S7)</f>
        <v>0</v>
      </c>
      <c r="F7" s="2551" t="s">
        <v>2513</v>
      </c>
    </row>
    <row r="8" spans="1:6">
      <c r="A8" s="2549" t="str">
        <f>'数据-取费表'!AN8</f>
        <v>收益法办租</v>
      </c>
      <c r="B8" s="2548">
        <f>IF(F8="是",'数据-取费表'!AO8,0)</f>
        <v>0</v>
      </c>
      <c r="C8" s="2539" t="s">
        <v>2507</v>
      </c>
      <c r="D8" s="2542"/>
      <c r="E8" s="2550">
        <f>IF(OR(A8=0,F8="否"),0,'数据-取费表'!K8+'数据-取费表'!S8)</f>
        <v>0</v>
      </c>
      <c r="F8" s="2551" t="s">
        <v>3094</v>
      </c>
    </row>
    <row r="9" spans="1:6">
      <c r="A9" s="2549" t="str">
        <f>'数据-取费表'!AN9</f>
        <v>收益法办自</v>
      </c>
      <c r="B9" s="2548">
        <f>IF(F9="是",'数据-取费表'!AO9,0)</f>
        <v>0</v>
      </c>
      <c r="C9" s="2539" t="s">
        <v>2507</v>
      </c>
      <c r="D9" s="2542"/>
      <c r="E9" s="2550">
        <f>IF(OR(A9=0,F9="否"),0,'数据-取费表'!K9+'数据-取费表'!S9)</f>
        <v>0</v>
      </c>
      <c r="F9" s="2551" t="s">
        <v>3094</v>
      </c>
    </row>
    <row r="10" spans="1:6">
      <c r="A10" s="2549" t="str">
        <f>'数据-取费表'!AN10</f>
        <v>收益法车库</v>
      </c>
      <c r="B10" s="2548">
        <f>IF(F10="是",'数据-取费表'!AO10,0)</f>
        <v>0</v>
      </c>
      <c r="C10" s="2539" t="s">
        <v>2507</v>
      </c>
      <c r="D10" s="2542"/>
      <c r="E10" s="2550">
        <f>IF(OR(A10=0,F10="否"),0,'数据-取费表'!K10+'数据-取费表'!S10)</f>
        <v>0</v>
      </c>
      <c r="F10" s="2551" t="s">
        <v>3094</v>
      </c>
    </row>
    <row r="11" spans="1:6">
      <c r="A11" s="2549" t="str">
        <f>'数据-取费表'!AN11</f>
        <v>收益法酒店</v>
      </c>
      <c r="B11" s="2548">
        <f>IF(F11="是",'数据-取费表'!AO11,0)</f>
        <v>0</v>
      </c>
      <c r="C11" s="2539" t="s">
        <v>2507</v>
      </c>
      <c r="D11" s="2542"/>
      <c r="E11" s="2550">
        <f>IF(OR(A11=0,F11="否"),0,'数据-取费表'!K11+'数据-取费表'!S11)</f>
        <v>0</v>
      </c>
      <c r="F11" s="2551" t="s">
        <v>3094</v>
      </c>
    </row>
    <row r="12" spans="1:6">
      <c r="A12" s="2549">
        <f>'数据-取费表'!AN12</f>
        <v>0</v>
      </c>
      <c r="B12" s="2548">
        <f>IF(F12="是",'数据-取费表'!AO12,0)</f>
        <v>0</v>
      </c>
      <c r="C12" s="2539" t="s">
        <v>2507</v>
      </c>
      <c r="D12" s="2542"/>
      <c r="E12" s="2550">
        <f>IF(OR(A12=0,F12="否"),0,'数据-取费表'!K12+'数据-取费表'!S12)</f>
        <v>0</v>
      </c>
      <c r="F12" s="2551" t="s">
        <v>3094</v>
      </c>
    </row>
    <row r="13" spans="1:6" ht="15" thickBot="1">
      <c r="A13" s="2552">
        <f>'数据-取费表'!AN13</f>
        <v>0</v>
      </c>
      <c r="B13" s="2548">
        <f>IF(F13="是",'数据-取费表'!AO13,0)</f>
        <v>0</v>
      </c>
      <c r="C13" s="2553" t="s">
        <v>2507</v>
      </c>
      <c r="D13" s="2554"/>
      <c r="E13" s="2550">
        <f>IF(OR(A13=0,F13="否"),0,'数据-取费表'!K13+'数据-取费表'!S13)</f>
        <v>0</v>
      </c>
      <c r="F13" s="2551"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9" sqref="J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3050</v>
      </c>
      <c r="H1" s="2392" t="str">
        <f>IF(G1="现房","——","估价对象范围")</f>
        <v>——</v>
      </c>
      <c r="I1" s="2393"/>
    </row>
    <row r="2" spans="1:12" ht="21.75" customHeight="1" thickBot="1">
      <c r="A2" s="3612" t="str">
        <f>项目基本情况!S2</f>
        <v>北京市朝阳区广顺北大街16号院1、2、3号楼房地产</v>
      </c>
      <c r="B2" s="3613"/>
      <c r="C2" s="3613"/>
      <c r="D2" s="3613"/>
      <c r="E2" s="3613"/>
      <c r="F2" s="3613"/>
      <c r="G2" s="3613"/>
      <c r="H2" s="3613"/>
      <c r="I2" s="3614"/>
    </row>
    <row r="3" spans="1:12" ht="12.75">
      <c r="A3" s="3615" t="s">
        <v>2107</v>
      </c>
      <c r="B3" s="3616"/>
      <c r="C3" s="3616"/>
      <c r="D3" s="3616"/>
      <c r="E3" s="3616"/>
      <c r="F3" s="3616"/>
      <c r="G3" s="3616"/>
      <c r="H3" s="3616"/>
      <c r="I3" s="3616"/>
    </row>
    <row r="4" spans="1:12" ht="14.25">
      <c r="A4" s="2396" t="s">
        <v>2108</v>
      </c>
      <c r="B4" s="2397" t="s">
        <v>2109</v>
      </c>
      <c r="C4" s="2398" t="s">
        <v>3696</v>
      </c>
      <c r="D4" s="2398" t="s">
        <v>3692</v>
      </c>
      <c r="E4" s="3596" t="s">
        <v>2110</v>
      </c>
      <c r="F4" s="3609"/>
      <c r="G4" s="3609"/>
      <c r="H4" s="3609"/>
      <c r="I4" s="3597"/>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87" t="s">
        <v>2111</v>
      </c>
      <c r="B5" s="3504">
        <v>25</v>
      </c>
      <c r="C5" s="3617"/>
      <c r="D5" s="3605"/>
      <c r="E5" s="140" t="s">
        <v>2112</v>
      </c>
      <c r="F5" s="2400"/>
      <c r="G5" s="2400"/>
      <c r="H5" s="2400"/>
      <c r="I5" s="1811"/>
    </row>
    <row r="6" spans="1:12" ht="12.75">
      <c r="A6" s="3587"/>
      <c r="B6" s="3504"/>
      <c r="C6" s="3619"/>
      <c r="D6" s="3605"/>
      <c r="E6" s="140" t="s">
        <v>2113</v>
      </c>
      <c r="F6" s="2400"/>
      <c r="G6" s="2400"/>
      <c r="H6" s="2400"/>
      <c r="I6" s="1811"/>
    </row>
    <row r="7" spans="1:12" ht="12.75">
      <c r="A7" s="3587"/>
      <c r="B7" s="3504"/>
      <c r="C7" s="3618"/>
      <c r="D7" s="3605"/>
      <c r="E7" s="140" t="s">
        <v>2114</v>
      </c>
      <c r="F7" s="2400"/>
      <c r="G7" s="2400"/>
      <c r="H7" s="2400"/>
      <c r="I7" s="1811"/>
    </row>
    <row r="8" spans="1:12" ht="12.75">
      <c r="A8" s="3587" t="s">
        <v>2115</v>
      </c>
      <c r="B8" s="3504">
        <v>15</v>
      </c>
      <c r="C8" s="3617"/>
      <c r="D8" s="3605"/>
      <c r="E8" s="140" t="s">
        <v>2116</v>
      </c>
      <c r="F8" s="2400"/>
      <c r="G8" s="2400"/>
      <c r="H8" s="2400"/>
      <c r="I8" s="1811"/>
    </row>
    <row r="9" spans="1:12" ht="12.75">
      <c r="A9" s="3587"/>
      <c r="B9" s="3504"/>
      <c r="C9" s="3618"/>
      <c r="D9" s="3605"/>
      <c r="E9" s="140" t="s">
        <v>2117</v>
      </c>
      <c r="F9" s="2400"/>
      <c r="G9" s="2400"/>
      <c r="H9" s="2400"/>
      <c r="I9" s="1811"/>
    </row>
    <row r="10" spans="1:12" ht="12.75">
      <c r="A10" s="3587" t="s">
        <v>2118</v>
      </c>
      <c r="B10" s="3504">
        <v>15</v>
      </c>
      <c r="C10" s="3617"/>
      <c r="D10" s="3605"/>
      <c r="E10" s="140" t="s">
        <v>2119</v>
      </c>
      <c r="F10" s="2400"/>
      <c r="G10" s="2400"/>
      <c r="H10" s="2400"/>
      <c r="I10" s="1811"/>
    </row>
    <row r="11" spans="1:12" ht="12.75">
      <c r="A11" s="3587"/>
      <c r="B11" s="3504"/>
      <c r="C11" s="3618"/>
      <c r="D11" s="3605"/>
      <c r="E11" s="140" t="s">
        <v>2120</v>
      </c>
      <c r="F11" s="2400"/>
      <c r="G11" s="2400"/>
      <c r="H11" s="2400"/>
      <c r="I11" s="1811"/>
    </row>
    <row r="12" spans="1:12" ht="12.75">
      <c r="A12" s="3587" t="s">
        <v>2121</v>
      </c>
      <c r="B12" s="3504">
        <v>15</v>
      </c>
      <c r="C12" s="3617"/>
      <c r="D12" s="3605"/>
      <c r="E12" s="140" t="s">
        <v>2122</v>
      </c>
      <c r="F12" s="2400"/>
      <c r="G12" s="2400"/>
      <c r="H12" s="2400"/>
      <c r="I12" s="1811"/>
    </row>
    <row r="13" spans="1:12" ht="12.75">
      <c r="A13" s="3587"/>
      <c r="B13" s="3504"/>
      <c r="C13" s="3618"/>
      <c r="D13" s="3605"/>
      <c r="E13" s="140" t="s">
        <v>2123</v>
      </c>
      <c r="F13" s="2400"/>
      <c r="G13" s="2400"/>
      <c r="H13" s="2400"/>
      <c r="I13" s="1811"/>
    </row>
    <row r="14" spans="1:12" ht="12.75">
      <c r="A14" s="3587" t="s">
        <v>2124</v>
      </c>
      <c r="B14" s="3504">
        <v>30</v>
      </c>
      <c r="C14" s="3617">
        <v>7</v>
      </c>
      <c r="D14" s="3605">
        <v>3</v>
      </c>
      <c r="E14" s="140" t="s">
        <v>2125</v>
      </c>
      <c r="F14" s="2400"/>
      <c r="G14" s="2400"/>
      <c r="H14" s="2400"/>
      <c r="I14" s="1811"/>
    </row>
    <row r="15" spans="1:12" ht="12.75">
      <c r="A15" s="3587"/>
      <c r="B15" s="3504"/>
      <c r="C15" s="3619"/>
      <c r="D15" s="3605"/>
      <c r="E15" s="140" t="s">
        <v>2126</v>
      </c>
      <c r="F15" s="2400"/>
      <c r="G15" s="2400"/>
      <c r="H15" s="2400"/>
      <c r="I15" s="1811"/>
    </row>
    <row r="16" spans="1:12" ht="12.75">
      <c r="A16" s="3587"/>
      <c r="B16" s="3504"/>
      <c r="C16" s="3618"/>
      <c r="D16" s="3605"/>
      <c r="E16" s="140" t="s">
        <v>2127</v>
      </c>
      <c r="F16" s="2400"/>
      <c r="G16" s="2400"/>
      <c r="H16" s="2400"/>
      <c r="I16" s="1811"/>
    </row>
    <row r="17" spans="1:35" ht="15">
      <c r="A17" s="2401" t="s">
        <v>2128</v>
      </c>
      <c r="B17" s="64"/>
      <c r="C17" s="141">
        <f>SUM(C5:C16)</f>
        <v>7</v>
      </c>
      <c r="D17" s="141">
        <f>SUM(D5:D16)</f>
        <v>3</v>
      </c>
      <c r="E17" s="138"/>
      <c r="F17" s="138"/>
      <c r="G17" s="138"/>
      <c r="H17" s="138"/>
      <c r="I17" s="138"/>
      <c r="K17" s="2399"/>
      <c r="L17" s="2402" t="s">
        <v>2129</v>
      </c>
      <c r="M17" s="2402" t="s">
        <v>2130</v>
      </c>
    </row>
    <row r="18" spans="1:35" ht="15.75" thickBot="1">
      <c r="A18" s="2403" t="s">
        <v>2131</v>
      </c>
      <c r="B18" s="2404"/>
      <c r="C18" s="142">
        <f>ROUND(C17/SUM(C17:D17),2)</f>
        <v>0.7</v>
      </c>
      <c r="D18" s="142">
        <f>1-C18</f>
        <v>0.30000000000000004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65109</v>
      </c>
      <c r="D19" s="144">
        <f ca="1">SUMIF(INDIRECT("'"&amp;D4&amp;"'"&amp;"!A:A"),结果表办!B19,INDIRECT("'"&amp;D4&amp;"'"&amp;"!B:B"))</f>
        <v>47066</v>
      </c>
      <c r="E19" s="2405" t="s">
        <v>2135</v>
      </c>
      <c r="F19" s="2406" t="s">
        <v>2134</v>
      </c>
      <c r="G19" s="145">
        <f ca="1">ROUND(C19*$C$18+D19*$D$18,0)</f>
        <v>59696</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40298</v>
      </c>
      <c r="D20" s="147">
        <f ca="1">SUMIF(INDIRECT("'"&amp;D4&amp;"'"&amp;"!A:A"),结果表办!B20,INDIRECT("'"&amp;D4&amp;"'"&amp;"!B:B"))</f>
        <v>27949</v>
      </c>
      <c r="E20" s="2408"/>
      <c r="F20" s="1229" t="s">
        <v>2138</v>
      </c>
      <c r="G20" s="148">
        <f ca="1">ROUND(C20*$C$18+D20*$D$18,0)</f>
        <v>36593</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f ca="1">IF(C19&lt;D19,D19/C19-1,C19/D19-1)</f>
        <v>0.38335528831853138</v>
      </c>
      <c r="E22" s="138"/>
      <c r="F22" s="138"/>
      <c r="G22" s="138"/>
      <c r="H22" s="138"/>
      <c r="I22" s="138"/>
    </row>
    <row r="23" spans="1:35" ht="13.5" thickBot="1">
      <c r="A23" s="2389"/>
      <c r="B23" s="2389"/>
      <c r="C23" s="2389"/>
      <c r="D23" s="2389"/>
      <c r="E23" s="138"/>
      <c r="F23" s="138"/>
      <c r="G23" s="138"/>
      <c r="H23" s="138"/>
      <c r="I23" s="138"/>
    </row>
    <row r="24" spans="1:35" ht="14.25">
      <c r="A24" s="3626" t="s">
        <v>2142</v>
      </c>
      <c r="B24" s="2406" t="s">
        <v>2134</v>
      </c>
      <c r="C24" s="145">
        <f>IF(B30=0,0,D30)</f>
        <v>0</v>
      </c>
      <c r="D24" s="2413"/>
      <c r="E24" s="138"/>
      <c r="F24" s="138"/>
      <c r="G24" s="138"/>
      <c r="H24" s="138"/>
      <c r="I24" s="138"/>
    </row>
    <row r="25" spans="1:35" ht="14.25">
      <c r="A25" s="3627"/>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59696</v>
      </c>
      <c r="D32" s="2420" t="s">
        <v>2149</v>
      </c>
      <c r="E32" s="138"/>
      <c r="F32" s="138"/>
      <c r="G32" s="138"/>
      <c r="H32" s="138"/>
      <c r="I32" s="138"/>
    </row>
    <row r="33" spans="1:15" ht="15">
      <c r="A33" s="947" t="s">
        <v>2150</v>
      </c>
      <c r="B33" s="2421"/>
      <c r="C33" s="2422" t="s">
        <v>3672</v>
      </c>
      <c r="D33" s="2423" t="s">
        <v>3046</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606" t="s">
        <v>2156</v>
      </c>
      <c r="B36" s="2432" t="s">
        <v>2157</v>
      </c>
      <c r="C36" s="154"/>
      <c r="D36" s="2433"/>
      <c r="E36" s="2434"/>
      <c r="F36" s="2435"/>
      <c r="G36" s="138"/>
      <c r="H36" s="138"/>
      <c r="I36" s="138"/>
    </row>
    <row r="37" spans="1:15" ht="15.75" thickBot="1">
      <c r="A37" s="3607"/>
      <c r="B37" s="2241" t="s">
        <v>2158</v>
      </c>
      <c r="C37" s="156"/>
      <c r="D37" s="1373"/>
      <c r="E37" s="1373"/>
      <c r="F37" s="2435"/>
      <c r="G37" s="138"/>
      <c r="H37" s="138"/>
      <c r="I37" s="138"/>
    </row>
    <row r="38" spans="1:15" ht="15.75" thickBot="1">
      <c r="A38" s="3608"/>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23" t="s">
        <v>2170</v>
      </c>
      <c r="B45" s="3624"/>
      <c r="C45" s="3625"/>
      <c r="D45" s="164">
        <f ca="1">ROUND(H101*F45,0)</f>
        <v>59696</v>
      </c>
      <c r="E45" s="165" t="s">
        <v>2171</v>
      </c>
      <c r="F45" s="166">
        <v>1</v>
      </c>
      <c r="G45" s="167" t="s">
        <v>2172</v>
      </c>
      <c r="H45" s="138"/>
      <c r="I45" s="138"/>
      <c r="J45" s="3542" t="s">
        <v>2173</v>
      </c>
      <c r="K45" s="3542"/>
      <c r="L45" s="3542"/>
      <c r="M45" s="3542"/>
      <c r="N45" s="3542"/>
      <c r="O45" s="3542"/>
    </row>
    <row r="46" spans="1:15" ht="14.25" customHeight="1">
      <c r="A46" s="3620" t="s">
        <v>2174</v>
      </c>
      <c r="B46" s="3621"/>
      <c r="C46" s="3621"/>
      <c r="D46" s="3621"/>
      <c r="E46" s="3621"/>
      <c r="F46" s="3621"/>
      <c r="G46" s="3622"/>
      <c r="H46" s="2451"/>
      <c r="I46" s="168"/>
      <c r="J46" s="2936">
        <v>1</v>
      </c>
      <c r="K46" s="3542" t="s">
        <v>2175</v>
      </c>
      <c r="L46" s="3542"/>
      <c r="M46" s="3543"/>
      <c r="N46" s="3543"/>
      <c r="O46" s="3543"/>
    </row>
    <row r="47" spans="1:15" ht="12" customHeight="1">
      <c r="A47" s="169" t="s">
        <v>2176</v>
      </c>
      <c r="B47" s="170"/>
      <c r="C47" s="171"/>
      <c r="D47" s="172" t="s">
        <v>2177</v>
      </c>
      <c r="E47" s="24" t="s">
        <v>2178</v>
      </c>
      <c r="F47" s="173" t="s">
        <v>2179</v>
      </c>
      <c r="G47" s="174" t="s">
        <v>2180</v>
      </c>
      <c r="H47" s="2451"/>
      <c r="I47" s="168"/>
      <c r="J47" s="2936">
        <v>2</v>
      </c>
      <c r="K47" s="3542" t="s">
        <v>2181</v>
      </c>
      <c r="L47" s="3542"/>
      <c r="M47" s="3544">
        <f>'数据-取费表'!B2</f>
        <v>43983</v>
      </c>
      <c r="N47" s="3544"/>
      <c r="O47" s="3544"/>
    </row>
    <row r="48" spans="1:15" ht="25.5">
      <c r="A48" s="3610" t="s">
        <v>2182</v>
      </c>
      <c r="B48" s="3611"/>
      <c r="C48" s="3611"/>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42" t="s">
        <v>2185</v>
      </c>
      <c r="L48" s="3542"/>
      <c r="M48" s="3545">
        <f ca="1">H101</f>
        <v>59696</v>
      </c>
      <c r="N48" s="3545"/>
      <c r="O48" s="3545"/>
    </row>
    <row r="49" spans="1:35" ht="25.5" customHeight="1">
      <c r="A49" s="176" t="s">
        <v>2186</v>
      </c>
      <c r="B49" s="3590" t="s">
        <v>2187</v>
      </c>
      <c r="C49" s="3590"/>
      <c r="D49" s="177">
        <v>0</v>
      </c>
      <c r="E49" s="23" t="s">
        <v>2188</v>
      </c>
      <c r="F49" s="28" t="s">
        <v>34</v>
      </c>
      <c r="G49" s="3571"/>
      <c r="H49" s="138"/>
      <c r="I49" s="2454"/>
      <c r="J49" s="2936">
        <v>4</v>
      </c>
      <c r="K49" s="3542" t="str">
        <f>IF(项目基本情况!E8="房地产抵押价值","房地产抵押价值","抵押担保权已注销时的房地产抵押价值")</f>
        <v>房地产抵押价值</v>
      </c>
      <c r="L49" s="3542"/>
      <c r="M49" s="3545">
        <f ca="1">IF(项目基本情况!E8="房地产抵押价值",H107,H109)</f>
        <v>59696</v>
      </c>
      <c r="N49" s="3545"/>
      <c r="O49" s="3545"/>
    </row>
    <row r="50" spans="1:35" ht="25.5" customHeight="1">
      <c r="A50" s="178"/>
      <c r="B50" s="3590" t="s">
        <v>2189</v>
      </c>
      <c r="C50" s="3590"/>
      <c r="D50" s="179"/>
      <c r="E50" s="31"/>
      <c r="F50" s="180"/>
      <c r="G50" s="3572"/>
      <c r="H50" s="138"/>
      <c r="I50" s="2454"/>
      <c r="J50" s="3542" t="s">
        <v>2190</v>
      </c>
      <c r="K50" s="3542"/>
      <c r="L50" s="3542"/>
      <c r="M50" s="3542"/>
      <c r="N50" s="3542"/>
      <c r="O50" s="3542"/>
    </row>
    <row r="51" spans="1:35" ht="12" customHeight="1">
      <c r="A51" s="181"/>
      <c r="B51" s="3590" t="s">
        <v>2191</v>
      </c>
      <c r="C51" s="3590"/>
      <c r="D51" s="182"/>
      <c r="E51" s="30"/>
      <c r="F51" s="180"/>
      <c r="G51" s="3573"/>
      <c r="H51" s="138"/>
      <c r="I51" s="2454"/>
      <c r="J51" s="2935" t="s">
        <v>2192</v>
      </c>
      <c r="K51" s="3542" t="s">
        <v>2193</v>
      </c>
      <c r="L51" s="3542"/>
      <c r="M51" s="2935" t="s">
        <v>2194</v>
      </c>
      <c r="N51" s="2935" t="s">
        <v>2195</v>
      </c>
      <c r="O51" s="2935" t="s">
        <v>2196</v>
      </c>
    </row>
    <row r="52" spans="1:35" ht="24" customHeight="1">
      <c r="A52" s="183" t="s">
        <v>2197</v>
      </c>
      <c r="B52" s="3590" t="s">
        <v>2198</v>
      </c>
      <c r="C52" s="3590"/>
      <c r="D52" s="182">
        <f ca="1">ROUND(D45*'数据-取费表'!B41/(1+'数据-取费表'!C42),0)</f>
        <v>3184</v>
      </c>
      <c r="E52" s="11" t="s">
        <v>2199</v>
      </c>
      <c r="F52" s="184">
        <f>'数据-取费表'!B41</f>
        <v>5.6000000000000001E-2</v>
      </c>
      <c r="G52" s="2456"/>
      <c r="H52" s="138"/>
      <c r="I52" s="2454"/>
      <c r="J52" s="2936">
        <v>1</v>
      </c>
      <c r="K52" s="3565" t="s">
        <v>2200</v>
      </c>
      <c r="L52" s="3565"/>
      <c r="M52" s="1731">
        <f>D48</f>
        <v>0</v>
      </c>
      <c r="N52" s="2936" t="str">
        <f>E48</f>
        <v>销售额×税（费）率</v>
      </c>
      <c r="O52" s="1732" t="str">
        <f>F48</f>
        <v>免征</v>
      </c>
    </row>
    <row r="53" spans="1:35" ht="12" customHeight="1">
      <c r="A53" s="183" t="s">
        <v>2201</v>
      </c>
      <c r="B53" s="3591" t="s">
        <v>2202</v>
      </c>
      <c r="C53" s="3592"/>
      <c r="D53" s="182">
        <f ca="1">ROUND(D45*'数据-取费表'!B41/(1+'数据-取费表'!C42),0)</f>
        <v>3184</v>
      </c>
      <c r="E53" s="11" t="s">
        <v>2199</v>
      </c>
      <c r="F53" s="184">
        <f>'数据-取费表'!B41</f>
        <v>5.6000000000000001E-2</v>
      </c>
      <c r="G53" s="2456"/>
      <c r="H53" s="138"/>
      <c r="I53" s="2454"/>
      <c r="J53" s="2936">
        <v>2</v>
      </c>
      <c r="K53" s="3565" t="s">
        <v>2203</v>
      </c>
      <c r="L53" s="3565"/>
      <c r="M53" s="1731">
        <f t="shared" ref="M53:O54" ca="1" si="0">D55</f>
        <v>30</v>
      </c>
      <c r="N53" s="2936" t="str">
        <f t="shared" si="0"/>
        <v>销售额×税（费）率</v>
      </c>
      <c r="O53" s="1732">
        <f t="shared" si="0"/>
        <v>5.0000000000000001E-4</v>
      </c>
    </row>
    <row r="54" spans="1:35" ht="12" customHeight="1">
      <c r="A54" s="183" t="s">
        <v>2204</v>
      </c>
      <c r="B54" s="3591" t="s">
        <v>2205</v>
      </c>
      <c r="C54" s="3592"/>
      <c r="D54" s="182">
        <f ca="1">C68</f>
        <v>3184</v>
      </c>
      <c r="E54" s="30" t="s">
        <v>2206</v>
      </c>
      <c r="F54" s="184">
        <f>'数据-取费表'!B41</f>
        <v>5.6000000000000001E-2</v>
      </c>
      <c r="G54" s="2456"/>
      <c r="H54" s="2457"/>
      <c r="I54" s="2454"/>
      <c r="J54" s="2936">
        <v>3</v>
      </c>
      <c r="K54" s="3565" t="s">
        <v>2207</v>
      </c>
      <c r="L54" s="3565"/>
      <c r="M54" s="1731">
        <f t="shared" ca="1" si="0"/>
        <v>33788</v>
      </c>
      <c r="N54" s="2936" t="str">
        <f t="shared" si="0"/>
        <v>增值额×税（费）率</v>
      </c>
      <c r="O54" s="1733" t="str">
        <f t="shared" si="0"/>
        <v>——</v>
      </c>
    </row>
    <row r="55" spans="1:35" ht="24" customHeight="1">
      <c r="A55" s="3629" t="s">
        <v>2208</v>
      </c>
      <c r="B55" s="3611"/>
      <c r="C55" s="3611"/>
      <c r="D55" s="185">
        <f ca="1">IF(H55="个人住宅",0,ROUND(D45*I55,0))</f>
        <v>30</v>
      </c>
      <c r="E55" s="11" t="s">
        <v>2209</v>
      </c>
      <c r="F55" s="184">
        <f>IF(H55="正常",I55,"免征")</f>
        <v>5.0000000000000001E-4</v>
      </c>
      <c r="G55" s="2456"/>
      <c r="H55" s="2453" t="s">
        <v>2210</v>
      </c>
      <c r="I55" s="186">
        <f>'数据-取费表'!B49</f>
        <v>5.0000000000000001E-4</v>
      </c>
      <c r="J55" s="2936" t="str">
        <f>IF(H59="非个人房产","",4)</f>
        <v/>
      </c>
      <c r="K55" s="3565" t="str">
        <f>IF(H59="非个人房产","——","个人所得税")</f>
        <v>——</v>
      </c>
      <c r="L55" s="3565"/>
      <c r="M55" s="1734" t="str">
        <f>D59</f>
        <v>——</v>
      </c>
      <c r="N55" s="2937" t="str">
        <f>E59</f>
        <v>——</v>
      </c>
      <c r="O55" s="1735" t="str">
        <f>F59</f>
        <v>——</v>
      </c>
    </row>
    <row r="56" spans="1:35" ht="24.75">
      <c r="A56" s="3629" t="s">
        <v>2211</v>
      </c>
      <c r="B56" s="3611"/>
      <c r="C56" s="3611"/>
      <c r="D56" s="185">
        <f ca="1">IF(H56="个人住宅",D57,D58)</f>
        <v>33788</v>
      </c>
      <c r="E56" s="11" t="s">
        <v>2212</v>
      </c>
      <c r="F56" s="184" t="str">
        <f>IF(H56="正常",F58,"免征")</f>
        <v>——</v>
      </c>
      <c r="G56" s="2458" t="s">
        <v>2213</v>
      </c>
      <c r="H56" s="2459" t="s">
        <v>2210</v>
      </c>
      <c r="I56" s="2460"/>
      <c r="J56" s="2936" t="str">
        <f>IF(项目基本情况!K6="上海银行",IF(J55="",4,J55+1),"")</f>
        <v/>
      </c>
      <c r="K56" s="3548" t="str">
        <f>IF(项目基本情况!K6="上海银行","其他处置费用","")</f>
        <v/>
      </c>
      <c r="L56" s="3549"/>
      <c r="M56" s="1731" t="str">
        <f>IF(项目基本情况!K6="上海银行",M69,"")</f>
        <v/>
      </c>
      <c r="N56" s="3551" t="str">
        <f>IF(项目基本情况!K6="上海银行","包含处置中涉及的律师、诉讼、拍卖、评估等费用","")</f>
        <v/>
      </c>
      <c r="O56" s="3552"/>
    </row>
    <row r="57" spans="1:35" ht="12.75">
      <c r="A57" s="183" t="s">
        <v>2186</v>
      </c>
      <c r="B57" s="3596" t="s">
        <v>2214</v>
      </c>
      <c r="C57" s="3597"/>
      <c r="D57" s="187">
        <v>0</v>
      </c>
      <c r="E57" s="23" t="s">
        <v>2188</v>
      </c>
      <c r="F57" s="155"/>
      <c r="G57" s="2456"/>
      <c r="H57" s="2460"/>
      <c r="I57" s="2460"/>
      <c r="J57" s="3565">
        <f>IF(AND(J55="",J56=""),4,IF(项目基本情况!K6="上海银行",结果表办!J56+1,结果表办!J55+1))</f>
        <v>4</v>
      </c>
      <c r="K57" s="3565" t="s">
        <v>2215</v>
      </c>
      <c r="L57" s="2461" t="s">
        <v>2216</v>
      </c>
      <c r="M57" s="1736"/>
      <c r="N57" s="1737">
        <f ca="1">SUMIF(M52:M56,"&lt;9e307")</f>
        <v>33818</v>
      </c>
      <c r="O57" s="2462"/>
      <c r="P57" s="1730">
        <f ca="1">N57/M49</f>
        <v>0.56650361833288665</v>
      </c>
    </row>
    <row r="58" spans="1:35" ht="24.75">
      <c r="A58" s="183" t="s">
        <v>2197</v>
      </c>
      <c r="B58" s="3596" t="s">
        <v>2217</v>
      </c>
      <c r="C58" s="3609"/>
      <c r="D58" s="185">
        <f ca="1">IF(H58="转让取得",C81,C97)</f>
        <v>33788</v>
      </c>
      <c r="E58" s="11" t="s">
        <v>2212</v>
      </c>
      <c r="F58" s="24" t="s">
        <v>34</v>
      </c>
      <c r="G58" s="2456"/>
      <c r="H58" s="2459" t="s">
        <v>2218</v>
      </c>
      <c r="I58" s="2460"/>
      <c r="J58" s="3565"/>
      <c r="K58" s="3565"/>
      <c r="L58" s="2461" t="s">
        <v>2219</v>
      </c>
      <c r="M58" s="1738"/>
      <c r="N58" s="2463" t="str">
        <f ca="1">NUMBERSTRING(INT(N57*10000),2)&amp;"元整"</f>
        <v>叁亿叁仟捌佰壹拾捌万元整</v>
      </c>
      <c r="O58" s="2464"/>
    </row>
    <row r="59" spans="1:35" ht="24.75" thickBot="1">
      <c r="A59" s="3569" t="s">
        <v>2220</v>
      </c>
      <c r="B59" s="3570"/>
      <c r="C59" s="357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67">
        <f>J57+1</f>
        <v>5</v>
      </c>
      <c r="K59" s="3565" t="s">
        <v>2222</v>
      </c>
      <c r="L59" s="2936" t="s">
        <v>2216</v>
      </c>
      <c r="M59" s="1739"/>
      <c r="N59" s="1740">
        <f ca="1">M49-N57</f>
        <v>25878</v>
      </c>
      <c r="O59" s="2466"/>
    </row>
    <row r="60" spans="1:35" ht="12" customHeight="1">
      <c r="A60" s="2467"/>
      <c r="B60" s="2389"/>
      <c r="C60" s="2389"/>
      <c r="D60" s="2389"/>
      <c r="E60" s="2141"/>
      <c r="F60" s="2460"/>
      <c r="G60" s="2460"/>
      <c r="H60" s="2468"/>
      <c r="I60" s="138"/>
      <c r="J60" s="3568"/>
      <c r="K60" s="3565"/>
      <c r="L60" s="2461" t="s">
        <v>2219</v>
      </c>
      <c r="M60" s="1738"/>
      <c r="N60" s="2463" t="str">
        <f ca="1">NUMBERSTRING(INT(N59*10000),2)&amp;"元整"</f>
        <v>贰亿伍仟捌佰柒拾捌万元整</v>
      </c>
      <c r="O60" s="2464"/>
    </row>
    <row r="61" spans="1:35" ht="13.5" thickBot="1">
      <c r="A61" s="3628" t="s">
        <v>2223</v>
      </c>
      <c r="B61" s="3628"/>
      <c r="C61" s="3628"/>
      <c r="D61" s="3628"/>
      <c r="E61" s="3628"/>
      <c r="F61" s="2460"/>
      <c r="G61" s="2460"/>
      <c r="H61" s="2468"/>
      <c r="I61" s="138"/>
      <c r="J61" s="2936">
        <f>J59+1</f>
        <v>6</v>
      </c>
      <c r="K61" s="3565" t="s">
        <v>2224</v>
      </c>
      <c r="L61" s="3565"/>
      <c r="M61" s="1741"/>
      <c r="N61" s="1742">
        <f ca="1">ROUND(N59*10000/'数据-汇总表'!E3,0)</f>
        <v>5411</v>
      </c>
      <c r="O61" s="2469"/>
    </row>
    <row r="62" spans="1:35" ht="12.75">
      <c r="A62" s="3585" t="s">
        <v>2225</v>
      </c>
      <c r="B62" s="3586"/>
      <c r="C62" s="2931"/>
      <c r="D62" s="2931" t="s">
        <v>2226</v>
      </c>
      <c r="E62" s="192" t="s">
        <v>2227</v>
      </c>
      <c r="F62" s="2460"/>
      <c r="G62" s="2460"/>
      <c r="H62" s="2468"/>
      <c r="I62" s="138"/>
    </row>
    <row r="63" spans="1:35" ht="12.75">
      <c r="A63" s="203" t="s">
        <v>775</v>
      </c>
      <c r="B63" s="193" t="s">
        <v>2228</v>
      </c>
      <c r="C63" s="194">
        <f ca="1">ROUND((C64+C65)/(1+'数据-取费表'!C42),0)</f>
        <v>56853</v>
      </c>
      <c r="D63" s="195"/>
      <c r="E63" s="196"/>
      <c r="F63" s="2460"/>
      <c r="G63" s="2460"/>
      <c r="H63" s="2468"/>
      <c r="I63" s="138"/>
      <c r="J63" s="3550" t="s">
        <v>2229</v>
      </c>
      <c r="K63" s="2940" t="s">
        <v>2230</v>
      </c>
      <c r="L63" s="1729">
        <f ca="1">IF(M49&gt;10000,M49*0.5%,IF(AND(M49&gt;1000,M49&lt;=10000),M49*1%,IF(AND(M49&gt;100,M49&lt;=1000),M49*3%,IF(AND(M49&gt;10,M49&lt;=100),M49*5%,M49*8%))))</f>
        <v>298.48</v>
      </c>
      <c r="M63" s="24">
        <f ca="1">ROUND(L63,1)</f>
        <v>298.5</v>
      </c>
      <c r="Z63" s="2394"/>
      <c r="AI63" s="2395"/>
    </row>
    <row r="64" spans="1:35" ht="14.25" customHeight="1">
      <c r="A64" s="197" t="s">
        <v>770</v>
      </c>
      <c r="B64" s="198" t="s">
        <v>2231</v>
      </c>
      <c r="C64" s="199">
        <f ca="1">D45</f>
        <v>59696</v>
      </c>
      <c r="D64" s="200" t="s">
        <v>32</v>
      </c>
      <c r="E64" s="201"/>
      <c r="F64" s="2460"/>
      <c r="G64" s="2460"/>
      <c r="H64" s="2468"/>
      <c r="I64" s="138"/>
      <c r="J64" s="3550"/>
      <c r="K64" s="2940" t="s">
        <v>2232</v>
      </c>
      <c r="L64" s="1729">
        <f ca="1">IF(M49&gt;2000,M49*0.5%,IF(AND(M49&gt;1000,M49&lt;=2000),M49*0.6%,IF(AND(M49&gt;500,M49&lt;=1000),M49*0.7%,IF(AND(M49&gt;200,M49&lt;=500),M49*0.8%,IF(AND(M49&gt;100,M49&lt;=200),M49*0.9%,IF(AND(M49&gt;50,M49&lt;=100),M49*1%,IF(AND(M49&gt;20,M49&lt;=50),M49*1.5%,IF(AND(M49&gt;10,M49&lt;=20),M49*2%,IF(AND(M49&gt;1,M49&lt;=10),M49*2.5%)))))))))</f>
        <v>298.48</v>
      </c>
      <c r="M64" s="24">
        <f t="shared" ref="M64:M65" ca="1" si="1">ROUND(L64,1)</f>
        <v>298.5</v>
      </c>
      <c r="N64" s="138" t="s">
        <v>2233</v>
      </c>
      <c r="Z64" s="2394"/>
      <c r="AI64" s="2395"/>
    </row>
    <row r="65" spans="1:35" ht="14.25" customHeight="1">
      <c r="A65" s="197" t="s">
        <v>771</v>
      </c>
      <c r="B65" s="198" t="s">
        <v>2234</v>
      </c>
      <c r="C65" s="202"/>
      <c r="D65" s="200"/>
      <c r="E65" s="201"/>
      <c r="F65" s="2460"/>
      <c r="G65" s="2460"/>
      <c r="H65" s="2468"/>
      <c r="I65" s="138"/>
      <c r="J65" s="3550"/>
      <c r="K65" s="2940" t="s">
        <v>2235</v>
      </c>
      <c r="L65" s="1729">
        <f ca="1">IF(M49&gt;1000,M49*0.1%,IF(AND(M49&gt;500,M49&lt;=1000),M49*0.5%,IF(AND(M49&gt;50,M49&lt;=500),M49*1%,IF(AND(M49&gt;1,M49&lt;=50),M49*1.5%))))</f>
        <v>59.695999999999998</v>
      </c>
      <c r="M65" s="24">
        <f t="shared" ca="1" si="1"/>
        <v>59.7</v>
      </c>
      <c r="N65" s="138" t="s">
        <v>2233</v>
      </c>
      <c r="Z65" s="2394"/>
      <c r="AI65" s="2395"/>
    </row>
    <row r="66" spans="1:35" ht="14.25" customHeight="1">
      <c r="A66" s="203" t="s">
        <v>772</v>
      </c>
      <c r="B66" s="204" t="s">
        <v>2236</v>
      </c>
      <c r="C66" s="205"/>
      <c r="D66" s="206" t="s">
        <v>32</v>
      </c>
      <c r="E66" s="1753" t="s">
        <v>1360</v>
      </c>
      <c r="F66" s="2460"/>
      <c r="G66" s="2460"/>
      <c r="H66" s="2468"/>
      <c r="I66" s="138"/>
      <c r="J66" s="3550"/>
      <c r="K66" s="2940" t="s">
        <v>2237</v>
      </c>
      <c r="L66" s="1729">
        <f ca="1">M49*0.5%</f>
        <v>298.48</v>
      </c>
      <c r="M66" s="24">
        <f ca="1">IF(L66&gt;0.5,0.5,ROUND(L66,0))</f>
        <v>0.5</v>
      </c>
      <c r="N66" s="138" t="s">
        <v>2238</v>
      </c>
      <c r="Z66" s="2394"/>
      <c r="AI66" s="2395"/>
    </row>
    <row r="67" spans="1:35" ht="14.25" customHeight="1">
      <c r="A67" s="203" t="s">
        <v>773</v>
      </c>
      <c r="B67" s="204" t="s">
        <v>2239</v>
      </c>
      <c r="C67" s="207">
        <f ca="1">C63-C66</f>
        <v>56853</v>
      </c>
      <c r="D67" s="200" t="s">
        <v>32</v>
      </c>
      <c r="E67" s="201"/>
      <c r="F67" s="2460"/>
      <c r="G67" s="2460"/>
      <c r="H67" s="2468"/>
      <c r="I67" s="138"/>
      <c r="J67" s="3550"/>
      <c r="K67" s="2940" t="s">
        <v>2240</v>
      </c>
      <c r="L67" s="1729">
        <f ca="1">IF(M49&gt;=10000,(8.25+(M49-10000)*0.01%),IF(AND(M49&gt;=8000,M49&lt;10000),(7.85+(M49-8000)*0.02%),IF(AND(M49&gt;=5000,M49&lt;8000),(6.65+(M49-5000)*0.04%),IF(AND(M49&gt;=2000,M49&lt;5000),(4.25+(PM49-2000)*0.08%),IF(AND(M49&gt;=1000,M49&lt;2000),(2.75+(M49-1000)*0.15%),IF(AND(M49&gt;=100,M49&lt;1000),(0.5+(M49-100)*0.25%),IF(AND(M49&gt;0,M49&lt;100),M49*0.5%)))))))</f>
        <v>13.2196</v>
      </c>
      <c r="M67" s="24">
        <f ca="1">ROUND(L67*0.9,1)</f>
        <v>11.9</v>
      </c>
      <c r="Z67" s="2394"/>
      <c r="AI67" s="2395"/>
    </row>
    <row r="68" spans="1:35" ht="14.25" customHeight="1" thickBot="1">
      <c r="A68" s="208" t="s">
        <v>774</v>
      </c>
      <c r="B68" s="209" t="s">
        <v>2241</v>
      </c>
      <c r="C68" s="210">
        <f ca="1">IF(C67&lt;=0,0,ROUND(C67*D68,0))</f>
        <v>3184</v>
      </c>
      <c r="D68" s="211">
        <f>'数据-取费表'!B41</f>
        <v>5.6000000000000001E-2</v>
      </c>
      <c r="E68" s="212"/>
      <c r="F68" s="2460"/>
      <c r="G68" s="2460"/>
      <c r="H68" s="2468"/>
      <c r="I68" s="138"/>
      <c r="J68" s="3550"/>
      <c r="K68" s="2940" t="s">
        <v>2242</v>
      </c>
      <c r="L68" s="1729">
        <f ca="1">IF(M49&gt;10000,M49*0.5%,IF(AND(M49&gt;5000,M49&lt;=10000),M49*1%,IF(AND(M49&gt;1000,M49&lt;=5000),M49*2%,IF(AND(M49&gt;200,M49&lt;=1000),M49*3%,M49*5%))))</f>
        <v>298.48</v>
      </c>
      <c r="M68" s="24">
        <f ca="1">ROUND(L68,1)</f>
        <v>298.5</v>
      </c>
      <c r="Z68" s="2394"/>
      <c r="AI68" s="2395"/>
    </row>
    <row r="69" spans="1:35" s="2417" customFormat="1" ht="16.5" customHeight="1">
      <c r="A69" s="2471"/>
      <c r="B69" s="2472"/>
      <c r="C69" s="2473"/>
      <c r="D69" s="2474"/>
      <c r="E69" s="2475"/>
      <c r="F69" s="2141"/>
      <c r="G69" s="2141"/>
      <c r="H69" s="2140"/>
      <c r="I69" s="2389"/>
      <c r="J69" s="3550"/>
      <c r="K69" s="2940" t="s">
        <v>2243</v>
      </c>
      <c r="L69" s="2476"/>
      <c r="M69" s="24">
        <f ca="1">ROUND(SUM(M63:M68),0)</f>
        <v>968</v>
      </c>
      <c r="N69" s="1730">
        <f ca="1">M69/M49</f>
        <v>1.6215491825247924E-2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4" t="s">
        <v>2244</v>
      </c>
      <c r="B70" s="3595"/>
      <c r="C70" s="3595"/>
      <c r="D70" s="3595"/>
      <c r="E70" s="3595"/>
      <c r="F70" s="3595"/>
      <c r="G70" s="3595"/>
      <c r="H70" s="359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85" t="s">
        <v>2225</v>
      </c>
      <c r="B71" s="3586"/>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56853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341</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91" t="s">
        <v>2253</v>
      </c>
      <c r="F76" s="3590"/>
      <c r="G76" s="3590"/>
      <c r="H76" s="359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341</v>
      </c>
      <c r="D78" s="226">
        <f>'数据-取费表'!B43</f>
        <v>6.000000000000001E-3</v>
      </c>
      <c r="E78" s="3582" t="s">
        <v>2258</v>
      </c>
      <c r="F78" s="3583"/>
      <c r="G78" s="3583"/>
      <c r="H78" s="358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56512</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165.72434017595307</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33788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4" t="s">
        <v>2262</v>
      </c>
      <c r="B83" s="3595"/>
      <c r="C83" s="3595"/>
      <c r="D83" s="3595"/>
      <c r="E83" s="3595"/>
      <c r="F83" s="3595"/>
      <c r="G83" s="3595"/>
      <c r="H83" s="359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85" t="s">
        <v>2225</v>
      </c>
      <c r="B84" s="3586"/>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56853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341</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82" t="s">
        <v>2271</v>
      </c>
      <c r="F91" s="3583"/>
      <c r="G91" s="3583"/>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82" t="s">
        <v>2275</v>
      </c>
      <c r="F92" s="3583"/>
      <c r="G92" s="3583"/>
      <c r="H92" s="358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341</v>
      </c>
      <c r="D93" s="226">
        <f>'数据-取费表'!B43</f>
        <v>6.000000000000001E-3</v>
      </c>
      <c r="E93" s="3582" t="s">
        <v>2258</v>
      </c>
      <c r="F93" s="3583"/>
      <c r="G93" s="3583"/>
      <c r="H93" s="358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30" t="s">
        <v>2279</v>
      </c>
      <c r="F94" s="3631"/>
      <c r="G94" s="3631"/>
      <c r="H94" s="363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56512</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165.72434017595307</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33788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66"/>
      <c r="E100" s="3527" t="s">
        <v>2282</v>
      </c>
      <c r="F100" s="3527"/>
      <c r="G100" s="3527"/>
      <c r="H100" s="3566"/>
      <c r="I100" s="138"/>
    </row>
    <row r="101" spans="1:35" ht="18.75" customHeight="1">
      <c r="A101" s="3574" t="s">
        <v>2283</v>
      </c>
      <c r="B101" s="3575"/>
      <c r="C101" s="732" t="str">
        <f>C4</f>
        <v>典型户型修正办</v>
      </c>
      <c r="D101" s="733" t="str">
        <f>D4</f>
        <v>收益法办（汇总）</v>
      </c>
      <c r="E101" s="3546" t="s">
        <v>2284</v>
      </c>
      <c r="F101" s="3547"/>
      <c r="G101" s="2491" t="s">
        <v>2285</v>
      </c>
      <c r="H101" s="1035">
        <f ca="1">H118</f>
        <v>59696</v>
      </c>
      <c r="I101" s="138"/>
    </row>
    <row r="102" spans="1:35" ht="18.75" customHeight="1">
      <c r="A102" s="3576" t="s">
        <v>2286</v>
      </c>
      <c r="B102" s="2491" t="s">
        <v>2285</v>
      </c>
      <c r="C102" s="732">
        <f ca="1">C19</f>
        <v>65109</v>
      </c>
      <c r="D102" s="733">
        <f ca="1">D19</f>
        <v>47066</v>
      </c>
      <c r="E102" s="3546"/>
      <c r="F102" s="3547"/>
      <c r="G102" s="2491" t="s">
        <v>2287</v>
      </c>
      <c r="H102" s="371" t="e">
        <f ca="1">I118</f>
        <v>#DIV/0!</v>
      </c>
      <c r="I102" s="138"/>
    </row>
    <row r="103" spans="1:35" ht="42.75" customHeight="1">
      <c r="A103" s="3576"/>
      <c r="B103" s="2491" t="s">
        <v>2287</v>
      </c>
      <c r="C103" s="734">
        <f ca="1">C20</f>
        <v>40298</v>
      </c>
      <c r="D103" s="735">
        <f ca="1">D20</f>
        <v>27949</v>
      </c>
      <c r="E103" s="3540" t="s">
        <v>2288</v>
      </c>
      <c r="F103" s="3541"/>
      <c r="G103" s="2492" t="s">
        <v>2289</v>
      </c>
      <c r="H103" s="1035">
        <f>IF(D36="正常操作",H104+H105+H106,H105+H106)</f>
        <v>0</v>
      </c>
      <c r="I103" s="138"/>
    </row>
    <row r="104" spans="1:35" ht="18.75" customHeight="1">
      <c r="A104" s="3576" t="s">
        <v>2290</v>
      </c>
      <c r="B104" s="2493" t="s">
        <v>2285</v>
      </c>
      <c r="C104" s="736">
        <f ca="1">H118</f>
        <v>59696</v>
      </c>
      <c r="D104" s="737"/>
      <c r="E104" s="2241" t="s">
        <v>2291</v>
      </c>
      <c r="F104" s="2233"/>
      <c r="G104" s="2492" t="s">
        <v>2289</v>
      </c>
      <c r="H104" s="1036">
        <f>IF(D36="同一抵押权人同一抵押物续贷",C36&amp;"（未扣减，详见特别提示）",C36)</f>
        <v>0</v>
      </c>
      <c r="I104" s="138"/>
    </row>
    <row r="105" spans="1:35" ht="18.75" customHeight="1" thickBot="1">
      <c r="A105" s="3588"/>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7" t="str">
        <f>IF(项目基本情况!E8="已注销","——","3.房地产抵押价值")</f>
        <v>3.房地产抵押价值</v>
      </c>
      <c r="F107" s="3547"/>
      <c r="G107" s="2491" t="s">
        <v>2285</v>
      </c>
      <c r="H107" s="1035">
        <f ca="1">IF(E107="——","——",H101-H103)</f>
        <v>59696</v>
      </c>
      <c r="I107" s="138"/>
    </row>
    <row r="108" spans="1:35" ht="18.75" customHeight="1">
      <c r="A108" s="138"/>
      <c r="B108" s="138"/>
      <c r="C108" s="138"/>
      <c r="D108" s="138"/>
      <c r="E108" s="3577"/>
      <c r="F108" s="3547"/>
      <c r="G108" s="2491" t="s">
        <v>2287</v>
      </c>
      <c r="H108" s="371">
        <f ca="1">ROUND(H107*10000/'数据-汇总表'!E3,0)</f>
        <v>12482</v>
      </c>
      <c r="I108" s="138"/>
    </row>
    <row r="109" spans="1:35" ht="18.75" customHeight="1">
      <c r="A109" s="138"/>
      <c r="B109" s="138"/>
      <c r="C109" s="138"/>
      <c r="D109" s="138"/>
      <c r="E109" s="3577" t="str">
        <f>IF(项目基本情况!E8="已注销及未注销","4.抵押担保权已注销时的房地产抵押价值",IF(项目基本情况!E8="已注销","3.抵押担保权已注销时的房地产抵押价值","——"))</f>
        <v>——</v>
      </c>
      <c r="F109" s="3547"/>
      <c r="G109" s="2491" t="s">
        <v>2285</v>
      </c>
      <c r="H109" s="348" t="str">
        <f>IF(E109="——","——",H101-H105-H106)</f>
        <v>——</v>
      </c>
      <c r="I109" s="138"/>
    </row>
    <row r="110" spans="1:35" ht="18.75" customHeight="1">
      <c r="A110" s="138"/>
      <c r="B110" s="138"/>
      <c r="C110" s="138"/>
      <c r="D110" s="138"/>
      <c r="E110" s="3577"/>
      <c r="F110" s="3547"/>
      <c r="G110" s="2491" t="s">
        <v>2287</v>
      </c>
      <c r="H110" s="371" t="str">
        <f>IF(H109="——","——",ROUND(H109*10000/'数据-汇总表'!E3,0))</f>
        <v>——</v>
      </c>
      <c r="I110" s="138"/>
    </row>
    <row r="111" spans="1:35" ht="18.75" customHeight="1">
      <c r="A111" s="138"/>
      <c r="B111" s="138"/>
      <c r="C111" s="138"/>
      <c r="D111" s="138"/>
      <c r="E111" s="3578" t="str">
        <f>IF(项目基本情况!E9="抵押净值",IF(OR(项目基本情况!E8="已注销",项目基本情况!E8="房地产抵押价值"),"4.抵押净值","5.抵押净值"),"——")</f>
        <v>——</v>
      </c>
      <c r="F111" s="3579"/>
      <c r="G111" s="2491" t="s">
        <v>2285</v>
      </c>
      <c r="H111" s="1035" t="str">
        <f>IF(E111="——","——",N59)</f>
        <v>——</v>
      </c>
      <c r="I111" s="138"/>
    </row>
    <row r="112" spans="1:35" ht="18.75" customHeight="1" thickBot="1">
      <c r="A112" s="138"/>
      <c r="B112" s="138"/>
      <c r="C112" s="138"/>
      <c r="D112" s="138"/>
      <c r="E112" s="3580"/>
      <c r="F112" s="3581"/>
      <c r="G112" s="2496" t="s">
        <v>2287</v>
      </c>
      <c r="H112" s="785" t="str">
        <f>IF(E111="——","——",N61)</f>
        <v>——</v>
      </c>
      <c r="I112" s="138"/>
    </row>
    <row r="113" spans="1:11" ht="18.75" customHeight="1">
      <c r="A113" s="138"/>
      <c r="B113" s="138"/>
      <c r="C113" s="138"/>
      <c r="D113" s="138"/>
      <c r="E113" s="3589" t="s">
        <v>2293</v>
      </c>
      <c r="F113" s="3589"/>
      <c r="G113" s="3589"/>
      <c r="H113" s="3589"/>
      <c r="I113" s="138"/>
    </row>
    <row r="114" spans="1:11" ht="3.75" customHeight="1">
      <c r="A114" s="2389"/>
      <c r="B114" s="2389"/>
      <c r="C114" s="2389"/>
      <c r="D114" s="2389"/>
      <c r="E114" s="2467"/>
      <c r="F114" s="2467"/>
      <c r="G114" s="2467"/>
      <c r="H114" s="2467"/>
      <c r="I114" s="2389"/>
    </row>
    <row r="115" spans="1:11" ht="18.75" customHeight="1">
      <c r="A115" s="3602" t="s">
        <v>2295</v>
      </c>
      <c r="B115" s="3603"/>
      <c r="C115" s="3603"/>
      <c r="D115" s="3603"/>
      <c r="E115" s="3603"/>
      <c r="F115" s="3603"/>
      <c r="G115" s="3603"/>
      <c r="H115" s="3603"/>
      <c r="I115" s="3604"/>
    </row>
    <row r="116" spans="1:11" ht="27" customHeight="1">
      <c r="A116" s="3504" t="s">
        <v>2296</v>
      </c>
      <c r="B116" s="3556" t="s">
        <v>2297</v>
      </c>
      <c r="C116" s="3556" t="s">
        <v>2298</v>
      </c>
      <c r="D116" s="3562" t="s">
        <v>2299</v>
      </c>
      <c r="E116" s="3563"/>
      <c r="F116" s="3598" t="s">
        <v>2300</v>
      </c>
      <c r="G116" s="3598"/>
      <c r="H116" s="3504" t="s">
        <v>2301</v>
      </c>
      <c r="I116" s="3504"/>
    </row>
    <row r="117" spans="1:11" ht="18.75" customHeight="1">
      <c r="A117" s="3504"/>
      <c r="B117" s="3557"/>
      <c r="C117" s="3557"/>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59696</v>
      </c>
      <c r="I118" s="2923" t="e">
        <f ca="1">ROUND(IF(D32="楼面单价",C32,H118*10000/B118),0)</f>
        <v>#DIV/0!</v>
      </c>
    </row>
    <row r="119" spans="1:11" ht="18.75" customHeight="1">
      <c r="A119" s="3504" t="s">
        <v>2305</v>
      </c>
      <c r="B119" s="3504"/>
      <c r="C119" s="3504"/>
      <c r="D119" s="3558" t="e">
        <f ca="1">NUMBERSTRING(INT(D118*10000),2)&amp;"元整"</f>
        <v>#REF!</v>
      </c>
      <c r="E119" s="3559"/>
      <c r="F119" s="3558" t="e">
        <f ca="1">NUMBERSTRING(INT(F118*10000),2)&amp;"元整"</f>
        <v>#REF!</v>
      </c>
      <c r="G119" s="3559"/>
      <c r="H119" s="3558" t="str">
        <f ca="1">NUMBERSTRING(INT(H118*10000),2)&amp;"元整"</f>
        <v>伍亿玖仟陆佰玖拾陆万元整</v>
      </c>
      <c r="I119" s="3559"/>
    </row>
    <row r="120" spans="1:11" ht="18.75" customHeight="1">
      <c r="A120" s="3553" t="str">
        <f>IF(项目基本情况!B9="房地产市场价值","",MID(E103,3,LEN(E103)-2))</f>
        <v>估价师知悉的法定优先受偿款</v>
      </c>
      <c r="B120" s="3554"/>
      <c r="C120" s="3555"/>
      <c r="D120" s="3553">
        <f>H103</f>
        <v>0</v>
      </c>
      <c r="E120" s="3554"/>
      <c r="F120" s="3554"/>
      <c r="G120" s="3554"/>
      <c r="H120" s="3554"/>
      <c r="I120" s="3555"/>
      <c r="K120" s="2394" t="str">
        <f>IF(D120=0,"故，本次评估不存在"&amp;A120,"故，本次评估"&amp;A120&amp;"为人民币"&amp;D120&amp;"万元整。")</f>
        <v>故，本次评估不存在估价师知悉的法定优先受偿款</v>
      </c>
    </row>
    <row r="121" spans="1:11" ht="18.75" customHeight="1">
      <c r="A121" s="3599" t="s">
        <v>2305</v>
      </c>
      <c r="B121" s="3600"/>
      <c r="C121" s="3601"/>
      <c r="D121" s="3558" t="str">
        <f>IF(D120=0,"零元整",NUMBERSTRING(INT(D120*10000),2)&amp;"元整")</f>
        <v>零元整</v>
      </c>
      <c r="E121" s="3560"/>
      <c r="F121" s="3560"/>
      <c r="G121" s="3560"/>
      <c r="H121" s="3560"/>
      <c r="I121" s="3559"/>
    </row>
    <row r="122" spans="1:11" ht="18.75" customHeight="1">
      <c r="A122" s="3564" t="str">
        <f>IF(项目基本情况!B9="房地产市场价值","",MID(E107,3,LEN(E107)-2))</f>
        <v>房地产抵押价值</v>
      </c>
      <c r="B122" s="3564"/>
      <c r="C122" s="3564"/>
      <c r="D122" s="3553">
        <f ca="1">H107</f>
        <v>59696</v>
      </c>
      <c r="E122" s="3554"/>
      <c r="F122" s="3554"/>
      <c r="G122" s="3554"/>
      <c r="H122" s="3554"/>
      <c r="I122" s="3555"/>
    </row>
    <row r="123" spans="1:11" ht="18.75" customHeight="1">
      <c r="A123" s="3504" t="s">
        <v>2305</v>
      </c>
      <c r="B123" s="3504"/>
      <c r="C123" s="3504"/>
      <c r="D123" s="3558" t="str">
        <f ca="1">NUMBERSTRING(INT(D122*10000),2)&amp;"元整"</f>
        <v>伍亿玖仟陆佰玖拾陆万元整</v>
      </c>
      <c r="E123" s="3560"/>
      <c r="F123" s="3560"/>
      <c r="G123" s="3560"/>
      <c r="H123" s="3560"/>
      <c r="I123" s="3559"/>
    </row>
    <row r="124" spans="1:11" ht="18.75" customHeight="1">
      <c r="A124" s="3564" t="str">
        <f>IF(项目基本情况!B9="房地产市场价值","",MID(E109,3,LEN(E109)-2))</f>
        <v/>
      </c>
      <c r="B124" s="3564"/>
      <c r="C124" s="3564"/>
      <c r="D124" s="3553" t="str">
        <f>H109</f>
        <v>——</v>
      </c>
      <c r="E124" s="3554"/>
      <c r="F124" s="3554"/>
      <c r="G124" s="3554"/>
      <c r="H124" s="3554"/>
      <c r="I124" s="3555"/>
    </row>
    <row r="125" spans="1:11" ht="18.75" customHeight="1">
      <c r="A125" s="3504" t="s">
        <v>2305</v>
      </c>
      <c r="B125" s="3504"/>
      <c r="C125" s="3504"/>
      <c r="D125" s="3558" t="e">
        <f>NUMBERSTRING(INT(D124*10000),2)&amp;"元整"</f>
        <v>#VALUE!</v>
      </c>
      <c r="E125" s="3560"/>
      <c r="F125" s="3560"/>
      <c r="G125" s="3560"/>
      <c r="H125" s="3560"/>
      <c r="I125" s="3559"/>
    </row>
    <row r="126" spans="1:11" ht="18.75" customHeight="1">
      <c r="A126" s="3564" t="str">
        <f>IF(项目基本情况!B9="房地产市场价值","",MID(E111,3,LEN(E111)-2))</f>
        <v/>
      </c>
      <c r="B126" s="3564"/>
      <c r="C126" s="3564"/>
      <c r="D126" s="3553" t="str">
        <f>H111</f>
        <v>——</v>
      </c>
      <c r="E126" s="3554"/>
      <c r="F126" s="3554"/>
      <c r="G126" s="3554"/>
      <c r="H126" s="3554"/>
      <c r="I126" s="3555"/>
    </row>
    <row r="127" spans="1:11" ht="18.75" customHeight="1">
      <c r="A127" s="3504" t="s">
        <v>2305</v>
      </c>
      <c r="B127" s="3504"/>
      <c r="C127" s="3504"/>
      <c r="D127" s="3558" t="e">
        <f>NUMBERSTRING(INT(D126*10000),2)&amp;"元整"</f>
        <v>#VALUE!</v>
      </c>
      <c r="E127" s="3560"/>
      <c r="F127" s="3560"/>
      <c r="G127" s="3560"/>
      <c r="H127" s="3560"/>
      <c r="I127" s="3559"/>
    </row>
    <row r="128" spans="1:11" ht="21.75" customHeight="1">
      <c r="A128" s="3561" t="s">
        <v>2306</v>
      </c>
      <c r="B128" s="3561"/>
      <c r="C128" s="3561"/>
      <c r="D128" s="3561"/>
      <c r="E128" s="3561"/>
      <c r="F128" s="3561"/>
      <c r="G128" s="3561"/>
      <c r="H128" s="3561"/>
      <c r="I128" s="356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H64" sqref="H6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3049</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38093</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700" t="s">
        <v>2639</v>
      </c>
      <c r="Q4" s="3701"/>
      <c r="R4" s="3693" t="s">
        <v>2635</v>
      </c>
      <c r="S4" s="3694"/>
      <c r="T4" s="3693" t="s">
        <v>2636</v>
      </c>
      <c r="U4" s="3694"/>
      <c r="V4" s="3704" t="s">
        <v>2637</v>
      </c>
      <c r="W4" s="3704"/>
      <c r="X4" s="2643"/>
      <c r="Y4" s="3693" t="s">
        <v>2639</v>
      </c>
      <c r="Z4" s="3694"/>
      <c r="AA4" s="3692" t="s">
        <v>2635</v>
      </c>
      <c r="AB4" s="3692" t="s">
        <v>2636</v>
      </c>
      <c r="AC4" s="3697" t="s">
        <v>2637</v>
      </c>
    </row>
    <row r="5" spans="1:29" ht="15">
      <c r="A5" s="403"/>
      <c r="B5" s="404"/>
      <c r="C5" s="3695" t="s">
        <v>3433</v>
      </c>
      <c r="D5" s="3696"/>
      <c r="E5" s="3648" t="s">
        <v>3783</v>
      </c>
      <c r="F5" s="3649"/>
      <c r="G5" s="3648" t="s">
        <v>3784</v>
      </c>
      <c r="H5" s="3649"/>
      <c r="I5" s="3648" t="s">
        <v>3785</v>
      </c>
      <c r="J5" s="3649"/>
      <c r="K5" s="609"/>
      <c r="L5" s="1113"/>
      <c r="M5" s="1114"/>
      <c r="N5" s="1114"/>
      <c r="O5" s="1114"/>
      <c r="P5" s="3702"/>
      <c r="Q5" s="3662"/>
      <c r="R5" s="3644"/>
      <c r="S5" s="3645"/>
      <c r="T5" s="3644"/>
      <c r="U5" s="3645"/>
      <c r="V5" s="3639"/>
      <c r="W5" s="3639"/>
      <c r="X5" s="1793"/>
      <c r="Y5" s="3644"/>
      <c r="Z5" s="3645"/>
      <c r="AA5" s="3637"/>
      <c r="AB5" s="3637"/>
      <c r="AC5" s="3698"/>
    </row>
    <row r="6" spans="1:29" ht="15.75" thickBot="1">
      <c r="A6" s="405"/>
      <c r="B6" s="406"/>
      <c r="C6" s="3650" t="s">
        <v>2534</v>
      </c>
      <c r="D6" s="3651"/>
      <c r="E6" s="3652" t="s">
        <v>2534</v>
      </c>
      <c r="F6" s="3653"/>
      <c r="G6" s="3650" t="s">
        <v>2534</v>
      </c>
      <c r="H6" s="3651"/>
      <c r="I6" s="3650" t="s">
        <v>2534</v>
      </c>
      <c r="J6" s="3651"/>
      <c r="K6" s="609" t="s">
        <v>2535</v>
      </c>
      <c r="L6" s="1113"/>
      <c r="M6" s="1114"/>
      <c r="N6" s="1114"/>
      <c r="O6" s="1114"/>
      <c r="P6" s="3703"/>
      <c r="Q6" s="3664"/>
      <c r="R6" s="3644"/>
      <c r="S6" s="3645"/>
      <c r="T6" s="3665"/>
      <c r="U6" s="3666"/>
      <c r="V6" s="3639"/>
      <c r="W6" s="3639"/>
      <c r="X6" s="1793"/>
      <c r="Y6" s="3665"/>
      <c r="Z6" s="3666"/>
      <c r="AA6" s="3638"/>
      <c r="AB6" s="3638"/>
      <c r="AC6" s="3699"/>
    </row>
    <row r="7" spans="1:29" s="117" customFormat="1" ht="15.75" thickBot="1">
      <c r="A7" s="407" t="s">
        <v>2536</v>
      </c>
      <c r="B7" s="408"/>
      <c r="C7" s="409">
        <f>'数据-取费表'!B2</f>
        <v>43983</v>
      </c>
      <c r="D7" s="410">
        <v>100</v>
      </c>
      <c r="E7" s="411">
        <v>43983</v>
      </c>
      <c r="F7" s="412">
        <f>SUMIF(59:59,YEAR(E7)&amp;"-"&amp;MONTH(E7),60:60)</f>
        <v>100</v>
      </c>
      <c r="G7" s="411">
        <v>43983</v>
      </c>
      <c r="H7" s="410">
        <f>SUMIF(59:59,YEAR(G7)&amp;"-"&amp;MONTH(G7),60:60)</f>
        <v>100</v>
      </c>
      <c r="I7" s="411">
        <v>43978</v>
      </c>
      <c r="J7" s="410">
        <f>SUMIF(59:59,YEAR(I7)&amp;"-"&amp;MONTH(I7),60:60)</f>
        <v>100</v>
      </c>
      <c r="K7" s="610"/>
      <c r="L7" s="1115"/>
      <c r="M7" s="1116"/>
      <c r="N7" s="1116"/>
      <c r="O7" s="1116"/>
      <c r="P7" s="3705" t="s">
        <v>2537</v>
      </c>
      <c r="Q7" s="3667"/>
      <c r="R7" s="766" t="s">
        <v>17</v>
      </c>
      <c r="S7" s="767">
        <f t="shared" ref="S7:S15" si="0">F7</f>
        <v>100</v>
      </c>
      <c r="T7" s="766" t="s">
        <v>17</v>
      </c>
      <c r="U7" s="767">
        <f t="shared" ref="U7:U15" si="1">H7</f>
        <v>100</v>
      </c>
      <c r="V7" s="766" t="s">
        <v>17</v>
      </c>
      <c r="W7" s="767">
        <f t="shared" ref="W7:W15" si="2">J7</f>
        <v>100</v>
      </c>
      <c r="X7" s="768"/>
      <c r="Y7" s="3640" t="s">
        <v>2537</v>
      </c>
      <c r="Z7" s="3641"/>
      <c r="AA7" s="769">
        <f>D7/F7</f>
        <v>1</v>
      </c>
      <c r="AB7" s="769">
        <f>D7/H7</f>
        <v>1</v>
      </c>
      <c r="AC7" s="2644">
        <f>D7/J7</f>
        <v>1</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05" t="s">
        <v>2540</v>
      </c>
      <c r="Q8" s="3641"/>
      <c r="R8" s="766" t="s">
        <v>17</v>
      </c>
      <c r="S8" s="767">
        <f t="shared" si="0"/>
        <v>100</v>
      </c>
      <c r="T8" s="766" t="s">
        <v>17</v>
      </c>
      <c r="U8" s="767">
        <f t="shared" si="1"/>
        <v>100</v>
      </c>
      <c r="V8" s="766" t="s">
        <v>17</v>
      </c>
      <c r="W8" s="767">
        <f t="shared" si="2"/>
        <v>100</v>
      </c>
      <c r="X8" s="768"/>
      <c r="Y8" s="3640" t="s">
        <v>2540</v>
      </c>
      <c r="Z8" s="3641"/>
      <c r="AA8" s="769">
        <f t="shared" ref="AA8:AA47" si="3">D8/F8</f>
        <v>1</v>
      </c>
      <c r="AB8" s="769">
        <f t="shared" ref="AB8:AB47" si="4">D8/H8</f>
        <v>1</v>
      </c>
      <c r="AC8" s="2644">
        <f t="shared" ref="AC8:AC47" si="5">D8/J8</f>
        <v>1</v>
      </c>
    </row>
    <row r="9" spans="1:29" s="117" customFormat="1">
      <c r="A9" s="414" t="s">
        <v>2541</v>
      </c>
      <c r="B9" s="71" t="s">
        <v>2542</v>
      </c>
      <c r="C9" s="2965" t="s">
        <v>3148</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54" t="s">
        <v>2543</v>
      </c>
      <c r="Q9" s="1775" t="str">
        <f t="shared" ref="Q9:Q15" si="6">B9</f>
        <v>用途</v>
      </c>
      <c r="R9" s="766" t="s">
        <v>17</v>
      </c>
      <c r="S9" s="767">
        <f t="shared" si="0"/>
        <v>100</v>
      </c>
      <c r="T9" s="766" t="s">
        <v>17</v>
      </c>
      <c r="U9" s="767">
        <f t="shared" si="1"/>
        <v>100</v>
      </c>
      <c r="V9" s="766" t="s">
        <v>17</v>
      </c>
      <c r="W9" s="767">
        <f t="shared" si="2"/>
        <v>100</v>
      </c>
      <c r="X9" s="768"/>
      <c r="Y9" s="3504" t="s">
        <v>2544</v>
      </c>
      <c r="Z9" s="55" t="str">
        <f t="shared" ref="Z9:Z15" si="7">Q9</f>
        <v>用途</v>
      </c>
      <c r="AA9" s="769">
        <f t="shared" si="3"/>
        <v>1</v>
      </c>
      <c r="AB9" s="769">
        <f t="shared" si="4"/>
        <v>1</v>
      </c>
      <c r="AC9" s="2644">
        <f t="shared" si="5"/>
        <v>1</v>
      </c>
    </row>
    <row r="10" spans="1:29" s="426" customFormat="1" ht="27">
      <c r="A10" s="420"/>
      <c r="B10" s="421" t="s">
        <v>2545</v>
      </c>
      <c r="C10" s="422" t="s">
        <v>3434</v>
      </c>
      <c r="D10" s="136">
        <v>100</v>
      </c>
      <c r="E10" s="3416" t="s">
        <v>3661</v>
      </c>
      <c r="F10" s="3417">
        <f>SUMIF(66:66,E10,67:67)-SUMIF(66:66,C10,67:67)+100</f>
        <v>101</v>
      </c>
      <c r="G10" s="3416" t="s">
        <v>3662</v>
      </c>
      <c r="H10" s="3417">
        <f>SUMIF(66:66,G10,67:67)-SUMIF(66:66,C10,67:67)+100</f>
        <v>102</v>
      </c>
      <c r="I10" s="3416" t="s">
        <v>3662</v>
      </c>
      <c r="J10" s="3417">
        <f>SUMIF(66:66,I10,67:67)-SUMIF(66:66,C10,67:67)+100</f>
        <v>102</v>
      </c>
      <c r="K10" s="611">
        <v>1</v>
      </c>
      <c r="L10" s="1118"/>
      <c r="M10" s="1119"/>
      <c r="N10" s="1119"/>
      <c r="O10" s="1119"/>
      <c r="P10" s="3654"/>
      <c r="Q10" s="1775" t="str">
        <f t="shared" si="6"/>
        <v>土地使用年限（年）</v>
      </c>
      <c r="R10" s="766" t="s">
        <v>17</v>
      </c>
      <c r="S10" s="767">
        <f t="shared" si="0"/>
        <v>101</v>
      </c>
      <c r="T10" s="766" t="s">
        <v>17</v>
      </c>
      <c r="U10" s="767">
        <f t="shared" si="1"/>
        <v>102</v>
      </c>
      <c r="V10" s="766" t="s">
        <v>17</v>
      </c>
      <c r="W10" s="767">
        <f t="shared" si="2"/>
        <v>102</v>
      </c>
      <c r="X10" s="768"/>
      <c r="Y10" s="3504"/>
      <c r="Z10" s="55" t="str">
        <f t="shared" si="7"/>
        <v>土地使用年限（年）</v>
      </c>
      <c r="AA10" s="769">
        <f t="shared" si="3"/>
        <v>0.99009900990099009</v>
      </c>
      <c r="AB10" s="769">
        <f t="shared" si="4"/>
        <v>0.98039215686274506</v>
      </c>
      <c r="AC10" s="2644">
        <f t="shared" si="5"/>
        <v>0.98039215686274506</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54"/>
      <c r="Q11" s="1775" t="str">
        <f t="shared" si="6"/>
        <v>容积率</v>
      </c>
      <c r="R11" s="766" t="s">
        <v>17</v>
      </c>
      <c r="S11" s="767">
        <f t="shared" si="0"/>
        <v>100</v>
      </c>
      <c r="T11" s="766" t="s">
        <v>17</v>
      </c>
      <c r="U11" s="767">
        <f t="shared" si="1"/>
        <v>100</v>
      </c>
      <c r="V11" s="766" t="s">
        <v>17</v>
      </c>
      <c r="W11" s="767">
        <f t="shared" si="2"/>
        <v>100</v>
      </c>
      <c r="X11" s="768"/>
      <c r="Y11" s="3504"/>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54"/>
      <c r="Q12" s="1775">
        <f t="shared" si="6"/>
        <v>111</v>
      </c>
      <c r="R12" s="766" t="s">
        <v>17</v>
      </c>
      <c r="S12" s="767">
        <f t="shared" si="0"/>
        <v>100</v>
      </c>
      <c r="T12" s="766" t="s">
        <v>17</v>
      </c>
      <c r="U12" s="767">
        <f t="shared" si="1"/>
        <v>100</v>
      </c>
      <c r="V12" s="766" t="s">
        <v>17</v>
      </c>
      <c r="W12" s="767">
        <f t="shared" si="2"/>
        <v>100</v>
      </c>
      <c r="X12" s="768"/>
      <c r="Y12" s="3504"/>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54"/>
      <c r="Q13" s="1775">
        <f t="shared" si="6"/>
        <v>111</v>
      </c>
      <c r="R13" s="766" t="s">
        <v>17</v>
      </c>
      <c r="S13" s="767">
        <f t="shared" si="0"/>
        <v>100</v>
      </c>
      <c r="T13" s="766" t="s">
        <v>17</v>
      </c>
      <c r="U13" s="767">
        <f t="shared" si="1"/>
        <v>100</v>
      </c>
      <c r="V13" s="766" t="s">
        <v>17</v>
      </c>
      <c r="W13" s="767">
        <f t="shared" si="2"/>
        <v>100</v>
      </c>
      <c r="X13" s="768"/>
      <c r="Y13" s="3504"/>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54"/>
      <c r="Q14" s="1775">
        <f t="shared" si="6"/>
        <v>111</v>
      </c>
      <c r="R14" s="766" t="s">
        <v>17</v>
      </c>
      <c r="S14" s="767">
        <f t="shared" si="0"/>
        <v>100</v>
      </c>
      <c r="T14" s="766" t="s">
        <v>17</v>
      </c>
      <c r="U14" s="767">
        <f t="shared" si="1"/>
        <v>100</v>
      </c>
      <c r="V14" s="766" t="s">
        <v>17</v>
      </c>
      <c r="W14" s="767">
        <f t="shared" si="2"/>
        <v>100</v>
      </c>
      <c r="X14" s="768"/>
      <c r="Y14" s="3504"/>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3669</v>
      </c>
      <c r="F15" s="440">
        <f>SUMIF(77:77,E16,78:78)-SUMIF(77:77,C16,78:78)+100</f>
        <v>100</v>
      </c>
      <c r="G15" s="443" t="s">
        <v>3669</v>
      </c>
      <c r="H15" s="440">
        <f>SUMIF(77:77,G16,78:78)-SUMIF(77:77,C16,78:78)+100</f>
        <v>100</v>
      </c>
      <c r="I15" s="443" t="s">
        <v>3669</v>
      </c>
      <c r="J15" s="440">
        <f>SUMIF(77:77,I16,78:78)-SUMIF(77:77,C16,78:78)+100</f>
        <v>100</v>
      </c>
      <c r="K15" s="613">
        <v>3</v>
      </c>
      <c r="L15" s="1123"/>
      <c r="M15" s="1114"/>
      <c r="N15" s="1114"/>
      <c r="O15" s="1114"/>
      <c r="P15" s="3668" t="s">
        <v>2548</v>
      </c>
      <c r="Q15" s="1790" t="str">
        <f t="shared" si="6"/>
        <v>办公集聚程度</v>
      </c>
      <c r="R15" s="770" t="s">
        <v>17</v>
      </c>
      <c r="S15" s="771">
        <f t="shared" si="0"/>
        <v>100</v>
      </c>
      <c r="T15" s="770" t="s">
        <v>17</v>
      </c>
      <c r="U15" s="771">
        <f t="shared" si="1"/>
        <v>100</v>
      </c>
      <c r="V15" s="770" t="s">
        <v>17</v>
      </c>
      <c r="W15" s="771">
        <f t="shared" si="2"/>
        <v>100</v>
      </c>
      <c r="X15" s="1793"/>
      <c r="Y15" s="3670" t="s">
        <v>2548</v>
      </c>
      <c r="Z15" s="1794" t="str">
        <f t="shared" si="7"/>
        <v>办公集聚程度</v>
      </c>
      <c r="AA15" s="1791">
        <f t="shared" si="3"/>
        <v>1</v>
      </c>
      <c r="AB15" s="1791">
        <f t="shared" si="4"/>
        <v>1</v>
      </c>
      <c r="AC15" s="2647">
        <f t="shared" si="5"/>
        <v>1</v>
      </c>
    </row>
    <row r="16" spans="1:29" ht="15">
      <c r="A16" s="427"/>
      <c r="B16" s="629"/>
      <c r="C16" s="2584" t="s">
        <v>3057</v>
      </c>
      <c r="D16" s="447"/>
      <c r="E16" s="2649" t="s">
        <v>3057</v>
      </c>
      <c r="F16" s="447"/>
      <c r="G16" s="2649" t="s">
        <v>3057</v>
      </c>
      <c r="H16" s="449"/>
      <c r="I16" s="2649" t="s">
        <v>3057</v>
      </c>
      <c r="J16" s="447"/>
      <c r="K16" s="614"/>
      <c r="L16" s="1123"/>
      <c r="M16" s="1114"/>
      <c r="N16" s="1114"/>
      <c r="O16" s="1114"/>
      <c r="P16" s="3669"/>
      <c r="Q16" s="1790"/>
      <c r="R16" s="770"/>
      <c r="S16" s="771"/>
      <c r="T16" s="770"/>
      <c r="U16" s="771"/>
      <c r="V16" s="770"/>
      <c r="W16" s="771"/>
      <c r="X16" s="1793"/>
      <c r="Y16" s="3671"/>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3670</v>
      </c>
      <c r="F17" s="449">
        <f>SUMIF(79:79,E18,80:80)-SUMIF(79:79,C18,80:80)+100</f>
        <v>100</v>
      </c>
      <c r="G17" s="453" t="s">
        <v>3670</v>
      </c>
      <c r="H17" s="454">
        <f>SUMIF(79:79,G18,80:80)-SUMIF(79:79,C18,80:80)+100</f>
        <v>100</v>
      </c>
      <c r="I17" s="453" t="s">
        <v>3670</v>
      </c>
      <c r="J17" s="454">
        <f>SUMIF(79:79,I18,80:80)-SUMIF(79:79,C18,80:80)+100</f>
        <v>100</v>
      </c>
      <c r="K17" s="613">
        <f>'比较法-商业'!K17</f>
        <v>2</v>
      </c>
      <c r="L17" s="1123"/>
      <c r="M17" s="1114"/>
      <c r="N17" s="1114"/>
      <c r="O17" s="1114"/>
      <c r="P17" s="3669"/>
      <c r="Q17" s="1790" t="str">
        <f>B17</f>
        <v>交通便捷度</v>
      </c>
      <c r="R17" s="770" t="s">
        <v>17</v>
      </c>
      <c r="S17" s="771">
        <f>F17</f>
        <v>100</v>
      </c>
      <c r="T17" s="770" t="s">
        <v>17</v>
      </c>
      <c r="U17" s="771">
        <f>H17</f>
        <v>100</v>
      </c>
      <c r="V17" s="770" t="s">
        <v>17</v>
      </c>
      <c r="W17" s="771">
        <f>J17</f>
        <v>100</v>
      </c>
      <c r="X17" s="1793"/>
      <c r="Y17" s="3671"/>
      <c r="Z17" s="1794" t="str">
        <f>Q17</f>
        <v>交通便捷度</v>
      </c>
      <c r="AA17" s="1791">
        <f t="shared" si="3"/>
        <v>1</v>
      </c>
      <c r="AB17" s="1791">
        <f t="shared" si="4"/>
        <v>1</v>
      </c>
      <c r="AC17" s="2647">
        <f t="shared" si="5"/>
        <v>1</v>
      </c>
    </row>
    <row r="18" spans="1:29" ht="15">
      <c r="A18" s="427"/>
      <c r="B18" s="631"/>
      <c r="C18" s="2649" t="s">
        <v>3057</v>
      </c>
      <c r="D18" s="449"/>
      <c r="E18" s="2649" t="s">
        <v>3057</v>
      </c>
      <c r="F18" s="449"/>
      <c r="G18" s="2649" t="s">
        <v>3057</v>
      </c>
      <c r="H18" s="447"/>
      <c r="I18" s="2649" t="s">
        <v>3057</v>
      </c>
      <c r="J18" s="447"/>
      <c r="K18" s="614"/>
      <c r="L18" s="1123"/>
      <c r="M18" s="1114"/>
      <c r="N18" s="1114"/>
      <c r="O18" s="1114"/>
      <c r="P18" s="3669"/>
      <c r="Q18" s="1790"/>
      <c r="R18" s="770"/>
      <c r="S18" s="771"/>
      <c r="T18" s="770"/>
      <c r="U18" s="771"/>
      <c r="V18" s="770"/>
      <c r="W18" s="771"/>
      <c r="X18" s="1793"/>
      <c r="Y18" s="3671"/>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3671</v>
      </c>
      <c r="F19" s="454">
        <f>SUMIF(81:81,E20,82:82)-SUMIF(81:81,C20,82:82)+100</f>
        <v>100</v>
      </c>
      <c r="G19" s="458" t="s">
        <v>3671</v>
      </c>
      <c r="H19" s="449">
        <f>SUMIF(81:81,G20,82:82)-SUMIF(81:81,C20,82:82)+100</f>
        <v>100</v>
      </c>
      <c r="I19" s="458" t="s">
        <v>3671</v>
      </c>
      <c r="J19" s="449">
        <f>SUMIF(81:81,I20,82:82)-SUMIF(81:81,C20,82:82)+100</f>
        <v>100</v>
      </c>
      <c r="K19" s="613">
        <v>2</v>
      </c>
      <c r="L19" s="1123"/>
      <c r="M19" s="1114"/>
      <c r="N19" s="1114"/>
      <c r="O19" s="1114"/>
      <c r="P19" s="3669"/>
      <c r="Q19" s="1790" t="str">
        <f>B19</f>
        <v>公共配套设施</v>
      </c>
      <c r="R19" s="770" t="s">
        <v>17</v>
      </c>
      <c r="S19" s="771">
        <f>F19</f>
        <v>100</v>
      </c>
      <c r="T19" s="770" t="s">
        <v>17</v>
      </c>
      <c r="U19" s="771">
        <f>H19</f>
        <v>100</v>
      </c>
      <c r="V19" s="770" t="s">
        <v>17</v>
      </c>
      <c r="W19" s="771">
        <f>J19</f>
        <v>100</v>
      </c>
      <c r="X19" s="1793"/>
      <c r="Y19" s="3671"/>
      <c r="Z19" s="1794" t="str">
        <f>Q19</f>
        <v>公共配套设施</v>
      </c>
      <c r="AA19" s="1791">
        <f t="shared" si="3"/>
        <v>1</v>
      </c>
      <c r="AB19" s="1791">
        <f t="shared" si="4"/>
        <v>1</v>
      </c>
      <c r="AC19" s="2647">
        <f t="shared" si="5"/>
        <v>1</v>
      </c>
    </row>
    <row r="20" spans="1:29" ht="15">
      <c r="A20" s="427"/>
      <c r="B20" s="631"/>
      <c r="C20" s="2649" t="s">
        <v>3057</v>
      </c>
      <c r="D20" s="447"/>
      <c r="E20" s="2649" t="s">
        <v>3057</v>
      </c>
      <c r="F20" s="447"/>
      <c r="G20" s="2649" t="s">
        <v>3057</v>
      </c>
      <c r="H20" s="447"/>
      <c r="I20" s="2649" t="s">
        <v>3057</v>
      </c>
      <c r="J20" s="447"/>
      <c r="K20" s="614"/>
      <c r="L20" s="1123"/>
      <c r="M20" s="1114"/>
      <c r="N20" s="1114"/>
      <c r="O20" s="1114"/>
      <c r="P20" s="3669"/>
      <c r="Q20" s="1790"/>
      <c r="R20" s="770"/>
      <c r="S20" s="771"/>
      <c r="T20" s="770"/>
      <c r="U20" s="771"/>
      <c r="V20" s="770"/>
      <c r="W20" s="771"/>
      <c r="X20" s="1793"/>
      <c r="Y20" s="3671"/>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3064</v>
      </c>
      <c r="F21" s="454">
        <f>SUMIF(83:83,E22,84:84)-SUMIF(83:83,C22,84:84)+100</f>
        <v>100</v>
      </c>
      <c r="G21" s="458" t="s">
        <v>3064</v>
      </c>
      <c r="H21" s="449">
        <f>SUMIF(83:83,G22,84:84)-SUMIF(83:83,C22,84:84)+100</f>
        <v>100</v>
      </c>
      <c r="I21" s="458" t="s">
        <v>3064</v>
      </c>
      <c r="J21" s="449">
        <f>SUMIF(83:83,I22,84:84)-SUMIF(83:83,C22,84:84)+100</f>
        <v>100</v>
      </c>
      <c r="K21" s="613">
        <v>1</v>
      </c>
      <c r="L21" s="1123"/>
      <c r="M21" s="1114"/>
      <c r="N21" s="1114"/>
      <c r="O21" s="1114"/>
      <c r="P21" s="3669"/>
      <c r="Q21" s="1790" t="str">
        <f>B21</f>
        <v>基础设施水平</v>
      </c>
      <c r="R21" s="770" t="s">
        <v>17</v>
      </c>
      <c r="S21" s="771">
        <f>F21</f>
        <v>100</v>
      </c>
      <c r="T21" s="770" t="s">
        <v>17</v>
      </c>
      <c r="U21" s="771">
        <f>H21</f>
        <v>100</v>
      </c>
      <c r="V21" s="770" t="s">
        <v>17</v>
      </c>
      <c r="W21" s="771">
        <f>J21</f>
        <v>100</v>
      </c>
      <c r="X21" s="1793"/>
      <c r="Y21" s="3671"/>
      <c r="Z21" s="1794" t="str">
        <f>Q21</f>
        <v>基础设施水平</v>
      </c>
      <c r="AA21" s="1791">
        <f t="shared" ref="AA21" si="8">D21/F21</f>
        <v>1</v>
      </c>
      <c r="AB21" s="1791">
        <f t="shared" ref="AB21" si="9">D21/H21</f>
        <v>1</v>
      </c>
      <c r="AC21" s="2647">
        <f t="shared" ref="AC21" si="10">D21/J21</f>
        <v>1</v>
      </c>
    </row>
    <row r="22" spans="1:29" ht="15">
      <c r="A22" s="427"/>
      <c r="B22" s="632"/>
      <c r="C22" s="2649" t="s">
        <v>3096</v>
      </c>
      <c r="D22" s="447"/>
      <c r="E22" s="2649" t="s">
        <v>3096</v>
      </c>
      <c r="F22" s="447"/>
      <c r="G22" s="2649" t="s">
        <v>3096</v>
      </c>
      <c r="H22" s="447"/>
      <c r="I22" s="2649" t="s">
        <v>3096</v>
      </c>
      <c r="J22" s="447"/>
      <c r="K22" s="1365"/>
      <c r="L22" s="1123"/>
      <c r="M22" s="1114"/>
      <c r="N22" s="1114"/>
      <c r="O22" s="1114"/>
      <c r="P22" s="3669"/>
      <c r="Q22" s="1790"/>
      <c r="R22" s="770"/>
      <c r="S22" s="771"/>
      <c r="T22" s="770"/>
      <c r="U22" s="771"/>
      <c r="V22" s="770"/>
      <c r="W22" s="771"/>
      <c r="X22" s="1793"/>
      <c r="Y22" s="3671"/>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3147</v>
      </c>
      <c r="F23" s="449">
        <f>SUMIF(85:85,E24,86:86)-SUMIF(85:85,C24,86:86)+100</f>
        <v>100</v>
      </c>
      <c r="G23" s="453" t="s">
        <v>3147</v>
      </c>
      <c r="H23" s="449">
        <f>SUMIF(85:85,G24,86:86)-SUMIF(85:85,C24,86:86)+100</f>
        <v>100</v>
      </c>
      <c r="I23" s="453" t="s">
        <v>3147</v>
      </c>
      <c r="J23" s="449">
        <f>SUMIF(85:85,I24,86:86)-SUMIF(85:85,C24,86:86)+100</f>
        <v>100</v>
      </c>
      <c r="K23" s="613">
        <v>2</v>
      </c>
      <c r="L23" s="1123"/>
      <c r="M23" s="1114"/>
      <c r="N23" s="1114"/>
      <c r="O23" s="1114"/>
      <c r="P23" s="3669"/>
      <c r="Q23" s="1790" t="str">
        <f>B23</f>
        <v>环境质量</v>
      </c>
      <c r="R23" s="770" t="s">
        <v>17</v>
      </c>
      <c r="S23" s="771">
        <f>F23</f>
        <v>100</v>
      </c>
      <c r="T23" s="770" t="s">
        <v>17</v>
      </c>
      <c r="U23" s="771">
        <f>H23</f>
        <v>100</v>
      </c>
      <c r="V23" s="770" t="s">
        <v>17</v>
      </c>
      <c r="W23" s="771">
        <f>J23</f>
        <v>100</v>
      </c>
      <c r="X23" s="1793"/>
      <c r="Y23" s="3671"/>
      <c r="Z23" s="1794" t="str">
        <f>Q23</f>
        <v>环境质量</v>
      </c>
      <c r="AA23" s="1791">
        <f t="shared" si="3"/>
        <v>1</v>
      </c>
      <c r="AB23" s="1791">
        <f t="shared" si="4"/>
        <v>1</v>
      </c>
      <c r="AC23" s="2647">
        <f t="shared" si="5"/>
        <v>1</v>
      </c>
    </row>
    <row r="24" spans="1:29" ht="15">
      <c r="A24" s="427"/>
      <c r="B24" s="632"/>
      <c r="C24" s="2584" t="s">
        <v>3057</v>
      </c>
      <c r="D24" s="447"/>
      <c r="E24" s="2584" t="s">
        <v>3057</v>
      </c>
      <c r="F24" s="447"/>
      <c r="G24" s="2584" t="s">
        <v>3057</v>
      </c>
      <c r="H24" s="447"/>
      <c r="I24" s="2584" t="s">
        <v>3057</v>
      </c>
      <c r="J24" s="447"/>
      <c r="K24" s="614"/>
      <c r="L24" s="1123"/>
      <c r="M24" s="1114"/>
      <c r="N24" s="1114"/>
      <c r="O24" s="1114"/>
      <c r="P24" s="3669"/>
      <c r="Q24" s="1790"/>
      <c r="R24" s="770"/>
      <c r="S24" s="771"/>
      <c r="T24" s="770"/>
      <c r="U24" s="771"/>
      <c r="V24" s="770"/>
      <c r="W24" s="771"/>
      <c r="X24" s="1793"/>
      <c r="Y24" s="3671"/>
      <c r="Z24" s="1794"/>
      <c r="AA24" s="1791">
        <v>1</v>
      </c>
      <c r="AB24" s="1791">
        <v>1</v>
      </c>
      <c r="AC24" s="2647">
        <v>1</v>
      </c>
    </row>
    <row r="25" spans="1:29" ht="27">
      <c r="A25" s="403"/>
      <c r="B25" s="630" t="s">
        <v>2679</v>
      </c>
      <c r="C25" s="2977" t="s">
        <v>3668</v>
      </c>
      <c r="D25" s="434">
        <v>100</v>
      </c>
      <c r="E25" s="3420" t="s">
        <v>3673</v>
      </c>
      <c r="F25" s="3421">
        <f>SUMIF(87:87,E26,88:88)-SUMIF(87:87,C26,88:88)+100</f>
        <v>99</v>
      </c>
      <c r="G25" s="3420" t="s">
        <v>3698</v>
      </c>
      <c r="H25" s="3421">
        <f>SUMIF(87:87,G26,88:88)-SUMIF(87:87,C26,88:88)+100</f>
        <v>99</v>
      </c>
      <c r="I25" s="3420" t="s">
        <v>3699</v>
      </c>
      <c r="J25" s="434">
        <f>SUMIF(87:87,I26,88:88)-SUMIF(87:87,C26,88:88)+100</f>
        <v>100</v>
      </c>
      <c r="K25" s="613">
        <v>1</v>
      </c>
      <c r="L25" s="1123"/>
      <c r="M25" s="1114"/>
      <c r="N25" s="1114"/>
      <c r="O25" s="1114"/>
      <c r="P25" s="3669"/>
      <c r="Q25" s="1790" t="str">
        <f>B25</f>
        <v>毗邻道路的类型与等级</v>
      </c>
      <c r="R25" s="770" t="s">
        <v>17</v>
      </c>
      <c r="S25" s="771">
        <f>F25</f>
        <v>99</v>
      </c>
      <c r="T25" s="770" t="s">
        <v>17</v>
      </c>
      <c r="U25" s="771">
        <f>H25</f>
        <v>99</v>
      </c>
      <c r="V25" s="770" t="s">
        <v>17</v>
      </c>
      <c r="W25" s="771">
        <f>J25</f>
        <v>100</v>
      </c>
      <c r="X25" s="1793"/>
      <c r="Y25" s="3671"/>
      <c r="Z25" s="1794" t="str">
        <f>Q25</f>
        <v>毗邻道路的类型与等级</v>
      </c>
      <c r="AA25" s="1791">
        <f t="shared" si="3"/>
        <v>1.0101010101010102</v>
      </c>
      <c r="AB25" s="1791">
        <f t="shared" si="4"/>
        <v>1.0101010101010102</v>
      </c>
      <c r="AC25" s="2647">
        <f t="shared" si="5"/>
        <v>1</v>
      </c>
    </row>
    <row r="26" spans="1:29" ht="15">
      <c r="A26" s="403"/>
      <c r="B26" s="631"/>
      <c r="C26" s="633" t="s">
        <v>3625</v>
      </c>
      <c r="D26" s="434"/>
      <c r="E26" s="633" t="s">
        <v>3140</v>
      </c>
      <c r="F26" s="434"/>
      <c r="G26" s="633" t="s">
        <v>3140</v>
      </c>
      <c r="H26" s="434"/>
      <c r="I26" s="633" t="s">
        <v>3625</v>
      </c>
      <c r="J26" s="434"/>
      <c r="K26" s="614"/>
      <c r="L26" s="1123"/>
      <c r="M26" s="1114"/>
      <c r="N26" s="1114"/>
      <c r="O26" s="1114"/>
      <c r="P26" s="3669"/>
      <c r="Q26" s="1790"/>
      <c r="R26" s="770"/>
      <c r="S26" s="771"/>
      <c r="T26" s="770"/>
      <c r="U26" s="771"/>
      <c r="V26" s="770"/>
      <c r="W26" s="771"/>
      <c r="X26" s="1793"/>
      <c r="Y26" s="3671"/>
      <c r="Z26" s="1794"/>
      <c r="AA26" s="1791">
        <v>1</v>
      </c>
      <c r="AB26" s="1791">
        <v>1</v>
      </c>
      <c r="AC26" s="2647">
        <v>1</v>
      </c>
    </row>
    <row r="27" spans="1:29" ht="15">
      <c r="A27" s="427"/>
      <c r="B27" s="631" t="s">
        <v>2647</v>
      </c>
      <c r="C27" s="633" t="s">
        <v>3141</v>
      </c>
      <c r="D27" s="434">
        <v>100</v>
      </c>
      <c r="E27" s="615" t="s">
        <v>3149</v>
      </c>
      <c r="F27" s="434">
        <f>SUMIF(89:89,E27,90:90)-SUMIF(89:89,C27,90:90)+100</f>
        <v>104</v>
      </c>
      <c r="G27" s="633" t="s">
        <v>3149</v>
      </c>
      <c r="H27" s="434">
        <f>SUMIF(89:89,G27,90:90)-SUMIF(89:89,C27,90:90)+100</f>
        <v>104</v>
      </c>
      <c r="I27" s="633" t="s">
        <v>3149</v>
      </c>
      <c r="J27" s="434">
        <f>SUMIF(89:89,I27,90:90)-SUMIF(89:89,C27,90:90)+100</f>
        <v>104</v>
      </c>
      <c r="K27" s="611">
        <v>4</v>
      </c>
      <c r="L27" s="1123"/>
      <c r="M27" s="1114"/>
      <c r="N27" s="1114"/>
      <c r="O27" s="1114"/>
      <c r="P27" s="3669"/>
      <c r="Q27" s="1790" t="str">
        <f t="shared" ref="Q27:Q47" si="11">B27</f>
        <v>楼层</v>
      </c>
      <c r="R27" s="770" t="s">
        <v>17</v>
      </c>
      <c r="S27" s="771">
        <f>F27</f>
        <v>104</v>
      </c>
      <c r="T27" s="770" t="s">
        <v>17</v>
      </c>
      <c r="U27" s="771">
        <f>H27</f>
        <v>104</v>
      </c>
      <c r="V27" s="770" t="s">
        <v>17</v>
      </c>
      <c r="W27" s="771">
        <f>J27</f>
        <v>104</v>
      </c>
      <c r="X27" s="1793"/>
      <c r="Y27" s="3671"/>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669"/>
      <c r="Q28" s="1775" t="str">
        <f t="shared" si="11"/>
        <v>朝向</v>
      </c>
      <c r="R28" s="766" t="s">
        <v>17</v>
      </c>
      <c r="S28" s="767">
        <f>F28</f>
        <v>100</v>
      </c>
      <c r="T28" s="766" t="s">
        <v>17</v>
      </c>
      <c r="U28" s="767">
        <f>H28</f>
        <v>100</v>
      </c>
      <c r="V28" s="766" t="s">
        <v>17</v>
      </c>
      <c r="W28" s="767">
        <f>J28</f>
        <v>100</v>
      </c>
      <c r="X28" s="768"/>
      <c r="Y28" s="3671"/>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669"/>
      <c r="Q29" s="1790">
        <f t="shared" si="11"/>
        <v>111</v>
      </c>
      <c r="R29" s="770" t="s">
        <v>17</v>
      </c>
      <c r="S29" s="771">
        <f t="shared" ref="S29:S47" si="12">F29</f>
        <v>100</v>
      </c>
      <c r="T29" s="770" t="s">
        <v>17</v>
      </c>
      <c r="U29" s="771">
        <f t="shared" ref="U29:U47" si="13">H29</f>
        <v>100</v>
      </c>
      <c r="V29" s="770" t="s">
        <v>17</v>
      </c>
      <c r="W29" s="771">
        <f t="shared" ref="W29:W47" si="14">J29</f>
        <v>100</v>
      </c>
      <c r="X29" s="1793"/>
      <c r="Y29" s="3671"/>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669"/>
      <c r="Q30" s="1790">
        <f t="shared" si="11"/>
        <v>111</v>
      </c>
      <c r="R30" s="770" t="s">
        <v>17</v>
      </c>
      <c r="S30" s="771">
        <f t="shared" si="12"/>
        <v>100</v>
      </c>
      <c r="T30" s="770" t="s">
        <v>17</v>
      </c>
      <c r="U30" s="771">
        <f t="shared" si="13"/>
        <v>100</v>
      </c>
      <c r="V30" s="770" t="s">
        <v>17</v>
      </c>
      <c r="W30" s="771">
        <f t="shared" si="14"/>
        <v>100</v>
      </c>
      <c r="X30" s="1793"/>
      <c r="Y30" s="3671"/>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669"/>
      <c r="Q31" s="1790">
        <f t="shared" si="11"/>
        <v>111</v>
      </c>
      <c r="R31" s="770" t="s">
        <v>17</v>
      </c>
      <c r="S31" s="771">
        <f t="shared" si="12"/>
        <v>100</v>
      </c>
      <c r="T31" s="770" t="s">
        <v>17</v>
      </c>
      <c r="U31" s="771">
        <f t="shared" si="13"/>
        <v>100</v>
      </c>
      <c r="V31" s="770" t="s">
        <v>17</v>
      </c>
      <c r="W31" s="771">
        <f t="shared" si="14"/>
        <v>100</v>
      </c>
      <c r="X31" s="1793"/>
      <c r="Y31" s="3671"/>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669"/>
      <c r="Q32" s="1790">
        <f t="shared" si="11"/>
        <v>111</v>
      </c>
      <c r="R32" s="770" t="s">
        <v>17</v>
      </c>
      <c r="S32" s="771">
        <f t="shared" si="12"/>
        <v>100</v>
      </c>
      <c r="T32" s="770" t="s">
        <v>17</v>
      </c>
      <c r="U32" s="771">
        <f t="shared" si="13"/>
        <v>100</v>
      </c>
      <c r="V32" s="770" t="s">
        <v>17</v>
      </c>
      <c r="W32" s="771">
        <f t="shared" si="14"/>
        <v>100</v>
      </c>
      <c r="X32" s="1793"/>
      <c r="Y32" s="3671"/>
      <c r="Z32" s="1794">
        <f t="shared" si="15"/>
        <v>111</v>
      </c>
      <c r="AA32" s="1791">
        <f t="shared" si="3"/>
        <v>1</v>
      </c>
      <c r="AB32" s="1791">
        <f t="shared" si="4"/>
        <v>1</v>
      </c>
      <c r="AC32" s="2647">
        <f t="shared" si="5"/>
        <v>1</v>
      </c>
    </row>
    <row r="33" spans="1:29" ht="15">
      <c r="A33" s="439" t="s">
        <v>2551</v>
      </c>
      <c r="B33" s="71" t="s">
        <v>2681</v>
      </c>
      <c r="C33" s="2652" t="s">
        <v>3142</v>
      </c>
      <c r="D33" s="466">
        <v>100</v>
      </c>
      <c r="E33" s="2652" t="s">
        <v>3142</v>
      </c>
      <c r="F33" s="460">
        <f>SUMIF(101:101,E33,102:102)-SUMIF(101:101,C33,102:102)+100</f>
        <v>100</v>
      </c>
      <c r="G33" s="2652" t="s">
        <v>3142</v>
      </c>
      <c r="H33" s="434">
        <f>SUMIF(101:101,G33,102:102)-SUMIF(101:101,C33,102:102)+100</f>
        <v>100</v>
      </c>
      <c r="I33" s="2652" t="s">
        <v>3142</v>
      </c>
      <c r="J33" s="466">
        <f>SUMIF(101:101,I33,102:102)-SUMIF(101:101,C33,102:102)+100</f>
        <v>100</v>
      </c>
      <c r="K33" s="611"/>
      <c r="L33" s="1123"/>
      <c r="M33" s="1114"/>
      <c r="N33" s="1114"/>
      <c r="O33" s="1114"/>
      <c r="P33" s="3672" t="s">
        <v>2553</v>
      </c>
      <c r="Q33" s="1790" t="str">
        <f t="shared" si="11"/>
        <v>建筑类型</v>
      </c>
      <c r="R33" s="770" t="s">
        <v>17</v>
      </c>
      <c r="S33" s="771">
        <f t="shared" si="12"/>
        <v>100</v>
      </c>
      <c r="T33" s="770" t="s">
        <v>17</v>
      </c>
      <c r="U33" s="771">
        <f t="shared" si="13"/>
        <v>100</v>
      </c>
      <c r="V33" s="770" t="s">
        <v>17</v>
      </c>
      <c r="W33" s="771">
        <f t="shared" si="14"/>
        <v>100</v>
      </c>
      <c r="X33" s="1793"/>
      <c r="Y33" s="3675"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673"/>
      <c r="Q34" s="772" t="str">
        <f t="shared" si="11"/>
        <v>项目建筑规模</v>
      </c>
      <c r="R34" s="773" t="s">
        <v>17</v>
      </c>
      <c r="S34" s="774">
        <f t="shared" si="12"/>
        <v>100</v>
      </c>
      <c r="T34" s="773" t="s">
        <v>17</v>
      </c>
      <c r="U34" s="774">
        <f t="shared" si="13"/>
        <v>98</v>
      </c>
      <c r="V34" s="773" t="s">
        <v>17</v>
      </c>
      <c r="W34" s="774">
        <f t="shared" si="14"/>
        <v>100</v>
      </c>
      <c r="X34" s="775"/>
      <c r="Y34" s="3675"/>
      <c r="Z34" s="776" t="str">
        <f t="shared" si="15"/>
        <v>项目建筑规模</v>
      </c>
      <c r="AA34" s="1791">
        <f t="shared" si="3"/>
        <v>1</v>
      </c>
      <c r="AB34" s="1791">
        <f t="shared" si="4"/>
        <v>1.0204081632653061</v>
      </c>
      <c r="AC34" s="2647">
        <f t="shared" si="5"/>
        <v>1</v>
      </c>
    </row>
    <row r="35" spans="1:29" ht="15">
      <c r="A35" s="471"/>
      <c r="B35" s="421" t="s">
        <v>2555</v>
      </c>
      <c r="C35" s="459" t="s">
        <v>3043</v>
      </c>
      <c r="D35" s="434">
        <v>100</v>
      </c>
      <c r="E35" s="459" t="s">
        <v>3043</v>
      </c>
      <c r="F35" s="460">
        <f>SUMIF(106:106,E35,107:107)-SUMIF(106:106,C35,107:107)+100</f>
        <v>100</v>
      </c>
      <c r="G35" s="459" t="s">
        <v>3043</v>
      </c>
      <c r="H35" s="434">
        <f>SUMIF(106:106,G35,107:107)-SUMIF(106:106,C35,107:107)+100</f>
        <v>100</v>
      </c>
      <c r="I35" s="459" t="s">
        <v>3043</v>
      </c>
      <c r="J35" s="434">
        <f>SUMIF(106:106,I35,107:107)-SUMIF(106:106,C35,107:107)+100</f>
        <v>100</v>
      </c>
      <c r="K35" s="611">
        <v>2</v>
      </c>
      <c r="L35" s="1123"/>
      <c r="M35" s="1114"/>
      <c r="N35" s="1114"/>
      <c r="O35" s="1114"/>
      <c r="P35" s="3673"/>
      <c r="Q35" s="1790" t="str">
        <f t="shared" si="11"/>
        <v>建筑结构</v>
      </c>
      <c r="R35" s="770" t="s">
        <v>17</v>
      </c>
      <c r="S35" s="771">
        <f t="shared" si="12"/>
        <v>100</v>
      </c>
      <c r="T35" s="770" t="s">
        <v>17</v>
      </c>
      <c r="U35" s="771">
        <f t="shared" si="13"/>
        <v>100</v>
      </c>
      <c r="V35" s="770" t="s">
        <v>17</v>
      </c>
      <c r="W35" s="771">
        <f t="shared" si="14"/>
        <v>100</v>
      </c>
      <c r="X35" s="1793"/>
      <c r="Y35" s="3675"/>
      <c r="Z35" s="1794" t="str">
        <f t="shared" si="15"/>
        <v>建筑结构</v>
      </c>
      <c r="AA35" s="1791">
        <f t="shared" si="3"/>
        <v>1</v>
      </c>
      <c r="AB35" s="1791">
        <f t="shared" si="4"/>
        <v>1</v>
      </c>
      <c r="AC35" s="2647">
        <f t="shared" si="5"/>
        <v>1</v>
      </c>
    </row>
    <row r="36" spans="1:29" ht="15">
      <c r="A36" s="471"/>
      <c r="B36" s="421" t="s">
        <v>2649</v>
      </c>
      <c r="C36" s="459" t="s">
        <v>3144</v>
      </c>
      <c r="D36" s="434">
        <v>100</v>
      </c>
      <c r="E36" s="459" t="s">
        <v>3144</v>
      </c>
      <c r="F36" s="460">
        <f>SUMIF(108:108,E36,109:109)-SUMIF(108:108,C36,109:109)+100</f>
        <v>100</v>
      </c>
      <c r="G36" s="459" t="s">
        <v>3144</v>
      </c>
      <c r="H36" s="434">
        <f>SUMIF(108:108,G36,109:109)-SUMIF(108:108,C36,109:109)+100</f>
        <v>100</v>
      </c>
      <c r="I36" s="459" t="s">
        <v>3144</v>
      </c>
      <c r="J36" s="434">
        <f>SUMIF(108:108,I36,109:109)-SUMIF(108:108,C36,109:109)+100</f>
        <v>100</v>
      </c>
      <c r="K36" s="611">
        <v>2</v>
      </c>
      <c r="L36" s="1123"/>
      <c r="M36" s="1114"/>
      <c r="N36" s="1114"/>
      <c r="O36" s="1114"/>
      <c r="P36" s="3673"/>
      <c r="Q36" s="1790" t="str">
        <f t="shared" si="11"/>
        <v>公共部分装修</v>
      </c>
      <c r="R36" s="770" t="s">
        <v>17</v>
      </c>
      <c r="S36" s="771">
        <f t="shared" si="12"/>
        <v>100</v>
      </c>
      <c r="T36" s="770" t="s">
        <v>17</v>
      </c>
      <c r="U36" s="771">
        <f t="shared" si="13"/>
        <v>100</v>
      </c>
      <c r="V36" s="770" t="s">
        <v>17</v>
      </c>
      <c r="W36" s="771">
        <f t="shared" si="14"/>
        <v>100</v>
      </c>
      <c r="X36" s="1793"/>
      <c r="Y36" s="3675"/>
      <c r="Z36" s="1794" t="str">
        <f t="shared" si="15"/>
        <v>公共部分装修</v>
      </c>
      <c r="AA36" s="1791">
        <f t="shared" si="3"/>
        <v>1</v>
      </c>
      <c r="AB36" s="1791">
        <f t="shared" si="4"/>
        <v>1</v>
      </c>
      <c r="AC36" s="2647">
        <f t="shared" si="5"/>
        <v>1</v>
      </c>
    </row>
    <row r="37" spans="1:29" ht="15">
      <c r="A37" s="471"/>
      <c r="B37" s="421" t="s">
        <v>2650</v>
      </c>
      <c r="C37" s="473">
        <v>0.8</v>
      </c>
      <c r="D37" s="434">
        <v>100</v>
      </c>
      <c r="E37" s="3418">
        <f>ROUND(1-(2019-2008)/60,2)</f>
        <v>0.82</v>
      </c>
      <c r="F37" s="3419">
        <f>LOOKUP(E37,111:111,112:112)-LOOKUP(C37,111:111,112:112)+100</f>
        <v>100</v>
      </c>
      <c r="G37" s="3418">
        <f>ROUND(1-(2019-2015)/60,2)</f>
        <v>0.93</v>
      </c>
      <c r="H37" s="3419">
        <f>LOOKUP(G37,111:111,112:112)-LOOKUP(C37,111:111,112:112)+100</f>
        <v>101</v>
      </c>
      <c r="I37" s="3418">
        <f>ROUND(1-(2019-2014)/60,2)</f>
        <v>0.92</v>
      </c>
      <c r="J37" s="3417">
        <f>LOOKUP(I37,111:111,112:112)-LOOKUP(C37,111:111,112:112)+100</f>
        <v>101</v>
      </c>
      <c r="K37" s="611">
        <v>1</v>
      </c>
      <c r="L37" s="1123"/>
      <c r="M37" s="1114"/>
      <c r="N37" s="1114"/>
      <c r="O37" s="1114"/>
      <c r="P37" s="3673"/>
      <c r="Q37" s="1790" t="str">
        <f t="shared" si="11"/>
        <v>成新度</v>
      </c>
      <c r="R37" s="770" t="s">
        <v>17</v>
      </c>
      <c r="S37" s="771">
        <f t="shared" si="12"/>
        <v>100</v>
      </c>
      <c r="T37" s="770" t="s">
        <v>17</v>
      </c>
      <c r="U37" s="771">
        <f t="shared" si="13"/>
        <v>101</v>
      </c>
      <c r="V37" s="770" t="s">
        <v>17</v>
      </c>
      <c r="W37" s="771">
        <f t="shared" si="14"/>
        <v>101</v>
      </c>
      <c r="X37" s="1793"/>
      <c r="Y37" s="3675"/>
      <c r="Z37" s="1794" t="str">
        <f t="shared" si="15"/>
        <v>成新度</v>
      </c>
      <c r="AA37" s="1791">
        <f t="shared" si="3"/>
        <v>1</v>
      </c>
      <c r="AB37" s="1791">
        <f t="shared" si="4"/>
        <v>0.99009900990099009</v>
      </c>
      <c r="AC37" s="2647">
        <f t="shared" si="5"/>
        <v>0.99009900990099009</v>
      </c>
    </row>
    <row r="38" spans="1:29" s="117" customFormat="1" ht="15">
      <c r="A38" s="472"/>
      <c r="B38" s="421" t="s">
        <v>2682</v>
      </c>
      <c r="C38" s="459" t="s">
        <v>3145</v>
      </c>
      <c r="D38" s="136">
        <v>100</v>
      </c>
      <c r="E38" s="459" t="s">
        <v>3145</v>
      </c>
      <c r="F38" s="460">
        <f>SUMIF(113:113,E38,114:114)-SUMIF(113:113,C38,114:114)+100</f>
        <v>100</v>
      </c>
      <c r="G38" s="459" t="s">
        <v>3145</v>
      </c>
      <c r="H38" s="434">
        <f>SUMIF(113:113,G38,114:114)-SUMIF(113:113,C38,114:114)+100</f>
        <v>100</v>
      </c>
      <c r="I38" s="459" t="s">
        <v>3145</v>
      </c>
      <c r="J38" s="434">
        <f>SUMIF(113:113,I38,114:114)-SUMIF(113:113,C38,114:114)+100</f>
        <v>100</v>
      </c>
      <c r="K38" s="611">
        <v>2</v>
      </c>
      <c r="L38" s="1115"/>
      <c r="M38" s="1116"/>
      <c r="N38" s="1116"/>
      <c r="O38" s="1116"/>
      <c r="P38" s="3673"/>
      <c r="Q38" s="1775" t="str">
        <f t="shared" si="11"/>
        <v>写字楼等级</v>
      </c>
      <c r="R38" s="766" t="s">
        <v>17</v>
      </c>
      <c r="S38" s="767">
        <f t="shared" si="12"/>
        <v>100</v>
      </c>
      <c r="T38" s="766" t="s">
        <v>17</v>
      </c>
      <c r="U38" s="767">
        <f t="shared" si="13"/>
        <v>100</v>
      </c>
      <c r="V38" s="766" t="s">
        <v>17</v>
      </c>
      <c r="W38" s="767">
        <f t="shared" si="14"/>
        <v>100</v>
      </c>
      <c r="X38" s="768"/>
      <c r="Y38" s="3675"/>
      <c r="Z38" s="55" t="str">
        <f t="shared" si="15"/>
        <v>写字楼等级</v>
      </c>
      <c r="AA38" s="769">
        <f t="shared" si="3"/>
        <v>1</v>
      </c>
      <c r="AB38" s="769">
        <f t="shared" si="4"/>
        <v>1</v>
      </c>
      <c r="AC38" s="2644">
        <f t="shared" si="5"/>
        <v>1</v>
      </c>
    </row>
    <row r="39" spans="1:29" ht="15">
      <c r="A39" s="471"/>
      <c r="B39" s="421" t="s">
        <v>2683</v>
      </c>
      <c r="C39" s="459" t="s">
        <v>3130</v>
      </c>
      <c r="D39" s="434">
        <v>100</v>
      </c>
      <c r="E39" s="459" t="s">
        <v>3130</v>
      </c>
      <c r="F39" s="460">
        <f>SUMIF(115:115,E39,116:116)-SUMIF(115:115,C39,116:116)+100</f>
        <v>100</v>
      </c>
      <c r="G39" s="459" t="s">
        <v>3130</v>
      </c>
      <c r="H39" s="434">
        <f>SUMIF(115:115,G39,116:116)-SUMIF(115:115,C39,116:116)+100</f>
        <v>100</v>
      </c>
      <c r="I39" s="459" t="s">
        <v>3130</v>
      </c>
      <c r="J39" s="434">
        <f>SUMIF(115:115,I39,116:116)-SUMIF(115:115,C39,116:116)+100</f>
        <v>100</v>
      </c>
      <c r="K39" s="611">
        <v>2</v>
      </c>
      <c r="L39" s="1123"/>
      <c r="M39" s="1114"/>
      <c r="N39" s="1114"/>
      <c r="O39" s="1114"/>
      <c r="P39" s="3673" t="s">
        <v>2553</v>
      </c>
      <c r="Q39" s="1790" t="str">
        <f t="shared" si="11"/>
        <v>物业管理</v>
      </c>
      <c r="R39" s="770" t="s">
        <v>17</v>
      </c>
      <c r="S39" s="771">
        <f t="shared" si="12"/>
        <v>100</v>
      </c>
      <c r="T39" s="770" t="s">
        <v>17</v>
      </c>
      <c r="U39" s="771">
        <f t="shared" si="13"/>
        <v>100</v>
      </c>
      <c r="V39" s="770" t="s">
        <v>17</v>
      </c>
      <c r="W39" s="771">
        <f t="shared" si="14"/>
        <v>100</v>
      </c>
      <c r="X39" s="1793"/>
      <c r="Y39" s="3675" t="s">
        <v>2553</v>
      </c>
      <c r="Z39" s="1794" t="str">
        <f t="shared" si="15"/>
        <v>物业管理</v>
      </c>
      <c r="AA39" s="1791">
        <f t="shared" si="3"/>
        <v>1</v>
      </c>
      <c r="AB39" s="1791">
        <f t="shared" si="4"/>
        <v>1</v>
      </c>
      <c r="AC39" s="2647">
        <f t="shared" si="5"/>
        <v>1</v>
      </c>
    </row>
    <row r="40" spans="1:29" ht="15">
      <c r="A40" s="471"/>
      <c r="B40" s="421" t="s">
        <v>2651</v>
      </c>
      <c r="C40" s="459" t="s">
        <v>3096</v>
      </c>
      <c r="D40" s="434">
        <v>100</v>
      </c>
      <c r="E40" s="459" t="s">
        <v>3096</v>
      </c>
      <c r="F40" s="460">
        <f>SUMIF(117:117,E40,118:118)-SUMIF(117:117,C40,118:118)+100</f>
        <v>100</v>
      </c>
      <c r="G40" s="459" t="s">
        <v>3096</v>
      </c>
      <c r="H40" s="434">
        <f>SUMIF(117:117,G40,118:118)-SUMIF(117:117,C40,118:118)+100</f>
        <v>100</v>
      </c>
      <c r="I40" s="459" t="s">
        <v>3096</v>
      </c>
      <c r="J40" s="434">
        <f>SUMIF(117:117,I40,118:118)-SUMIF(117:117,C40,118:118)+100</f>
        <v>100</v>
      </c>
      <c r="K40" s="611">
        <v>1</v>
      </c>
      <c r="L40" s="1123"/>
      <c r="M40" s="1114"/>
      <c r="N40" s="1114"/>
      <c r="O40" s="1114"/>
      <c r="P40" s="3673"/>
      <c r="Q40" s="1790" t="str">
        <f t="shared" si="11"/>
        <v>市政基础设施</v>
      </c>
      <c r="R40" s="770" t="s">
        <v>17</v>
      </c>
      <c r="S40" s="771">
        <f t="shared" si="12"/>
        <v>100</v>
      </c>
      <c r="T40" s="770" t="s">
        <v>17</v>
      </c>
      <c r="U40" s="771">
        <f t="shared" si="13"/>
        <v>100</v>
      </c>
      <c r="V40" s="770" t="s">
        <v>17</v>
      </c>
      <c r="W40" s="771">
        <f t="shared" si="14"/>
        <v>100</v>
      </c>
      <c r="X40" s="1793"/>
      <c r="Y40" s="3675"/>
      <c r="Z40" s="1794" t="str">
        <f t="shared" si="15"/>
        <v>市政基础设施</v>
      </c>
      <c r="AA40" s="1791">
        <f t="shared" si="3"/>
        <v>1</v>
      </c>
      <c r="AB40" s="1791">
        <f t="shared" si="4"/>
        <v>1</v>
      </c>
      <c r="AC40" s="2647">
        <f t="shared" si="5"/>
        <v>1</v>
      </c>
    </row>
    <row r="41" spans="1:29" ht="15">
      <c r="A41" s="471"/>
      <c r="B41" s="421" t="s">
        <v>2653</v>
      </c>
      <c r="C41" s="615" t="s">
        <v>3098</v>
      </c>
      <c r="D41" s="434">
        <v>100</v>
      </c>
      <c r="E41" s="615" t="s">
        <v>3098</v>
      </c>
      <c r="F41" s="460">
        <f>SUMIF(119:119,E41,120:120)-SUMIF(119:119,C41,120:120)+100</f>
        <v>100</v>
      </c>
      <c r="G41" s="615" t="s">
        <v>3098</v>
      </c>
      <c r="H41" s="434">
        <f>SUMIF(119:119,G41,120:120)-SUMIF(119:119,C41,120:120)+100</f>
        <v>100</v>
      </c>
      <c r="I41" s="615" t="s">
        <v>3098</v>
      </c>
      <c r="J41" s="434">
        <f>SUMIF(119:119,I41,120:120)-SUMIF(119:119,C41,120:120)+100</f>
        <v>100</v>
      </c>
      <c r="K41" s="611">
        <v>3</v>
      </c>
      <c r="L41" s="1123"/>
      <c r="M41" s="1114"/>
      <c r="N41" s="1114"/>
      <c r="O41" s="1114"/>
      <c r="P41" s="3673"/>
      <c r="Q41" s="1790" t="str">
        <f t="shared" si="11"/>
        <v>层高</v>
      </c>
      <c r="R41" s="770" t="s">
        <v>17</v>
      </c>
      <c r="S41" s="771">
        <f t="shared" si="12"/>
        <v>100</v>
      </c>
      <c r="T41" s="770" t="s">
        <v>17</v>
      </c>
      <c r="U41" s="771">
        <f t="shared" si="13"/>
        <v>100</v>
      </c>
      <c r="V41" s="770" t="s">
        <v>17</v>
      </c>
      <c r="W41" s="771">
        <f t="shared" si="14"/>
        <v>100</v>
      </c>
      <c r="X41" s="1793"/>
      <c r="Y41" s="3675"/>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73"/>
      <c r="Q42" s="772" t="str">
        <f t="shared" si="11"/>
        <v>单套建筑面积</v>
      </c>
      <c r="R42" s="773" t="s">
        <v>17</v>
      </c>
      <c r="S42" s="774">
        <f t="shared" si="12"/>
        <v>100</v>
      </c>
      <c r="T42" s="773" t="s">
        <v>17</v>
      </c>
      <c r="U42" s="774">
        <f t="shared" si="13"/>
        <v>100</v>
      </c>
      <c r="V42" s="773" t="s">
        <v>17</v>
      </c>
      <c r="W42" s="774">
        <f t="shared" si="14"/>
        <v>100</v>
      </c>
      <c r="X42" s="775"/>
      <c r="Y42" s="3675"/>
      <c r="Z42" s="776" t="str">
        <f t="shared" si="15"/>
        <v>单套建筑面积</v>
      </c>
      <c r="AA42" s="1791">
        <f t="shared" si="3"/>
        <v>1</v>
      </c>
      <c r="AB42" s="1791">
        <f t="shared" si="4"/>
        <v>1</v>
      </c>
      <c r="AC42" s="2647">
        <f t="shared" si="5"/>
        <v>1</v>
      </c>
    </row>
    <row r="43" spans="1:29" ht="15">
      <c r="A43" s="471"/>
      <c r="B43" s="421" t="s">
        <v>2656</v>
      </c>
      <c r="C43" s="459" t="s">
        <v>3144</v>
      </c>
      <c r="D43" s="434">
        <v>100</v>
      </c>
      <c r="E43" s="459" t="s">
        <v>3144</v>
      </c>
      <c r="F43" s="460">
        <f>SUMIF(123:123,E43,124:124)-SUMIF(123:123,C43,124:124)+100</f>
        <v>100</v>
      </c>
      <c r="G43" s="459" t="s">
        <v>3144</v>
      </c>
      <c r="H43" s="434">
        <f>SUMIF(123:123,G43,124:124)-SUMIF(123:123,C43,124:124)+100</f>
        <v>100</v>
      </c>
      <c r="I43" s="459" t="s">
        <v>3144</v>
      </c>
      <c r="J43" s="434">
        <f>SUMIF(123:123,I43,124:124)-SUMIF(123:123,C43,124:124)+100</f>
        <v>100</v>
      </c>
      <c r="K43" s="611">
        <v>2</v>
      </c>
      <c r="L43" s="1123"/>
      <c r="M43" s="1114"/>
      <c r="N43" s="1114"/>
      <c r="O43" s="1114"/>
      <c r="P43" s="3673"/>
      <c r="Q43" s="1790" t="str">
        <f t="shared" si="11"/>
        <v>内部装修</v>
      </c>
      <c r="R43" s="770" t="s">
        <v>17</v>
      </c>
      <c r="S43" s="771">
        <f t="shared" si="12"/>
        <v>100</v>
      </c>
      <c r="T43" s="770" t="s">
        <v>17</v>
      </c>
      <c r="U43" s="771">
        <f t="shared" si="13"/>
        <v>100</v>
      </c>
      <c r="V43" s="770" t="s">
        <v>17</v>
      </c>
      <c r="W43" s="771">
        <f t="shared" si="14"/>
        <v>100</v>
      </c>
      <c r="X43" s="1793"/>
      <c r="Y43" s="3675"/>
      <c r="Z43" s="1794" t="str">
        <f t="shared" si="15"/>
        <v>内部装修</v>
      </c>
      <c r="AA43" s="1791">
        <f t="shared" si="3"/>
        <v>1</v>
      </c>
      <c r="AB43" s="1791">
        <f t="shared" si="4"/>
        <v>1</v>
      </c>
      <c r="AC43" s="2647">
        <f t="shared" si="5"/>
        <v>1</v>
      </c>
    </row>
    <row r="44" spans="1:29" ht="15">
      <c r="A44" s="471"/>
      <c r="B44" s="421" t="s">
        <v>2564</v>
      </c>
      <c r="C44" s="459" t="s">
        <v>3057</v>
      </c>
      <c r="D44" s="434">
        <v>100</v>
      </c>
      <c r="E44" s="459" t="s">
        <v>3057</v>
      </c>
      <c r="F44" s="460">
        <f>SUMIF(125:125,E44,126:126)-SUMIF(125:125,C44,126:126)+100</f>
        <v>100</v>
      </c>
      <c r="G44" s="459" t="s">
        <v>3057</v>
      </c>
      <c r="H44" s="434">
        <f>SUMIF(125:125,G44,126:126)-SUMIF(125:125,C44,126:126)+100</f>
        <v>100</v>
      </c>
      <c r="I44" s="459" t="s">
        <v>3057</v>
      </c>
      <c r="J44" s="434">
        <f>SUMIF(125:125,I44,126:126)-SUMIF(125:125,C44,126:126)+100</f>
        <v>100</v>
      </c>
      <c r="K44" s="611">
        <v>2</v>
      </c>
      <c r="L44" s="1123"/>
      <c r="M44" s="1114"/>
      <c r="N44" s="1114"/>
      <c r="O44" s="1114"/>
      <c r="P44" s="3673"/>
      <c r="Q44" s="1790" t="str">
        <f t="shared" si="11"/>
        <v>内部装修维护情况</v>
      </c>
      <c r="R44" s="770" t="s">
        <v>17</v>
      </c>
      <c r="S44" s="771">
        <f t="shared" si="12"/>
        <v>100</v>
      </c>
      <c r="T44" s="770" t="s">
        <v>17</v>
      </c>
      <c r="U44" s="771">
        <f t="shared" si="13"/>
        <v>100</v>
      </c>
      <c r="V44" s="770" t="s">
        <v>17</v>
      </c>
      <c r="W44" s="771">
        <f t="shared" si="14"/>
        <v>100</v>
      </c>
      <c r="X44" s="1793"/>
      <c r="Y44" s="3675"/>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73"/>
      <c r="Q45" s="1775">
        <f t="shared" si="11"/>
        <v>111</v>
      </c>
      <c r="R45" s="766" t="s">
        <v>17</v>
      </c>
      <c r="S45" s="767">
        <f t="shared" si="12"/>
        <v>100</v>
      </c>
      <c r="T45" s="766" t="s">
        <v>17</v>
      </c>
      <c r="U45" s="767">
        <f t="shared" si="13"/>
        <v>100</v>
      </c>
      <c r="V45" s="766" t="s">
        <v>17</v>
      </c>
      <c r="W45" s="767">
        <f t="shared" si="14"/>
        <v>100</v>
      </c>
      <c r="X45" s="768"/>
      <c r="Y45" s="3675"/>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73"/>
      <c r="Q46" s="1790">
        <f t="shared" si="11"/>
        <v>111</v>
      </c>
      <c r="R46" s="770" t="s">
        <v>17</v>
      </c>
      <c r="S46" s="771">
        <f t="shared" si="12"/>
        <v>100</v>
      </c>
      <c r="T46" s="770" t="s">
        <v>17</v>
      </c>
      <c r="U46" s="771">
        <f t="shared" si="13"/>
        <v>100</v>
      </c>
      <c r="V46" s="770" t="s">
        <v>17</v>
      </c>
      <c r="W46" s="771">
        <f t="shared" si="14"/>
        <v>100</v>
      </c>
      <c r="X46" s="1793"/>
      <c r="Y46" s="3675"/>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74"/>
      <c r="Q47" s="1790">
        <f t="shared" si="11"/>
        <v>0.995</v>
      </c>
      <c r="R47" s="770" t="s">
        <v>17</v>
      </c>
      <c r="S47" s="771">
        <f t="shared" si="12"/>
        <v>100</v>
      </c>
      <c r="T47" s="770" t="s">
        <v>17</v>
      </c>
      <c r="U47" s="771">
        <f t="shared" si="13"/>
        <v>100</v>
      </c>
      <c r="V47" s="770" t="s">
        <v>17</v>
      </c>
      <c r="W47" s="771">
        <f t="shared" si="14"/>
        <v>100</v>
      </c>
      <c r="X47" s="1793"/>
      <c r="Y47" s="3676"/>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54" t="str">
        <f>A48</f>
        <v>成交单价（元/平方米）</v>
      </c>
      <c r="Q48" s="3677"/>
      <c r="R48" s="3678">
        <f>E48</f>
        <v>40000</v>
      </c>
      <c r="S48" s="3678"/>
      <c r="T48" s="3678">
        <f>G48</f>
        <v>40000</v>
      </c>
      <c r="U48" s="3678"/>
      <c r="V48" s="3678">
        <f>I48</f>
        <v>40000</v>
      </c>
      <c r="W48" s="3678"/>
      <c r="X48" s="445"/>
      <c r="Y48" s="777"/>
      <c r="Z48" s="445"/>
      <c r="AA48" s="445"/>
      <c r="AB48" s="445"/>
      <c r="AC48" s="629"/>
    </row>
    <row r="49" spans="1:29" ht="15.75" thickBot="1">
      <c r="A49" s="485" t="s">
        <v>2657</v>
      </c>
      <c r="B49" s="486"/>
      <c r="C49" s="1394">
        <f>R50</f>
        <v>38093</v>
      </c>
      <c r="D49" s="1395"/>
      <c r="E49" s="1396">
        <f>R49</f>
        <v>38465</v>
      </c>
      <c r="F49" s="1396"/>
      <c r="G49" s="1394">
        <f>T49</f>
        <v>38481</v>
      </c>
      <c r="H49" s="1395"/>
      <c r="I49" s="1396">
        <f>V49</f>
        <v>37334</v>
      </c>
      <c r="J49" s="488"/>
      <c r="K49" s="780"/>
      <c r="L49" s="1126"/>
      <c r="M49" s="1114"/>
      <c r="N49" s="1114"/>
      <c r="O49" s="1114"/>
      <c r="P49" s="3654" t="str">
        <f>A49</f>
        <v>比较价值（元/平方米）</v>
      </c>
      <c r="Q49" s="3677"/>
      <c r="R49" s="3678">
        <f>IF(F1="售价",ROUND(PRODUCT(R48,AA7:AA47),0),ROUND(PRODUCT(R48,AA7:AA47),1))</f>
        <v>38465</v>
      </c>
      <c r="S49" s="3678"/>
      <c r="T49" s="3678">
        <f>IF(F1="售价",ROUND(PRODUCT(T48,AB7:AB47),0),ROUND(PRODUCT(T48,AB7:AB47),1))</f>
        <v>38481</v>
      </c>
      <c r="U49" s="3678"/>
      <c r="V49" s="3678">
        <f>IF(F1="售价",ROUND(PRODUCT(V48,AC7:AC47),0),ROUND(PRODUCT(V48,AC7:AC47),1))</f>
        <v>37334</v>
      </c>
      <c r="W49" s="3678"/>
      <c r="X49" s="445"/>
      <c r="Y49" s="445"/>
      <c r="Z49" s="445"/>
      <c r="AA49" s="445"/>
      <c r="AB49" s="445"/>
      <c r="AC49" s="629"/>
    </row>
    <row r="50" spans="1:29" ht="15.75" thickBot="1">
      <c r="A50" s="491" t="s">
        <v>2658</v>
      </c>
      <c r="B50" s="492"/>
      <c r="C50" s="1398">
        <f>R50</f>
        <v>38093</v>
      </c>
      <c r="D50" s="1398"/>
      <c r="E50" s="1398"/>
      <c r="F50" s="1398"/>
      <c r="G50" s="1398"/>
      <c r="H50" s="1398"/>
      <c r="I50" s="1398"/>
      <c r="J50" s="493"/>
      <c r="K50" s="781"/>
      <c r="L50" s="1126"/>
      <c r="M50" s="1114"/>
      <c r="N50" s="1114"/>
      <c r="O50" s="1114"/>
      <c r="P50" s="3706" t="str">
        <f>A50</f>
        <v>估价对象XX用房的比较价值（楼面单价，元/平方米）</v>
      </c>
      <c r="Q50" s="3707"/>
      <c r="R50" s="3708">
        <f>IF(F1="售价",ROUND(AVERAGE(R49:V49),0),ROUND(AVERAGE(R49:V49),1))</f>
        <v>38093</v>
      </c>
      <c r="S50" s="3708"/>
      <c r="T50" s="3708"/>
      <c r="U50" s="3708"/>
      <c r="V50" s="3708"/>
      <c r="W50" s="3708"/>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3.990640842324189E-2</v>
      </c>
      <c r="F53" s="499" t="str">
        <f>IF(OR(E53&gt;=0.3,E53&lt;=-0.3),"超过30%","")</f>
        <v/>
      </c>
      <c r="G53" s="498">
        <f>IF(G48&lt;G49,G49/G48-1,G48/G49-1)</f>
        <v>3.9474026142771734E-2</v>
      </c>
      <c r="H53" s="499" t="str">
        <f>IF(OR(G53&gt;=0.3,G53&lt;=-0.3),"超过30%","")</f>
        <v/>
      </c>
      <c r="I53" s="498">
        <f>IF(I48&lt;I49,I49/I48-1,I48/I49-1)</f>
        <v>7.1409439117158691E-2</v>
      </c>
      <c r="J53" s="499" t="str">
        <f>IF(OR(I53&gt;=0.3,I53&lt;=-0.3),"超过30%","")</f>
        <v/>
      </c>
      <c r="K53" s="1095"/>
      <c r="L53" s="1096"/>
      <c r="M53" s="1127"/>
      <c r="N53" s="1127"/>
      <c r="O53" s="1127"/>
    </row>
    <row r="54" spans="1:29" ht="13.5" customHeight="1">
      <c r="A54" s="1127"/>
      <c r="B54" s="1127"/>
      <c r="C54" s="496" t="s">
        <v>2660</v>
      </c>
      <c r="D54" s="500"/>
      <c r="E54" s="498">
        <f>IF(E49&lt;G49,G49/E49-1,E49/G49-1)</f>
        <v>4.1596256336928761E-4</v>
      </c>
      <c r="F54" s="499" t="str">
        <f>IF(OR(E54&gt;=0.2,E54&lt;=-0.2),"超过20%","")</f>
        <v/>
      </c>
      <c r="G54" s="498">
        <f>IF(G49&lt;I49,I49/G49-1,G49/I49-1)</f>
        <v>3.0722665666684579E-2</v>
      </c>
      <c r="H54" s="499" t="str">
        <f>IF(OR(G54&gt;=0.2,G54&lt;=-0.2),"超过20%","")</f>
        <v/>
      </c>
      <c r="I54" s="498">
        <f>IF(I49&lt;E49,E49/I49-1,I49/E49-1)</f>
        <v>3.029410189103765E-2</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2020-6</v>
      </c>
      <c r="D59" s="1555">
        <f>EDATE(C59,-1)</f>
        <v>43952</v>
      </c>
      <c r="E59" s="1555">
        <f>EDATE(D59,-1)</f>
        <v>43922</v>
      </c>
      <c r="F59" s="1555">
        <f t="shared" ref="F59:O59" si="16">EDATE(E59,-1)</f>
        <v>43891</v>
      </c>
      <c r="G59" s="1555">
        <f t="shared" si="16"/>
        <v>43862</v>
      </c>
      <c r="H59" s="1555">
        <f t="shared" si="16"/>
        <v>43831</v>
      </c>
      <c r="I59" s="1555">
        <f t="shared" si="16"/>
        <v>43800</v>
      </c>
      <c r="J59" s="1555">
        <f t="shared" si="16"/>
        <v>43770</v>
      </c>
      <c r="K59" s="1555">
        <f t="shared" si="16"/>
        <v>43739</v>
      </c>
      <c r="L59" s="1555">
        <f t="shared" si="16"/>
        <v>43709</v>
      </c>
      <c r="M59" s="1555">
        <f t="shared" si="16"/>
        <v>43678</v>
      </c>
      <c r="N59" s="1555">
        <f t="shared" si="16"/>
        <v>43647</v>
      </c>
      <c r="O59" s="1555">
        <f t="shared" si="16"/>
        <v>43617</v>
      </c>
      <c r="P59" s="1551"/>
    </row>
    <row r="60" spans="1:29" s="117" customFormat="1" ht="15">
      <c r="A60" s="508"/>
      <c r="B60" s="509"/>
      <c r="C60" s="1553">
        <v>100</v>
      </c>
      <c r="D60" s="511">
        <v>100</v>
      </c>
      <c r="E60" s="511">
        <v>100</v>
      </c>
      <c r="F60" s="511">
        <v>99</v>
      </c>
      <c r="G60" s="511">
        <v>99</v>
      </c>
      <c r="H60" s="511">
        <v>99</v>
      </c>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3117</v>
      </c>
      <c r="D87" s="2969" t="s">
        <v>3118</v>
      </c>
      <c r="E87" s="2969" t="s">
        <v>3119</v>
      </c>
      <c r="F87" s="2969" t="s">
        <v>3120</v>
      </c>
      <c r="G87" s="2969" t="s">
        <v>3121</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3114</v>
      </c>
      <c r="D89" s="2969" t="s">
        <v>3115</v>
      </c>
      <c r="E89" s="2969" t="s">
        <v>3116</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3143</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3122</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36"/>
      <c r="O107" s="1136"/>
      <c r="P107" s="2657"/>
      <c r="Q107" s="503"/>
    </row>
    <row r="108" spans="1:17" ht="15" thickTop="1">
      <c r="A108" s="598"/>
      <c r="B108" s="537" t="s">
        <v>2604</v>
      </c>
      <c r="C108" s="2969" t="s">
        <v>3123</v>
      </c>
      <c r="D108" s="2969" t="s">
        <v>3124</v>
      </c>
      <c r="E108" s="2969" t="s">
        <v>3125</v>
      </c>
      <c r="F108" s="2972" t="s">
        <v>3126</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36"/>
      <c r="O112" s="1136"/>
      <c r="P112" s="2657"/>
      <c r="Q112" s="503"/>
    </row>
    <row r="113" spans="1:17" s="470" customFormat="1" ht="15" thickTop="1">
      <c r="A113" s="592"/>
      <c r="B113" s="537" t="s">
        <v>2688</v>
      </c>
      <c r="C113" s="2969" t="s">
        <v>3127</v>
      </c>
      <c r="D113" s="2969" t="s">
        <v>3128</v>
      </c>
      <c r="E113" s="2969" t="s">
        <v>3129</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37"/>
      <c r="O114" s="1137"/>
      <c r="P114" s="2658"/>
      <c r="Q114" s="558"/>
    </row>
    <row r="115" spans="1:17" ht="15" thickTop="1">
      <c r="A115" s="598"/>
      <c r="B115" s="537" t="s">
        <v>2605</v>
      </c>
      <c r="C115" s="2976" t="s">
        <v>3131</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36"/>
      <c r="O116" s="1136"/>
      <c r="P116" s="2657"/>
      <c r="Q116" s="503"/>
    </row>
    <row r="117" spans="1:17" ht="15" thickTop="1">
      <c r="A117" s="598"/>
      <c r="B117" s="537" t="s">
        <v>2606</v>
      </c>
      <c r="C117" s="2969" t="s">
        <v>3132</v>
      </c>
      <c r="D117" s="2969" t="s">
        <v>3133</v>
      </c>
      <c r="E117" s="2969" t="s">
        <v>3134</v>
      </c>
      <c r="F117" s="2969" t="s">
        <v>3135</v>
      </c>
      <c r="G117" s="2969" t="s">
        <v>3136</v>
      </c>
      <c r="H117" s="582"/>
      <c r="I117" s="582"/>
      <c r="J117" s="582"/>
      <c r="K117" s="583"/>
      <c r="L117" s="584"/>
      <c r="M117" s="585"/>
      <c r="N117" s="1135"/>
      <c r="O117" s="1135"/>
      <c r="P117" s="2657"/>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36"/>
      <c r="O118" s="1136"/>
      <c r="P118" s="2657"/>
      <c r="Q118" s="503"/>
    </row>
    <row r="119" spans="1:17" ht="15" thickTop="1">
      <c r="A119" s="598"/>
      <c r="B119" s="635" t="s">
        <v>2689</v>
      </c>
      <c r="C119" s="2972" t="s">
        <v>3137</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3123</v>
      </c>
      <c r="D123" s="2969" t="s">
        <v>3124</v>
      </c>
      <c r="E123" s="2969" t="s">
        <v>3138</v>
      </c>
      <c r="F123" s="2972" t="s">
        <v>3139</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24874</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5201</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9564798</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9564798</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9564798</v>
      </c>
      <c r="D10" s="1022">
        <f ca="1">IF(B1="",'数据-汇总表'!E6,IF(INDIRECT("'数据-取费表'!c"&amp;$G$1)="住宅",INDIRECT("'数据-取费表'!s"&amp;$G$1),INDIRECT("'数据-取费表'!k"&amp;$G$1)+INDIRECT("'数据-取费表'!s"&amp;$G$1)))</f>
        <v>47823.990000000005</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9564798</v>
      </c>
      <c r="D19" s="1026">
        <f ca="1">D9+D10</f>
        <v>47823.990000000005</v>
      </c>
      <c r="E19" s="255">
        <f>'数据-取费表'!B31</f>
        <v>200</v>
      </c>
      <c r="F19" s="275"/>
      <c r="G19" s="2523"/>
    </row>
    <row r="20" spans="1:7" s="258" customFormat="1" ht="13.5" customHeight="1">
      <c r="A20" s="299" t="s">
        <v>2427</v>
      </c>
      <c r="B20" s="254" t="s">
        <v>2428</v>
      </c>
      <c r="C20" s="276">
        <f ca="1">ROUND((C5+C19)*F20,0)</f>
        <v>382592</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1878645</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930236</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930236</v>
      </c>
      <c r="D24" s="282"/>
      <c r="E24" s="282"/>
      <c r="F24" s="283"/>
      <c r="G24" s="284" t="s">
        <v>2439</v>
      </c>
    </row>
    <row r="25" spans="1:7" s="258" customFormat="1" ht="24">
      <c r="A25" s="941" t="s">
        <v>2329</v>
      </c>
      <c r="B25" s="259" t="s">
        <v>2440</v>
      </c>
      <c r="C25" s="1363">
        <f ca="1">ROUND(IF('数据-取费表'!B22&lt;=1,C20*F22*'数据-取费表'!B22/2,C20*(POWER((1+F22),'数据-取费表'!B22/2)-1)),0)</f>
        <v>18173</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2731706</v>
      </c>
      <c r="D27" s="279">
        <f ca="1">C29</f>
        <v>2.8E-3</v>
      </c>
      <c r="E27" s="280" t="s">
        <v>2367</v>
      </c>
      <c r="F27" s="290">
        <f ca="1">IF(B1="",'数据-取费表'!Q16,INDIRECT("'数据-取费表'!q"&amp;$G$1))</f>
        <v>0.14000000000000001</v>
      </c>
      <c r="G27" s="291" t="s">
        <v>2368</v>
      </c>
    </row>
    <row r="28" spans="1:7" s="258" customFormat="1" ht="13.5" customHeight="1">
      <c r="A28" s="941" t="s">
        <v>791</v>
      </c>
      <c r="B28" s="292" t="s">
        <v>2369</v>
      </c>
      <c r="C28" s="293">
        <f ca="1">ROUND((C5+C19+C20)*F27,0)</f>
        <v>2731706</v>
      </c>
      <c r="D28" s="279"/>
      <c r="E28" s="280"/>
      <c r="F28" s="290"/>
      <c r="G28" s="291"/>
    </row>
    <row r="29" spans="1:7" s="258" customFormat="1" ht="13.5" customHeight="1">
      <c r="A29" s="941" t="s">
        <v>792</v>
      </c>
      <c r="B29" s="292" t="s">
        <v>2370</v>
      </c>
      <c r="C29" s="282">
        <f ca="1">ROUND(C21*F27,4)</f>
        <v>2.8E-3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26137760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212015830</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193733045</v>
      </c>
      <c r="D34" s="261"/>
      <c r="E34" s="264"/>
      <c r="F34" s="301"/>
      <c r="G34" s="263"/>
    </row>
    <row r="35" spans="1:7" ht="13.5" customHeight="1">
      <c r="A35" s="941" t="s">
        <v>796</v>
      </c>
      <c r="B35" s="259" t="s">
        <v>2380</v>
      </c>
      <c r="C35" s="264">
        <f ca="1">ROUND(C34*F35,0)</f>
        <v>5811991</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9564798</v>
      </c>
      <c r="D37" s="261">
        <f ca="1">D19</f>
        <v>47823.990000000005</v>
      </c>
      <c r="E37" s="293">
        <f>'数据-取费表'!B35</f>
        <v>200</v>
      </c>
      <c r="F37" s="303"/>
      <c r="G37" s="305"/>
    </row>
    <row r="38" spans="1:7" ht="13.5" customHeight="1">
      <c r="A38" s="941" t="s">
        <v>799</v>
      </c>
      <c r="B38" s="259" t="s">
        <v>2386</v>
      </c>
      <c r="C38" s="264">
        <f ca="1">ROUND(C34*F38,0)</f>
        <v>2905996</v>
      </c>
      <c r="D38" s="264"/>
      <c r="E38" s="264"/>
      <c r="F38" s="303">
        <f>'数据-取费表'!B36</f>
        <v>1.4999999999999999E-2</v>
      </c>
      <c r="G38" s="263" t="s">
        <v>2381</v>
      </c>
    </row>
    <row r="39" spans="1:7" s="258" customFormat="1" ht="13.5" customHeight="1">
      <c r="A39" s="299" t="s">
        <v>2387</v>
      </c>
      <c r="B39" s="254" t="s">
        <v>2388</v>
      </c>
      <c r="C39" s="276">
        <f ca="1">ROUND(C33*F20,0)</f>
        <v>4240317</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10272167</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10070752</v>
      </c>
      <c r="D42" s="282"/>
      <c r="E42" s="282"/>
      <c r="F42" s="283"/>
      <c r="G42" s="3633" t="s">
        <v>2444</v>
      </c>
    </row>
    <row r="43" spans="1:7" ht="13.5" customHeight="1">
      <c r="A43" s="941" t="s">
        <v>792</v>
      </c>
      <c r="B43" s="259" t="s">
        <v>2398</v>
      </c>
      <c r="C43" s="282">
        <f ca="1">ROUND(IF('数据-取费表'!B22&lt;=1,C39*F22*'数据-取费表'!B20/2,C39*(POWER((1+F22),'数据-取费表'!B20/2)-1)),0)</f>
        <v>201415</v>
      </c>
      <c r="D43" s="282"/>
      <c r="E43" s="282"/>
      <c r="F43" s="283"/>
      <c r="G43" s="3634"/>
    </row>
    <row r="44" spans="1:7" ht="13.5" customHeight="1">
      <c r="A44" s="941" t="s">
        <v>793</v>
      </c>
      <c r="B44" s="259" t="s">
        <v>2399</v>
      </c>
      <c r="C44" s="282">
        <f ca="1">ROUND(IF('数据-取费表'!B22&lt;=1,C40*F22*'数据-取费表'!B20/2,C40*(POWER((1+F22),'数据-取费表'!B20/2)-1)),4)</f>
        <v>1E-3</v>
      </c>
      <c r="D44" s="282"/>
      <c r="E44" s="282"/>
      <c r="F44" s="283"/>
      <c r="G44" s="3635"/>
    </row>
    <row r="45" spans="1:7" s="258" customFormat="1" ht="13.5" customHeight="1">
      <c r="A45" s="299" t="s">
        <v>2400</v>
      </c>
      <c r="B45" s="288" t="s">
        <v>2366</v>
      </c>
      <c r="C45" s="289">
        <f ca="1">C46</f>
        <v>30275861</v>
      </c>
      <c r="D45" s="279">
        <f ca="1">C47</f>
        <v>2.8E-3</v>
      </c>
      <c r="E45" s="280" t="s">
        <v>2392</v>
      </c>
      <c r="F45" s="290"/>
      <c r="G45" s="291" t="s">
        <v>2401</v>
      </c>
    </row>
    <row r="46" spans="1:7" s="258" customFormat="1" ht="13.5" customHeight="1">
      <c r="A46" s="941" t="s">
        <v>791</v>
      </c>
      <c r="B46" s="292" t="s">
        <v>2402</v>
      </c>
      <c r="C46" s="293">
        <f ca="1">ROUND((C33+C39)*F27,0)</f>
        <v>30275861</v>
      </c>
      <c r="D46" s="307"/>
      <c r="E46" s="280"/>
      <c r="F46" s="290"/>
      <c r="G46" s="291"/>
    </row>
    <row r="47" spans="1:7" s="258" customFormat="1" ht="13.5" customHeight="1">
      <c r="A47" s="941" t="s">
        <v>792</v>
      </c>
      <c r="B47" s="292" t="s">
        <v>2403</v>
      </c>
      <c r="C47" s="282">
        <f ca="1">ROUND(C40*F27,4)</f>
        <v>2.8E-3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278257856</v>
      </c>
      <c r="D49" s="276"/>
      <c r="E49" s="276"/>
      <c r="F49" s="308"/>
      <c r="G49" s="278" t="s">
        <v>2407</v>
      </c>
    </row>
    <row r="50" spans="1:7" s="302" customFormat="1">
      <c r="A50" s="299" t="s">
        <v>2408</v>
      </c>
      <c r="B50" s="254" t="s">
        <v>2409</v>
      </c>
      <c r="C50" s="276"/>
      <c r="D50" s="276"/>
      <c r="E50" s="276"/>
      <c r="F50" s="308">
        <f>IF('数据-取费表'!B24=0,'数据-取费表'!N16,1)</f>
        <v>0.8</v>
      </c>
      <c r="G50" s="291"/>
    </row>
    <row r="51" spans="1:7" ht="16.5" customHeight="1">
      <c r="A51" s="299" t="s">
        <v>2411</v>
      </c>
      <c r="B51" s="254" t="s">
        <v>2446</v>
      </c>
      <c r="C51" s="276">
        <f ca="1">ROUND(C49*F50,0)</f>
        <v>222606285</v>
      </c>
      <c r="D51" s="276"/>
      <c r="E51" s="276"/>
      <c r="F51" s="308"/>
      <c r="G51" s="278" t="s">
        <v>2413</v>
      </c>
    </row>
    <row r="52" spans="1:7" s="252" customFormat="1" ht="16.5" thickBot="1">
      <c r="A52" s="309" t="s">
        <v>2414</v>
      </c>
      <c r="B52" s="310"/>
      <c r="C52" s="311">
        <f ca="1">C31+C51</f>
        <v>248744045</v>
      </c>
      <c r="D52" s="310"/>
      <c r="E52" s="310"/>
      <c r="F52" s="310"/>
      <c r="G52" s="312"/>
    </row>
    <row r="55" spans="1:7" ht="15">
      <c r="B55" s="314" t="s">
        <v>2415</v>
      </c>
      <c r="C55" s="315"/>
    </row>
    <row r="56" spans="1:7">
      <c r="B56" s="317" t="s">
        <v>1501</v>
      </c>
      <c r="C56" s="319">
        <f ca="1">1-C57</f>
        <v>0.10499999999999998</v>
      </c>
    </row>
    <row r="57" spans="1:7">
      <c r="B57" s="317" t="s">
        <v>1502</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-989</v>
      </c>
      <c r="C2" s="320" t="s">
        <v>2448</v>
      </c>
      <c r="D2" s="320"/>
      <c r="E2" s="320"/>
      <c r="F2" s="320"/>
      <c r="G2" s="320"/>
      <c r="H2" s="320"/>
      <c r="I2" s="320"/>
      <c r="J2" s="320"/>
      <c r="K2" s="320"/>
    </row>
    <row r="3" spans="1:33" ht="18" customHeight="1" thickBot="1">
      <c r="A3" s="247" t="s">
        <v>2317</v>
      </c>
      <c r="B3" s="248">
        <f ca="1">ROUND(B2*10000/IF(C1="",'数据-汇总表'!E3,INDIRECT("'数据-取费表'!K"&amp;$K$1)),0)</f>
        <v>-207</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13156.989999999996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47823.990000000005</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47823.990000000005</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875</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956</v>
      </c>
      <c r="D20" s="1023">
        <f ca="1">IF(C1="",'数据-汇总表'!E6,IF(INDIRECT("'数据-取费表'!c"&amp;$K$1)="住宅",INDIRECT("'数据-取费表'!s"&amp;$K$1),INDIRECT("'数据-取费表'!k"&amp;$K$1)+INDIRECT("'数据-取费表'!s"&amp;$K$1)))</f>
        <v>47823.990000000005</v>
      </c>
      <c r="E20" s="24">
        <f>'数据-取费表'!B28</f>
        <v>200</v>
      </c>
      <c r="F20" s="966"/>
      <c r="G20" s="15"/>
      <c r="H20" s="971"/>
      <c r="I20" s="971"/>
      <c r="J20" s="971"/>
      <c r="K20" s="972"/>
    </row>
    <row r="21" spans="1:33" s="965" customFormat="1" ht="13.5" customHeight="1">
      <c r="A21" s="951" t="s">
        <v>802</v>
      </c>
      <c r="B21" s="975" t="s">
        <v>2484</v>
      </c>
      <c r="C21" s="976">
        <f ca="1">C16+C17+C18</f>
        <v>875</v>
      </c>
      <c r="D21" s="977"/>
      <c r="E21" s="325"/>
      <c r="F21" s="325"/>
      <c r="G21" s="140" t="s">
        <v>2485</v>
      </c>
      <c r="H21" s="969"/>
      <c r="I21" s="969"/>
      <c r="J21" s="969"/>
      <c r="K21" s="970"/>
    </row>
    <row r="22" spans="1:33" s="965" customFormat="1" ht="13.5" customHeight="1">
      <c r="A22" s="951" t="s">
        <v>2457</v>
      </c>
      <c r="B22" s="975" t="s">
        <v>2486</v>
      </c>
      <c r="C22" s="976">
        <f ca="1">ROUND(C21*F22,0)</f>
        <v>18</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125</v>
      </c>
      <c r="D28" s="324">
        <f ca="1">C29</f>
        <v>0</v>
      </c>
      <c r="E28" s="326" t="s">
        <v>15</v>
      </c>
      <c r="F28" s="332">
        <f ca="1">IF(C1="",'数据-取费表'!Q16,INDIRECT("'数据-取费表'!q"&amp;$K$1))</f>
        <v>0.14000000000000001</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125</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-989</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686" t="s">
        <v>1391</v>
      </c>
      <c r="C6" s="1278">
        <f ca="1">ROUND(F6*F8*F7*(1-F9),0)</f>
        <v>0</v>
      </c>
      <c r="D6" s="164" t="s">
        <v>3001</v>
      </c>
      <c r="E6" s="347" t="s">
        <v>1393</v>
      </c>
      <c r="F6" s="348">
        <f ca="1">INDIRECT("'数据-取费表'!u"&amp;$G$1)</f>
        <v>0</v>
      </c>
      <c r="G6" s="1831"/>
      <c r="H6" s="1273" t="s">
        <v>1032</v>
      </c>
      <c r="I6" s="3686" t="s">
        <v>1391</v>
      </c>
      <c r="J6" s="346">
        <f ca="1">ROUND(M6*M8*M7*(1-M9),0)</f>
        <v>0</v>
      </c>
      <c r="K6" s="1814" t="s">
        <v>3002</v>
      </c>
      <c r="L6" s="347" t="s">
        <v>1393</v>
      </c>
      <c r="M6" s="348">
        <f ca="1">INDIRECT("'数据-取费表'!z"&amp;$G$1)</f>
        <v>0</v>
      </c>
    </row>
    <row r="7" spans="1:37" ht="18" customHeight="1">
      <c r="A7" s="1277"/>
      <c r="B7" s="3687"/>
      <c r="C7" s="1279"/>
      <c r="D7" s="352"/>
      <c r="E7" s="1280" t="s">
        <v>1394</v>
      </c>
      <c r="F7" s="348">
        <f ca="1">IF(INDIRECT("'数据-取费表'!ah"&amp;$G$1)="",INDIRECT("'数据-取费表'!k"&amp;$G$1),INDIRECT("'数据-取费表'!ah"&amp;$G$1))</f>
        <v>0</v>
      </c>
      <c r="G7" s="1831"/>
      <c r="H7" s="349"/>
      <c r="I7" s="3687"/>
      <c r="J7" s="351"/>
      <c r="K7" s="352"/>
      <c r="L7" s="347" t="s">
        <v>1394</v>
      </c>
      <c r="M7" s="348">
        <f ca="1">F7</f>
        <v>0</v>
      </c>
    </row>
    <row r="8" spans="1:37" ht="18" customHeight="1">
      <c r="A8" s="349"/>
      <c r="B8" s="3687"/>
      <c r="C8" s="351"/>
      <c r="D8" s="352"/>
      <c r="E8" s="347" t="s">
        <v>1395</v>
      </c>
      <c r="F8" s="348">
        <f ca="1">INDIRECT("'数据-取费表'!ai"&amp;$G$1)</f>
        <v>0</v>
      </c>
      <c r="G8" s="1831"/>
      <c r="H8" s="349"/>
      <c r="I8" s="3687"/>
      <c r="J8" s="351"/>
      <c r="K8" s="352"/>
      <c r="L8" s="347" t="s">
        <v>1395</v>
      </c>
      <c r="M8" s="348">
        <f ca="1">INDIRECT("'数据-取费表'!ai"&amp;$G$1)</f>
        <v>0</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689" t="s">
        <v>1536</v>
      </c>
      <c r="L53" s="3690"/>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09" activePane="bottomLeft" state="frozen"/>
      <selection activeCell="C50" sqref="C50"/>
      <selection pane="bottomLeft" activeCell="B69" sqref="B69"/>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83" t="s">
        <v>2983</v>
      </c>
      <c r="D1" s="3684"/>
      <c r="E1" s="3684"/>
      <c r="F1" s="3684"/>
      <c r="G1" s="3684"/>
      <c r="H1" s="3684"/>
      <c r="I1" s="3684"/>
      <c r="J1" s="3684"/>
      <c r="K1" s="3684"/>
      <c r="L1" s="3684"/>
      <c r="M1" s="3684"/>
      <c r="N1" s="3684"/>
      <c r="O1" s="3684"/>
      <c r="P1" s="3684"/>
      <c r="Q1" s="3684"/>
      <c r="R1" s="3684"/>
      <c r="S1" s="3685"/>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3114</v>
      </c>
      <c r="D17" s="2969" t="s">
        <v>3115</v>
      </c>
      <c r="E17" s="2969" t="s">
        <v>3116</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65109</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40298</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548" t="s">
        <v>33</v>
      </c>
      <c r="D22" s="3549"/>
      <c r="E22" s="3549"/>
      <c r="F22" s="3549"/>
      <c r="G22" s="3549"/>
      <c r="H22" s="3549"/>
      <c r="I22" s="3549"/>
      <c r="J22" s="3549"/>
      <c r="K22" s="3549"/>
      <c r="L22" s="3549"/>
      <c r="M22" s="3549"/>
      <c r="N22" s="3549"/>
      <c r="O22" s="3549"/>
      <c r="P22" s="3549"/>
      <c r="Q22" s="3682"/>
      <c r="R22" s="713">
        <f>ROUND(S22*10000/B22,0)</f>
        <v>40298</v>
      </c>
      <c r="S22" s="24">
        <f>SUM(S24:S10000)</f>
        <v>65109</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3144</v>
      </c>
      <c r="E24" s="715">
        <v>1</v>
      </c>
      <c r="F24" s="716"/>
      <c r="G24" s="715">
        <v>1</v>
      </c>
      <c r="H24" s="716"/>
      <c r="I24" s="715">
        <v>1</v>
      </c>
      <c r="J24" s="716"/>
      <c r="K24" s="715">
        <v>1</v>
      </c>
      <c r="L24" s="716"/>
      <c r="M24" s="715">
        <v>1</v>
      </c>
      <c r="N24" s="716"/>
      <c r="O24" s="715">
        <v>1</v>
      </c>
      <c r="P24" s="716" t="s">
        <v>3141</v>
      </c>
      <c r="Q24" s="715">
        <v>1</v>
      </c>
      <c r="R24" s="717">
        <f>'比较法-办公'!B3</f>
        <v>38093</v>
      </c>
      <c r="S24" s="715">
        <f t="shared" ref="S24:S87" si="5">ROUND(R24*B24/10000,0)</f>
        <v>612</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3144</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3141</v>
      </c>
      <c r="Q25" s="24">
        <f>(SUMIF($17:$17,P25,$18:$18)-SUMIF($17:$17,$P$24,$18:$18)+100)/100</f>
        <v>1</v>
      </c>
      <c r="R25" s="713">
        <f>IF(B25="",0,ROUND($R$24*C25*E25*G25*I25*K25*M25*O25*Q25,0))</f>
        <v>38093</v>
      </c>
      <c r="S25" s="361">
        <f t="shared" si="5"/>
        <v>579</v>
      </c>
    </row>
    <row r="26" spans="1:45">
      <c r="A26" s="3007" t="str">
        <f>面积表!D18</f>
        <v>503</v>
      </c>
      <c r="B26" s="2953">
        <f>面积表!I18</f>
        <v>152</v>
      </c>
      <c r="C26" s="24">
        <f t="shared" ref="C26:C89" si="6">IF(B26="",1,(LOOKUP(B26,$3:$3,$4:$4)-LOOKUP($B$24,$3:$3,$4:$4)+100)/100)</f>
        <v>1</v>
      </c>
      <c r="D26" s="716" t="s">
        <v>3144</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3141</v>
      </c>
      <c r="Q26" s="24">
        <f t="shared" ref="Q26:Q89" si="13">(SUMIF($17:$17,P26,$18:$18)-SUMIF($17:$17,$P$24,$18:$18)+100)/100</f>
        <v>1</v>
      </c>
      <c r="R26" s="713">
        <f t="shared" ref="R26:R89" si="14">IF(B26="",0,ROUND($R$24*C26*E26*G26*I26*K26*M26*O26*Q26,0))</f>
        <v>38093</v>
      </c>
      <c r="S26" s="361">
        <f t="shared" si="5"/>
        <v>579</v>
      </c>
    </row>
    <row r="27" spans="1:45">
      <c r="A27" s="3007" t="str">
        <f>面积表!D19</f>
        <v>504</v>
      </c>
      <c r="B27" s="2953">
        <f>面积表!I19</f>
        <v>152</v>
      </c>
      <c r="C27" s="24">
        <f t="shared" si="6"/>
        <v>1</v>
      </c>
      <c r="D27" s="716" t="s">
        <v>3144</v>
      </c>
      <c r="E27" s="24">
        <f t="shared" si="7"/>
        <v>1</v>
      </c>
      <c r="F27" s="716"/>
      <c r="G27" s="24">
        <f t="shared" si="8"/>
        <v>1</v>
      </c>
      <c r="H27" s="716"/>
      <c r="I27" s="24">
        <f t="shared" si="9"/>
        <v>1</v>
      </c>
      <c r="J27" s="716"/>
      <c r="K27" s="24">
        <f t="shared" si="10"/>
        <v>1</v>
      </c>
      <c r="L27" s="716"/>
      <c r="M27" s="24">
        <f t="shared" si="11"/>
        <v>1</v>
      </c>
      <c r="N27" s="716"/>
      <c r="O27" s="24">
        <f t="shared" si="12"/>
        <v>1</v>
      </c>
      <c r="P27" s="716" t="s">
        <v>3141</v>
      </c>
      <c r="Q27" s="24">
        <f t="shared" si="13"/>
        <v>1</v>
      </c>
      <c r="R27" s="713">
        <f t="shared" si="14"/>
        <v>38093</v>
      </c>
      <c r="S27" s="361">
        <f t="shared" si="5"/>
        <v>579</v>
      </c>
    </row>
    <row r="28" spans="1:45">
      <c r="A28" s="3007" t="str">
        <f>面积表!D20</f>
        <v>505</v>
      </c>
      <c r="B28" s="2953">
        <f>面积表!I20</f>
        <v>152</v>
      </c>
      <c r="C28" s="24">
        <f t="shared" si="6"/>
        <v>1</v>
      </c>
      <c r="D28" s="716" t="s">
        <v>3144</v>
      </c>
      <c r="E28" s="24">
        <f t="shared" si="7"/>
        <v>1</v>
      </c>
      <c r="F28" s="716"/>
      <c r="G28" s="24">
        <f t="shared" si="8"/>
        <v>1</v>
      </c>
      <c r="H28" s="716"/>
      <c r="I28" s="24">
        <f t="shared" si="9"/>
        <v>1</v>
      </c>
      <c r="J28" s="716"/>
      <c r="K28" s="24">
        <f t="shared" si="10"/>
        <v>1</v>
      </c>
      <c r="L28" s="716"/>
      <c r="M28" s="24">
        <f t="shared" si="11"/>
        <v>1</v>
      </c>
      <c r="N28" s="716"/>
      <c r="O28" s="24">
        <f t="shared" si="12"/>
        <v>1</v>
      </c>
      <c r="P28" s="716" t="s">
        <v>3141</v>
      </c>
      <c r="Q28" s="24">
        <f t="shared" si="13"/>
        <v>1</v>
      </c>
      <c r="R28" s="713">
        <f t="shared" si="14"/>
        <v>38093</v>
      </c>
      <c r="S28" s="361">
        <f t="shared" si="5"/>
        <v>579</v>
      </c>
    </row>
    <row r="29" spans="1:45">
      <c r="A29" s="3007" t="str">
        <f>面积表!D21</f>
        <v>506</v>
      </c>
      <c r="B29" s="2953">
        <f>面积表!I21</f>
        <v>208.31</v>
      </c>
      <c r="C29" s="24">
        <f t="shared" si="6"/>
        <v>1</v>
      </c>
      <c r="D29" s="716" t="s">
        <v>3144</v>
      </c>
      <c r="E29" s="24">
        <f t="shared" si="7"/>
        <v>1</v>
      </c>
      <c r="F29" s="716"/>
      <c r="G29" s="24">
        <f t="shared" si="8"/>
        <v>1</v>
      </c>
      <c r="H29" s="716"/>
      <c r="I29" s="24">
        <f t="shared" si="9"/>
        <v>1</v>
      </c>
      <c r="J29" s="716"/>
      <c r="K29" s="24">
        <f t="shared" si="10"/>
        <v>1</v>
      </c>
      <c r="L29" s="716"/>
      <c r="M29" s="24">
        <f t="shared" si="11"/>
        <v>1</v>
      </c>
      <c r="N29" s="716"/>
      <c r="O29" s="24">
        <f t="shared" si="12"/>
        <v>1</v>
      </c>
      <c r="P29" s="716" t="s">
        <v>3141</v>
      </c>
      <c r="Q29" s="24">
        <f t="shared" si="13"/>
        <v>1</v>
      </c>
      <c r="R29" s="713">
        <f t="shared" si="14"/>
        <v>38093</v>
      </c>
      <c r="S29" s="361">
        <f t="shared" si="5"/>
        <v>794</v>
      </c>
    </row>
    <row r="30" spans="1:45">
      <c r="A30" s="3007" t="str">
        <f>面积表!D22</f>
        <v>507</v>
      </c>
      <c r="B30" s="2953">
        <f>面积表!I22</f>
        <v>222.93</v>
      </c>
      <c r="C30" s="24">
        <f t="shared" si="6"/>
        <v>1</v>
      </c>
      <c r="D30" s="716" t="s">
        <v>3144</v>
      </c>
      <c r="E30" s="24">
        <f t="shared" si="7"/>
        <v>1</v>
      </c>
      <c r="F30" s="716"/>
      <c r="G30" s="24">
        <f t="shared" si="8"/>
        <v>1</v>
      </c>
      <c r="H30" s="716"/>
      <c r="I30" s="24">
        <f t="shared" si="9"/>
        <v>1</v>
      </c>
      <c r="J30" s="716"/>
      <c r="K30" s="24">
        <f t="shared" si="10"/>
        <v>1</v>
      </c>
      <c r="L30" s="716"/>
      <c r="M30" s="24">
        <f t="shared" si="11"/>
        <v>1</v>
      </c>
      <c r="N30" s="716"/>
      <c r="O30" s="24">
        <f t="shared" si="12"/>
        <v>1</v>
      </c>
      <c r="P30" s="716" t="s">
        <v>3141</v>
      </c>
      <c r="Q30" s="24">
        <f t="shared" si="13"/>
        <v>1</v>
      </c>
      <c r="R30" s="713">
        <f t="shared" si="14"/>
        <v>38093</v>
      </c>
      <c r="S30" s="361">
        <f t="shared" si="5"/>
        <v>849</v>
      </c>
    </row>
    <row r="31" spans="1:45">
      <c r="A31" s="3007" t="str">
        <f>面积表!D23</f>
        <v>508</v>
      </c>
      <c r="B31" s="2953">
        <f>面积表!I23</f>
        <v>152.03</v>
      </c>
      <c r="C31" s="24">
        <f t="shared" si="6"/>
        <v>1</v>
      </c>
      <c r="D31" s="716" t="s">
        <v>3144</v>
      </c>
      <c r="E31" s="24">
        <f t="shared" si="7"/>
        <v>1</v>
      </c>
      <c r="F31" s="716"/>
      <c r="G31" s="24">
        <f t="shared" si="8"/>
        <v>1</v>
      </c>
      <c r="H31" s="716"/>
      <c r="I31" s="24">
        <f t="shared" si="9"/>
        <v>1</v>
      </c>
      <c r="J31" s="716"/>
      <c r="K31" s="24">
        <f t="shared" si="10"/>
        <v>1</v>
      </c>
      <c r="L31" s="716"/>
      <c r="M31" s="24">
        <f t="shared" si="11"/>
        <v>1</v>
      </c>
      <c r="N31" s="716"/>
      <c r="O31" s="24">
        <f t="shared" si="12"/>
        <v>1</v>
      </c>
      <c r="P31" s="716" t="s">
        <v>3141</v>
      </c>
      <c r="Q31" s="24">
        <f t="shared" si="13"/>
        <v>1</v>
      </c>
      <c r="R31" s="713">
        <f t="shared" si="14"/>
        <v>38093</v>
      </c>
      <c r="S31" s="361">
        <f t="shared" si="5"/>
        <v>579</v>
      </c>
    </row>
    <row r="32" spans="1:45">
      <c r="A32" s="3007" t="str">
        <f>面积表!D24</f>
        <v>509</v>
      </c>
      <c r="B32" s="2953">
        <f>面积表!I24</f>
        <v>116.9</v>
      </c>
      <c r="C32" s="24">
        <f t="shared" si="6"/>
        <v>1</v>
      </c>
      <c r="D32" s="716" t="s">
        <v>3144</v>
      </c>
      <c r="E32" s="24">
        <f t="shared" si="7"/>
        <v>1</v>
      </c>
      <c r="F32" s="716"/>
      <c r="G32" s="24">
        <f t="shared" si="8"/>
        <v>1</v>
      </c>
      <c r="H32" s="716"/>
      <c r="I32" s="24">
        <f t="shared" si="9"/>
        <v>1</v>
      </c>
      <c r="J32" s="716"/>
      <c r="K32" s="24">
        <f t="shared" si="10"/>
        <v>1</v>
      </c>
      <c r="L32" s="716"/>
      <c r="M32" s="24">
        <f t="shared" si="11"/>
        <v>1</v>
      </c>
      <c r="N32" s="716"/>
      <c r="O32" s="24">
        <f t="shared" si="12"/>
        <v>1</v>
      </c>
      <c r="P32" s="716" t="s">
        <v>3141</v>
      </c>
      <c r="Q32" s="24">
        <f t="shared" si="13"/>
        <v>1</v>
      </c>
      <c r="R32" s="713">
        <f t="shared" si="14"/>
        <v>38093</v>
      </c>
      <c r="S32" s="361">
        <f t="shared" si="5"/>
        <v>445</v>
      </c>
    </row>
    <row r="33" spans="1:19">
      <c r="A33" s="3007" t="str">
        <f>面积表!D25</f>
        <v>601</v>
      </c>
      <c r="B33" s="2953">
        <f>面积表!I25</f>
        <v>160.65</v>
      </c>
      <c r="C33" s="24">
        <f t="shared" si="6"/>
        <v>1</v>
      </c>
      <c r="D33" s="716" t="s">
        <v>3144</v>
      </c>
      <c r="E33" s="24">
        <f t="shared" si="7"/>
        <v>1</v>
      </c>
      <c r="F33" s="716"/>
      <c r="G33" s="24">
        <f t="shared" si="8"/>
        <v>1</v>
      </c>
      <c r="H33" s="716"/>
      <c r="I33" s="24">
        <f t="shared" si="9"/>
        <v>1</v>
      </c>
      <c r="J33" s="716"/>
      <c r="K33" s="24">
        <f t="shared" si="10"/>
        <v>1</v>
      </c>
      <c r="L33" s="716"/>
      <c r="M33" s="24">
        <f t="shared" si="11"/>
        <v>1</v>
      </c>
      <c r="N33" s="716"/>
      <c r="O33" s="24">
        <f t="shared" si="12"/>
        <v>1</v>
      </c>
      <c r="P33" s="716" t="s">
        <v>3149</v>
      </c>
      <c r="Q33" s="24">
        <f t="shared" si="13"/>
        <v>1.04</v>
      </c>
      <c r="R33" s="713">
        <f t="shared" si="14"/>
        <v>39617</v>
      </c>
      <c r="S33" s="361">
        <f t="shared" si="5"/>
        <v>636</v>
      </c>
    </row>
    <row r="34" spans="1:19">
      <c r="A34" s="3007" t="str">
        <f>面积表!D26</f>
        <v>602</v>
      </c>
      <c r="B34" s="2953">
        <f>面积表!I26</f>
        <v>152</v>
      </c>
      <c r="C34" s="24">
        <f t="shared" si="6"/>
        <v>1</v>
      </c>
      <c r="D34" s="716" t="s">
        <v>3144</v>
      </c>
      <c r="E34" s="24">
        <f t="shared" si="7"/>
        <v>1</v>
      </c>
      <c r="F34" s="716"/>
      <c r="G34" s="24">
        <f t="shared" si="8"/>
        <v>1</v>
      </c>
      <c r="H34" s="716"/>
      <c r="I34" s="24">
        <f t="shared" si="9"/>
        <v>1</v>
      </c>
      <c r="J34" s="716"/>
      <c r="K34" s="24">
        <f t="shared" si="10"/>
        <v>1</v>
      </c>
      <c r="L34" s="716"/>
      <c r="M34" s="24">
        <f t="shared" si="11"/>
        <v>1</v>
      </c>
      <c r="N34" s="716"/>
      <c r="O34" s="24">
        <f t="shared" si="12"/>
        <v>1</v>
      </c>
      <c r="P34" s="716" t="s">
        <v>3149</v>
      </c>
      <c r="Q34" s="24">
        <f t="shared" si="13"/>
        <v>1.04</v>
      </c>
      <c r="R34" s="713">
        <f t="shared" si="14"/>
        <v>39617</v>
      </c>
      <c r="S34" s="361">
        <f t="shared" si="5"/>
        <v>602</v>
      </c>
    </row>
    <row r="35" spans="1:19">
      <c r="A35" s="3007" t="str">
        <f>面积表!D27</f>
        <v>603</v>
      </c>
      <c r="B35" s="2953">
        <f>面积表!I27</f>
        <v>152</v>
      </c>
      <c r="C35" s="24">
        <f t="shared" si="6"/>
        <v>1</v>
      </c>
      <c r="D35" s="716" t="s">
        <v>3144</v>
      </c>
      <c r="E35" s="24">
        <f t="shared" si="7"/>
        <v>1</v>
      </c>
      <c r="F35" s="716"/>
      <c r="G35" s="24">
        <f t="shared" si="8"/>
        <v>1</v>
      </c>
      <c r="H35" s="716"/>
      <c r="I35" s="24">
        <f t="shared" si="9"/>
        <v>1</v>
      </c>
      <c r="J35" s="716"/>
      <c r="K35" s="24">
        <f t="shared" si="10"/>
        <v>1</v>
      </c>
      <c r="L35" s="716"/>
      <c r="M35" s="24">
        <f t="shared" si="11"/>
        <v>1</v>
      </c>
      <c r="N35" s="716"/>
      <c r="O35" s="24">
        <f t="shared" si="12"/>
        <v>1</v>
      </c>
      <c r="P35" s="716" t="s">
        <v>3149</v>
      </c>
      <c r="Q35" s="24">
        <f t="shared" si="13"/>
        <v>1.04</v>
      </c>
      <c r="R35" s="713">
        <f t="shared" si="14"/>
        <v>39617</v>
      </c>
      <c r="S35" s="361">
        <f t="shared" si="5"/>
        <v>602</v>
      </c>
    </row>
    <row r="36" spans="1:19">
      <c r="A36" s="3007" t="str">
        <f>面积表!D28</f>
        <v>604</v>
      </c>
      <c r="B36" s="2953">
        <f>面积表!I28</f>
        <v>152</v>
      </c>
      <c r="C36" s="24">
        <f t="shared" si="6"/>
        <v>1</v>
      </c>
      <c r="D36" s="716" t="s">
        <v>3144</v>
      </c>
      <c r="E36" s="24">
        <f t="shared" si="7"/>
        <v>1</v>
      </c>
      <c r="F36" s="716"/>
      <c r="G36" s="24">
        <f t="shared" si="8"/>
        <v>1</v>
      </c>
      <c r="H36" s="716"/>
      <c r="I36" s="24">
        <f t="shared" si="9"/>
        <v>1</v>
      </c>
      <c r="J36" s="716"/>
      <c r="K36" s="24">
        <f t="shared" si="10"/>
        <v>1</v>
      </c>
      <c r="L36" s="716"/>
      <c r="M36" s="24">
        <f t="shared" si="11"/>
        <v>1</v>
      </c>
      <c r="N36" s="716"/>
      <c r="O36" s="24">
        <f t="shared" si="12"/>
        <v>1</v>
      </c>
      <c r="P36" s="716" t="s">
        <v>3149</v>
      </c>
      <c r="Q36" s="24">
        <f t="shared" si="13"/>
        <v>1.04</v>
      </c>
      <c r="R36" s="713">
        <f t="shared" si="14"/>
        <v>39617</v>
      </c>
      <c r="S36" s="361">
        <f t="shared" si="5"/>
        <v>602</v>
      </c>
    </row>
    <row r="37" spans="1:19">
      <c r="A37" s="3007" t="str">
        <f>面积表!D29</f>
        <v>605</v>
      </c>
      <c r="B37" s="2953">
        <f>面积表!I29</f>
        <v>152</v>
      </c>
      <c r="C37" s="24">
        <f t="shared" si="6"/>
        <v>1</v>
      </c>
      <c r="D37" s="716" t="s">
        <v>3144</v>
      </c>
      <c r="E37" s="24">
        <f t="shared" si="7"/>
        <v>1</v>
      </c>
      <c r="F37" s="716"/>
      <c r="G37" s="24">
        <f t="shared" si="8"/>
        <v>1</v>
      </c>
      <c r="H37" s="716"/>
      <c r="I37" s="24">
        <f t="shared" si="9"/>
        <v>1</v>
      </c>
      <c r="J37" s="716"/>
      <c r="K37" s="24">
        <f t="shared" si="10"/>
        <v>1</v>
      </c>
      <c r="L37" s="716"/>
      <c r="M37" s="24">
        <f t="shared" si="11"/>
        <v>1</v>
      </c>
      <c r="N37" s="716"/>
      <c r="O37" s="24">
        <f t="shared" si="12"/>
        <v>1</v>
      </c>
      <c r="P37" s="716" t="s">
        <v>3149</v>
      </c>
      <c r="Q37" s="24">
        <f t="shared" si="13"/>
        <v>1.04</v>
      </c>
      <c r="R37" s="713">
        <f t="shared" si="14"/>
        <v>39617</v>
      </c>
      <c r="S37" s="361">
        <f t="shared" si="5"/>
        <v>602</v>
      </c>
    </row>
    <row r="38" spans="1:19">
      <c r="A38" s="3007" t="str">
        <f>面积表!D30</f>
        <v>606</v>
      </c>
      <c r="B38" s="2953">
        <f>面积表!I30</f>
        <v>208.31</v>
      </c>
      <c r="C38" s="24">
        <f t="shared" si="6"/>
        <v>1</v>
      </c>
      <c r="D38" s="716" t="s">
        <v>3144</v>
      </c>
      <c r="E38" s="24">
        <f t="shared" si="7"/>
        <v>1</v>
      </c>
      <c r="F38" s="716"/>
      <c r="G38" s="24">
        <f t="shared" si="8"/>
        <v>1</v>
      </c>
      <c r="H38" s="716"/>
      <c r="I38" s="24">
        <f t="shared" si="9"/>
        <v>1</v>
      </c>
      <c r="J38" s="716"/>
      <c r="K38" s="24">
        <f t="shared" si="10"/>
        <v>1</v>
      </c>
      <c r="L38" s="716"/>
      <c r="M38" s="24">
        <f t="shared" si="11"/>
        <v>1</v>
      </c>
      <c r="N38" s="716"/>
      <c r="O38" s="24">
        <f t="shared" si="12"/>
        <v>1</v>
      </c>
      <c r="P38" s="716" t="s">
        <v>3149</v>
      </c>
      <c r="Q38" s="24">
        <f t="shared" si="13"/>
        <v>1.04</v>
      </c>
      <c r="R38" s="713">
        <f t="shared" si="14"/>
        <v>39617</v>
      </c>
      <c r="S38" s="361">
        <f t="shared" si="5"/>
        <v>825</v>
      </c>
    </row>
    <row r="39" spans="1:19">
      <c r="A39" s="3007" t="str">
        <f>面积表!D31</f>
        <v>607</v>
      </c>
      <c r="B39" s="2953">
        <f>面积表!I31</f>
        <v>222.93</v>
      </c>
      <c r="C39" s="24">
        <f t="shared" si="6"/>
        <v>1</v>
      </c>
      <c r="D39" s="716" t="s">
        <v>3144</v>
      </c>
      <c r="E39" s="24">
        <f t="shared" si="7"/>
        <v>1</v>
      </c>
      <c r="F39" s="716"/>
      <c r="G39" s="24">
        <f t="shared" si="8"/>
        <v>1</v>
      </c>
      <c r="H39" s="716"/>
      <c r="I39" s="24">
        <f t="shared" si="9"/>
        <v>1</v>
      </c>
      <c r="J39" s="716"/>
      <c r="K39" s="24">
        <f t="shared" si="10"/>
        <v>1</v>
      </c>
      <c r="L39" s="716"/>
      <c r="M39" s="24">
        <f t="shared" si="11"/>
        <v>1</v>
      </c>
      <c r="N39" s="716"/>
      <c r="O39" s="24">
        <f t="shared" si="12"/>
        <v>1</v>
      </c>
      <c r="P39" s="716" t="s">
        <v>3149</v>
      </c>
      <c r="Q39" s="24">
        <f t="shared" si="13"/>
        <v>1.04</v>
      </c>
      <c r="R39" s="713">
        <f t="shared" si="14"/>
        <v>39617</v>
      </c>
      <c r="S39" s="361">
        <f t="shared" si="5"/>
        <v>883</v>
      </c>
    </row>
    <row r="40" spans="1:19">
      <c r="A40" s="3007" t="str">
        <f>面积表!D32</f>
        <v>608</v>
      </c>
      <c r="B40" s="2953">
        <f>面积表!I32</f>
        <v>152.03</v>
      </c>
      <c r="C40" s="24">
        <f t="shared" si="6"/>
        <v>1</v>
      </c>
      <c r="D40" s="716" t="s">
        <v>3144</v>
      </c>
      <c r="E40" s="24">
        <f t="shared" si="7"/>
        <v>1</v>
      </c>
      <c r="F40" s="716"/>
      <c r="G40" s="24">
        <f t="shared" si="8"/>
        <v>1</v>
      </c>
      <c r="H40" s="716"/>
      <c r="I40" s="24">
        <f t="shared" si="9"/>
        <v>1</v>
      </c>
      <c r="J40" s="716"/>
      <c r="K40" s="24">
        <f t="shared" si="10"/>
        <v>1</v>
      </c>
      <c r="L40" s="716"/>
      <c r="M40" s="24">
        <f t="shared" si="11"/>
        <v>1</v>
      </c>
      <c r="N40" s="716"/>
      <c r="O40" s="24">
        <f t="shared" si="12"/>
        <v>1</v>
      </c>
      <c r="P40" s="716" t="s">
        <v>3149</v>
      </c>
      <c r="Q40" s="24">
        <f t="shared" si="13"/>
        <v>1.04</v>
      </c>
      <c r="R40" s="713">
        <f t="shared" si="14"/>
        <v>39617</v>
      </c>
      <c r="S40" s="361">
        <f t="shared" si="5"/>
        <v>602</v>
      </c>
    </row>
    <row r="41" spans="1:19">
      <c r="A41" s="3007" t="str">
        <f>面积表!D33</f>
        <v>609</v>
      </c>
      <c r="B41" s="2953">
        <f>面积表!I33</f>
        <v>116.9</v>
      </c>
      <c r="C41" s="24">
        <f t="shared" si="6"/>
        <v>1</v>
      </c>
      <c r="D41" s="716" t="s">
        <v>3144</v>
      </c>
      <c r="E41" s="24">
        <f t="shared" si="7"/>
        <v>1</v>
      </c>
      <c r="F41" s="716"/>
      <c r="G41" s="24">
        <f t="shared" si="8"/>
        <v>1</v>
      </c>
      <c r="H41" s="716"/>
      <c r="I41" s="24">
        <f t="shared" si="9"/>
        <v>1</v>
      </c>
      <c r="J41" s="716"/>
      <c r="K41" s="24">
        <f t="shared" si="10"/>
        <v>1</v>
      </c>
      <c r="L41" s="716"/>
      <c r="M41" s="24">
        <f t="shared" si="11"/>
        <v>1</v>
      </c>
      <c r="N41" s="716"/>
      <c r="O41" s="24">
        <f t="shared" si="12"/>
        <v>1</v>
      </c>
      <c r="P41" s="716" t="s">
        <v>3149</v>
      </c>
      <c r="Q41" s="24">
        <f t="shared" si="13"/>
        <v>1.04</v>
      </c>
      <c r="R41" s="713">
        <f t="shared" si="14"/>
        <v>39617</v>
      </c>
      <c r="S41" s="361">
        <f t="shared" si="5"/>
        <v>463</v>
      </c>
    </row>
    <row r="42" spans="1:19">
      <c r="A42" s="3007" t="str">
        <f>面积表!D34</f>
        <v>701</v>
      </c>
      <c r="B42" s="2953">
        <f>面积表!I34</f>
        <v>160.65</v>
      </c>
      <c r="C42" s="24">
        <f t="shared" si="6"/>
        <v>1</v>
      </c>
      <c r="D42" s="716" t="s">
        <v>3144</v>
      </c>
      <c r="E42" s="24">
        <f t="shared" si="7"/>
        <v>1</v>
      </c>
      <c r="F42" s="716"/>
      <c r="G42" s="24">
        <f t="shared" si="8"/>
        <v>1</v>
      </c>
      <c r="H42" s="716"/>
      <c r="I42" s="24">
        <f t="shared" si="9"/>
        <v>1</v>
      </c>
      <c r="J42" s="716"/>
      <c r="K42" s="24">
        <f t="shared" si="10"/>
        <v>1</v>
      </c>
      <c r="L42" s="716"/>
      <c r="M42" s="24">
        <f t="shared" si="11"/>
        <v>1</v>
      </c>
      <c r="N42" s="716"/>
      <c r="O42" s="24">
        <f t="shared" si="12"/>
        <v>1</v>
      </c>
      <c r="P42" s="716" t="s">
        <v>3149</v>
      </c>
      <c r="Q42" s="24">
        <f t="shared" si="13"/>
        <v>1.04</v>
      </c>
      <c r="R42" s="713">
        <f t="shared" si="14"/>
        <v>39617</v>
      </c>
      <c r="S42" s="361">
        <f t="shared" si="5"/>
        <v>636</v>
      </c>
    </row>
    <row r="43" spans="1:19">
      <c r="A43" s="3007" t="str">
        <f>面积表!D35</f>
        <v>702</v>
      </c>
      <c r="B43" s="2953">
        <f>面积表!I35</f>
        <v>152</v>
      </c>
      <c r="C43" s="24">
        <f t="shared" si="6"/>
        <v>1</v>
      </c>
      <c r="D43" s="716" t="s">
        <v>3144</v>
      </c>
      <c r="E43" s="24">
        <f t="shared" si="7"/>
        <v>1</v>
      </c>
      <c r="F43" s="716"/>
      <c r="G43" s="24">
        <f t="shared" si="8"/>
        <v>1</v>
      </c>
      <c r="H43" s="716"/>
      <c r="I43" s="24">
        <f t="shared" si="9"/>
        <v>1</v>
      </c>
      <c r="J43" s="716"/>
      <c r="K43" s="24">
        <f t="shared" si="10"/>
        <v>1</v>
      </c>
      <c r="L43" s="716"/>
      <c r="M43" s="24">
        <f t="shared" si="11"/>
        <v>1</v>
      </c>
      <c r="N43" s="716"/>
      <c r="O43" s="24">
        <f t="shared" si="12"/>
        <v>1</v>
      </c>
      <c r="P43" s="716" t="s">
        <v>3149</v>
      </c>
      <c r="Q43" s="24">
        <f t="shared" si="13"/>
        <v>1.04</v>
      </c>
      <c r="R43" s="713">
        <f t="shared" si="14"/>
        <v>39617</v>
      </c>
      <c r="S43" s="361">
        <f t="shared" si="5"/>
        <v>602</v>
      </c>
    </row>
    <row r="44" spans="1:19">
      <c r="A44" s="3007" t="str">
        <f>面积表!D36</f>
        <v>703</v>
      </c>
      <c r="B44" s="2953">
        <f>面积表!I36</f>
        <v>152</v>
      </c>
      <c r="C44" s="24">
        <f t="shared" si="6"/>
        <v>1</v>
      </c>
      <c r="D44" s="716" t="s">
        <v>3144</v>
      </c>
      <c r="E44" s="24">
        <f t="shared" si="7"/>
        <v>1</v>
      </c>
      <c r="F44" s="716"/>
      <c r="G44" s="24">
        <f t="shared" si="8"/>
        <v>1</v>
      </c>
      <c r="H44" s="716"/>
      <c r="I44" s="24">
        <f t="shared" si="9"/>
        <v>1</v>
      </c>
      <c r="J44" s="716"/>
      <c r="K44" s="24">
        <f t="shared" si="10"/>
        <v>1</v>
      </c>
      <c r="L44" s="716"/>
      <c r="M44" s="24">
        <f t="shared" si="11"/>
        <v>1</v>
      </c>
      <c r="N44" s="716"/>
      <c r="O44" s="24">
        <f t="shared" si="12"/>
        <v>1</v>
      </c>
      <c r="P44" s="716" t="s">
        <v>3149</v>
      </c>
      <c r="Q44" s="24">
        <f t="shared" si="13"/>
        <v>1.04</v>
      </c>
      <c r="R44" s="713">
        <f t="shared" si="14"/>
        <v>39617</v>
      </c>
      <c r="S44" s="361">
        <f t="shared" si="5"/>
        <v>602</v>
      </c>
    </row>
    <row r="45" spans="1:19">
      <c r="A45" s="3007" t="str">
        <f>面积表!D37</f>
        <v>704</v>
      </c>
      <c r="B45" s="2953">
        <f>面积表!I37</f>
        <v>152</v>
      </c>
      <c r="C45" s="24">
        <f t="shared" si="6"/>
        <v>1</v>
      </c>
      <c r="D45" s="716" t="s">
        <v>3144</v>
      </c>
      <c r="E45" s="24">
        <f t="shared" si="7"/>
        <v>1</v>
      </c>
      <c r="F45" s="716"/>
      <c r="G45" s="24">
        <f t="shared" si="8"/>
        <v>1</v>
      </c>
      <c r="H45" s="716"/>
      <c r="I45" s="24">
        <f t="shared" si="9"/>
        <v>1</v>
      </c>
      <c r="J45" s="716"/>
      <c r="K45" s="24">
        <f t="shared" si="10"/>
        <v>1</v>
      </c>
      <c r="L45" s="716"/>
      <c r="M45" s="24">
        <f t="shared" si="11"/>
        <v>1</v>
      </c>
      <c r="N45" s="716"/>
      <c r="O45" s="24">
        <f t="shared" si="12"/>
        <v>1</v>
      </c>
      <c r="P45" s="716" t="s">
        <v>3149</v>
      </c>
      <c r="Q45" s="24">
        <f t="shared" si="13"/>
        <v>1.04</v>
      </c>
      <c r="R45" s="713">
        <f t="shared" si="14"/>
        <v>39617</v>
      </c>
      <c r="S45" s="361">
        <f t="shared" si="5"/>
        <v>602</v>
      </c>
    </row>
    <row r="46" spans="1:19">
      <c r="A46" s="3007" t="str">
        <f>面积表!D38</f>
        <v>705</v>
      </c>
      <c r="B46" s="2953">
        <f>面积表!I38</f>
        <v>152</v>
      </c>
      <c r="C46" s="24">
        <f t="shared" si="6"/>
        <v>1</v>
      </c>
      <c r="D46" s="716" t="s">
        <v>3144</v>
      </c>
      <c r="E46" s="24">
        <f t="shared" si="7"/>
        <v>1</v>
      </c>
      <c r="F46" s="716"/>
      <c r="G46" s="24">
        <f t="shared" si="8"/>
        <v>1</v>
      </c>
      <c r="H46" s="716"/>
      <c r="I46" s="24">
        <f t="shared" si="9"/>
        <v>1</v>
      </c>
      <c r="J46" s="716"/>
      <c r="K46" s="24">
        <f t="shared" si="10"/>
        <v>1</v>
      </c>
      <c r="L46" s="716"/>
      <c r="M46" s="24">
        <f t="shared" si="11"/>
        <v>1</v>
      </c>
      <c r="N46" s="716"/>
      <c r="O46" s="24">
        <f t="shared" si="12"/>
        <v>1</v>
      </c>
      <c r="P46" s="716" t="s">
        <v>3149</v>
      </c>
      <c r="Q46" s="24">
        <f t="shared" si="13"/>
        <v>1.04</v>
      </c>
      <c r="R46" s="713">
        <f t="shared" si="14"/>
        <v>39617</v>
      </c>
      <c r="S46" s="361">
        <f t="shared" si="5"/>
        <v>602</v>
      </c>
    </row>
    <row r="47" spans="1:19">
      <c r="A47" s="3007" t="str">
        <f>面积表!D39</f>
        <v>706</v>
      </c>
      <c r="B47" s="2953">
        <f>面积表!I39</f>
        <v>208.31</v>
      </c>
      <c r="C47" s="24">
        <f t="shared" si="6"/>
        <v>1</v>
      </c>
      <c r="D47" s="716" t="s">
        <v>3144</v>
      </c>
      <c r="E47" s="24">
        <f t="shared" si="7"/>
        <v>1</v>
      </c>
      <c r="F47" s="716"/>
      <c r="G47" s="24">
        <f t="shared" si="8"/>
        <v>1</v>
      </c>
      <c r="H47" s="716"/>
      <c r="I47" s="24">
        <f t="shared" si="9"/>
        <v>1</v>
      </c>
      <c r="J47" s="716"/>
      <c r="K47" s="24">
        <f t="shared" si="10"/>
        <v>1</v>
      </c>
      <c r="L47" s="716"/>
      <c r="M47" s="24">
        <f t="shared" si="11"/>
        <v>1</v>
      </c>
      <c r="N47" s="716"/>
      <c r="O47" s="24">
        <f t="shared" si="12"/>
        <v>1</v>
      </c>
      <c r="P47" s="716" t="s">
        <v>3149</v>
      </c>
      <c r="Q47" s="24">
        <f t="shared" si="13"/>
        <v>1.04</v>
      </c>
      <c r="R47" s="713">
        <f t="shared" si="14"/>
        <v>39617</v>
      </c>
      <c r="S47" s="361">
        <f t="shared" si="5"/>
        <v>825</v>
      </c>
    </row>
    <row r="48" spans="1:19">
      <c r="A48" s="3007" t="str">
        <f>面积表!D40</f>
        <v>707</v>
      </c>
      <c r="B48" s="2953">
        <f>面积表!I40</f>
        <v>222.93</v>
      </c>
      <c r="C48" s="24">
        <f t="shared" si="6"/>
        <v>1</v>
      </c>
      <c r="D48" s="716" t="s">
        <v>3144</v>
      </c>
      <c r="E48" s="24">
        <f t="shared" si="7"/>
        <v>1</v>
      </c>
      <c r="F48" s="716"/>
      <c r="G48" s="24">
        <f t="shared" si="8"/>
        <v>1</v>
      </c>
      <c r="H48" s="716"/>
      <c r="I48" s="24">
        <f t="shared" si="9"/>
        <v>1</v>
      </c>
      <c r="J48" s="716"/>
      <c r="K48" s="24">
        <f t="shared" si="10"/>
        <v>1</v>
      </c>
      <c r="L48" s="716"/>
      <c r="M48" s="24">
        <f t="shared" si="11"/>
        <v>1</v>
      </c>
      <c r="N48" s="716"/>
      <c r="O48" s="24">
        <f t="shared" si="12"/>
        <v>1</v>
      </c>
      <c r="P48" s="716" t="s">
        <v>3149</v>
      </c>
      <c r="Q48" s="24">
        <f t="shared" si="13"/>
        <v>1.04</v>
      </c>
      <c r="R48" s="713">
        <f t="shared" si="14"/>
        <v>39617</v>
      </c>
      <c r="S48" s="361">
        <f t="shared" si="5"/>
        <v>883</v>
      </c>
    </row>
    <row r="49" spans="1:19">
      <c r="A49" s="3007" t="str">
        <f>面积表!D41</f>
        <v>708</v>
      </c>
      <c r="B49" s="2953">
        <f>面积表!I41</f>
        <v>152.03</v>
      </c>
      <c r="C49" s="24">
        <f t="shared" si="6"/>
        <v>1</v>
      </c>
      <c r="D49" s="716" t="s">
        <v>3144</v>
      </c>
      <c r="E49" s="24">
        <f t="shared" si="7"/>
        <v>1</v>
      </c>
      <c r="F49" s="716"/>
      <c r="G49" s="24">
        <f t="shared" si="8"/>
        <v>1</v>
      </c>
      <c r="H49" s="716"/>
      <c r="I49" s="24">
        <f t="shared" si="9"/>
        <v>1</v>
      </c>
      <c r="J49" s="716"/>
      <c r="K49" s="24">
        <f t="shared" si="10"/>
        <v>1</v>
      </c>
      <c r="L49" s="716"/>
      <c r="M49" s="24">
        <f t="shared" si="11"/>
        <v>1</v>
      </c>
      <c r="N49" s="716"/>
      <c r="O49" s="24">
        <f t="shared" si="12"/>
        <v>1</v>
      </c>
      <c r="P49" s="716" t="s">
        <v>3149</v>
      </c>
      <c r="Q49" s="24">
        <f t="shared" si="13"/>
        <v>1.04</v>
      </c>
      <c r="R49" s="713">
        <f t="shared" si="14"/>
        <v>39617</v>
      </c>
      <c r="S49" s="361">
        <f t="shared" si="5"/>
        <v>602</v>
      </c>
    </row>
    <row r="50" spans="1:19">
      <c r="A50" s="3007" t="str">
        <f>面积表!D42</f>
        <v>709</v>
      </c>
      <c r="B50" s="2953">
        <f>面积表!I42</f>
        <v>116.9</v>
      </c>
      <c r="C50" s="24">
        <f t="shared" si="6"/>
        <v>1</v>
      </c>
      <c r="D50" s="716" t="s">
        <v>3144</v>
      </c>
      <c r="E50" s="24">
        <f t="shared" si="7"/>
        <v>1</v>
      </c>
      <c r="F50" s="716"/>
      <c r="G50" s="24">
        <f t="shared" si="8"/>
        <v>1</v>
      </c>
      <c r="H50" s="716"/>
      <c r="I50" s="24">
        <f t="shared" si="9"/>
        <v>1</v>
      </c>
      <c r="J50" s="716"/>
      <c r="K50" s="24">
        <f t="shared" si="10"/>
        <v>1</v>
      </c>
      <c r="L50" s="716"/>
      <c r="M50" s="24">
        <f t="shared" si="11"/>
        <v>1</v>
      </c>
      <c r="N50" s="716"/>
      <c r="O50" s="24">
        <f t="shared" si="12"/>
        <v>1</v>
      </c>
      <c r="P50" s="716" t="s">
        <v>3149</v>
      </c>
      <c r="Q50" s="24">
        <f t="shared" si="13"/>
        <v>1.04</v>
      </c>
      <c r="R50" s="713">
        <f t="shared" si="14"/>
        <v>39617</v>
      </c>
      <c r="S50" s="361">
        <f t="shared" si="5"/>
        <v>463</v>
      </c>
    </row>
    <row r="51" spans="1:19">
      <c r="A51" s="3007" t="str">
        <f>面积表!D43</f>
        <v>801</v>
      </c>
      <c r="B51" s="2953">
        <f>面积表!I43</f>
        <v>160.65</v>
      </c>
      <c r="C51" s="24">
        <f t="shared" si="6"/>
        <v>1</v>
      </c>
      <c r="D51" s="716" t="s">
        <v>3144</v>
      </c>
      <c r="E51" s="24">
        <f t="shared" si="7"/>
        <v>1</v>
      </c>
      <c r="F51" s="716"/>
      <c r="G51" s="24">
        <f t="shared" si="8"/>
        <v>1</v>
      </c>
      <c r="H51" s="716"/>
      <c r="I51" s="24">
        <f t="shared" si="9"/>
        <v>1</v>
      </c>
      <c r="J51" s="716"/>
      <c r="K51" s="24">
        <f t="shared" si="10"/>
        <v>1</v>
      </c>
      <c r="L51" s="716"/>
      <c r="M51" s="24">
        <f t="shared" si="11"/>
        <v>1</v>
      </c>
      <c r="N51" s="716"/>
      <c r="O51" s="24">
        <f t="shared" si="12"/>
        <v>1</v>
      </c>
      <c r="P51" s="716" t="s">
        <v>3149</v>
      </c>
      <c r="Q51" s="24">
        <f t="shared" si="13"/>
        <v>1.04</v>
      </c>
      <c r="R51" s="713">
        <f t="shared" si="14"/>
        <v>39617</v>
      </c>
      <c r="S51" s="361">
        <f t="shared" si="5"/>
        <v>636</v>
      </c>
    </row>
    <row r="52" spans="1:19">
      <c r="A52" s="3007" t="str">
        <f>面积表!D44</f>
        <v>802</v>
      </c>
      <c r="B52" s="2953">
        <f>面积表!I44</f>
        <v>152</v>
      </c>
      <c r="C52" s="24">
        <f t="shared" si="6"/>
        <v>1</v>
      </c>
      <c r="D52" s="716" t="s">
        <v>3144</v>
      </c>
      <c r="E52" s="24">
        <f t="shared" si="7"/>
        <v>1</v>
      </c>
      <c r="F52" s="716"/>
      <c r="G52" s="24">
        <f t="shared" si="8"/>
        <v>1</v>
      </c>
      <c r="H52" s="716"/>
      <c r="I52" s="24">
        <f t="shared" si="9"/>
        <v>1</v>
      </c>
      <c r="J52" s="716"/>
      <c r="K52" s="24">
        <f t="shared" si="10"/>
        <v>1</v>
      </c>
      <c r="L52" s="716"/>
      <c r="M52" s="24">
        <f t="shared" si="11"/>
        <v>1</v>
      </c>
      <c r="N52" s="716"/>
      <c r="O52" s="24">
        <f t="shared" si="12"/>
        <v>1</v>
      </c>
      <c r="P52" s="716" t="s">
        <v>3149</v>
      </c>
      <c r="Q52" s="24">
        <f t="shared" si="13"/>
        <v>1.04</v>
      </c>
      <c r="R52" s="713">
        <f t="shared" si="14"/>
        <v>39617</v>
      </c>
      <c r="S52" s="361">
        <f t="shared" si="5"/>
        <v>602</v>
      </c>
    </row>
    <row r="53" spans="1:19">
      <c r="A53" s="3007" t="str">
        <f>面积表!D45</f>
        <v>803</v>
      </c>
      <c r="B53" s="2953">
        <f>面积表!I45</f>
        <v>152</v>
      </c>
      <c r="C53" s="24">
        <f t="shared" si="6"/>
        <v>1</v>
      </c>
      <c r="D53" s="716" t="s">
        <v>3144</v>
      </c>
      <c r="E53" s="24">
        <f t="shared" si="7"/>
        <v>1</v>
      </c>
      <c r="F53" s="716"/>
      <c r="G53" s="24">
        <f t="shared" si="8"/>
        <v>1</v>
      </c>
      <c r="H53" s="716"/>
      <c r="I53" s="24">
        <f t="shared" si="9"/>
        <v>1</v>
      </c>
      <c r="J53" s="716"/>
      <c r="K53" s="24">
        <f t="shared" si="10"/>
        <v>1</v>
      </c>
      <c r="L53" s="716"/>
      <c r="M53" s="24">
        <f t="shared" si="11"/>
        <v>1</v>
      </c>
      <c r="N53" s="716"/>
      <c r="O53" s="24">
        <f t="shared" si="12"/>
        <v>1</v>
      </c>
      <c r="P53" s="716" t="s">
        <v>3149</v>
      </c>
      <c r="Q53" s="24">
        <f t="shared" si="13"/>
        <v>1.04</v>
      </c>
      <c r="R53" s="713">
        <f t="shared" si="14"/>
        <v>39617</v>
      </c>
      <c r="S53" s="361">
        <f t="shared" si="5"/>
        <v>602</v>
      </c>
    </row>
    <row r="54" spans="1:19">
      <c r="A54" s="3007" t="str">
        <f>面积表!D46</f>
        <v>804</v>
      </c>
      <c r="B54" s="2953">
        <f>面积表!I46</f>
        <v>152</v>
      </c>
      <c r="C54" s="24">
        <f t="shared" si="6"/>
        <v>1</v>
      </c>
      <c r="D54" s="716" t="s">
        <v>3144</v>
      </c>
      <c r="E54" s="24">
        <f t="shared" si="7"/>
        <v>1</v>
      </c>
      <c r="F54" s="716"/>
      <c r="G54" s="24">
        <f t="shared" si="8"/>
        <v>1</v>
      </c>
      <c r="H54" s="716"/>
      <c r="I54" s="24">
        <f t="shared" si="9"/>
        <v>1</v>
      </c>
      <c r="J54" s="716"/>
      <c r="K54" s="24">
        <f t="shared" si="10"/>
        <v>1</v>
      </c>
      <c r="L54" s="716"/>
      <c r="M54" s="24">
        <f t="shared" si="11"/>
        <v>1</v>
      </c>
      <c r="N54" s="716"/>
      <c r="O54" s="24">
        <f t="shared" si="12"/>
        <v>1</v>
      </c>
      <c r="P54" s="716" t="s">
        <v>3149</v>
      </c>
      <c r="Q54" s="24">
        <f t="shared" si="13"/>
        <v>1.04</v>
      </c>
      <c r="R54" s="713">
        <f t="shared" si="14"/>
        <v>39617</v>
      </c>
      <c r="S54" s="361">
        <f t="shared" si="5"/>
        <v>602</v>
      </c>
    </row>
    <row r="55" spans="1:19">
      <c r="A55" s="3007" t="str">
        <f>面积表!D47</f>
        <v>805</v>
      </c>
      <c r="B55" s="2953">
        <f>面积表!I47</f>
        <v>152</v>
      </c>
      <c r="C55" s="24">
        <f t="shared" si="6"/>
        <v>1</v>
      </c>
      <c r="D55" s="716" t="s">
        <v>3144</v>
      </c>
      <c r="E55" s="24">
        <f t="shared" si="7"/>
        <v>1</v>
      </c>
      <c r="F55" s="716"/>
      <c r="G55" s="24">
        <f t="shared" si="8"/>
        <v>1</v>
      </c>
      <c r="H55" s="716"/>
      <c r="I55" s="24">
        <f t="shared" si="9"/>
        <v>1</v>
      </c>
      <c r="J55" s="716"/>
      <c r="K55" s="24">
        <f t="shared" si="10"/>
        <v>1</v>
      </c>
      <c r="L55" s="716"/>
      <c r="M55" s="24">
        <f t="shared" si="11"/>
        <v>1</v>
      </c>
      <c r="N55" s="716"/>
      <c r="O55" s="24">
        <f t="shared" si="12"/>
        <v>1</v>
      </c>
      <c r="P55" s="716" t="s">
        <v>3149</v>
      </c>
      <c r="Q55" s="24">
        <f t="shared" si="13"/>
        <v>1.04</v>
      </c>
      <c r="R55" s="713">
        <f t="shared" si="14"/>
        <v>39617</v>
      </c>
      <c r="S55" s="361">
        <f t="shared" si="5"/>
        <v>602</v>
      </c>
    </row>
    <row r="56" spans="1:19">
      <c r="A56" s="3007" t="str">
        <f>面积表!D48</f>
        <v>806</v>
      </c>
      <c r="B56" s="2953">
        <f>面积表!I48</f>
        <v>208.31</v>
      </c>
      <c r="C56" s="24">
        <f t="shared" si="6"/>
        <v>1</v>
      </c>
      <c r="D56" s="716" t="s">
        <v>3144</v>
      </c>
      <c r="E56" s="24">
        <f t="shared" si="7"/>
        <v>1</v>
      </c>
      <c r="F56" s="716"/>
      <c r="G56" s="24">
        <f t="shared" si="8"/>
        <v>1</v>
      </c>
      <c r="H56" s="716"/>
      <c r="I56" s="24">
        <f t="shared" si="9"/>
        <v>1</v>
      </c>
      <c r="J56" s="716"/>
      <c r="K56" s="24">
        <f t="shared" si="10"/>
        <v>1</v>
      </c>
      <c r="L56" s="716"/>
      <c r="M56" s="24">
        <f t="shared" si="11"/>
        <v>1</v>
      </c>
      <c r="N56" s="716"/>
      <c r="O56" s="24">
        <f t="shared" si="12"/>
        <v>1</v>
      </c>
      <c r="P56" s="716" t="s">
        <v>3149</v>
      </c>
      <c r="Q56" s="24">
        <f t="shared" si="13"/>
        <v>1.04</v>
      </c>
      <c r="R56" s="713">
        <f t="shared" si="14"/>
        <v>39617</v>
      </c>
      <c r="S56" s="361">
        <f t="shared" si="5"/>
        <v>825</v>
      </c>
    </row>
    <row r="57" spans="1:19">
      <c r="A57" s="3007" t="str">
        <f>面积表!D49</f>
        <v>807</v>
      </c>
      <c r="B57" s="2953">
        <f>面积表!I49</f>
        <v>222.93</v>
      </c>
      <c r="C57" s="24">
        <f t="shared" si="6"/>
        <v>1</v>
      </c>
      <c r="D57" s="716" t="s">
        <v>3144</v>
      </c>
      <c r="E57" s="24">
        <f t="shared" si="7"/>
        <v>1</v>
      </c>
      <c r="F57" s="716"/>
      <c r="G57" s="24">
        <f t="shared" si="8"/>
        <v>1</v>
      </c>
      <c r="H57" s="716"/>
      <c r="I57" s="24">
        <f t="shared" si="9"/>
        <v>1</v>
      </c>
      <c r="J57" s="716"/>
      <c r="K57" s="24">
        <f t="shared" si="10"/>
        <v>1</v>
      </c>
      <c r="L57" s="716"/>
      <c r="M57" s="24">
        <f t="shared" si="11"/>
        <v>1</v>
      </c>
      <c r="N57" s="716"/>
      <c r="O57" s="24">
        <f t="shared" si="12"/>
        <v>1</v>
      </c>
      <c r="P57" s="716" t="s">
        <v>3149</v>
      </c>
      <c r="Q57" s="24">
        <f t="shared" si="13"/>
        <v>1.04</v>
      </c>
      <c r="R57" s="713">
        <f t="shared" si="14"/>
        <v>39617</v>
      </c>
      <c r="S57" s="361">
        <f t="shared" si="5"/>
        <v>883</v>
      </c>
    </row>
    <row r="58" spans="1:19">
      <c r="A58" s="3007" t="str">
        <f>面积表!D50</f>
        <v>808</v>
      </c>
      <c r="B58" s="2953">
        <f>面积表!I50</f>
        <v>152.03</v>
      </c>
      <c r="C58" s="24">
        <f t="shared" si="6"/>
        <v>1</v>
      </c>
      <c r="D58" s="716" t="s">
        <v>3144</v>
      </c>
      <c r="E58" s="24">
        <f t="shared" si="7"/>
        <v>1</v>
      </c>
      <c r="F58" s="716"/>
      <c r="G58" s="24">
        <f t="shared" si="8"/>
        <v>1</v>
      </c>
      <c r="H58" s="716"/>
      <c r="I58" s="24">
        <f t="shared" si="9"/>
        <v>1</v>
      </c>
      <c r="J58" s="716"/>
      <c r="K58" s="24">
        <f t="shared" si="10"/>
        <v>1</v>
      </c>
      <c r="L58" s="716"/>
      <c r="M58" s="24">
        <f t="shared" si="11"/>
        <v>1</v>
      </c>
      <c r="N58" s="716"/>
      <c r="O58" s="24">
        <f t="shared" si="12"/>
        <v>1</v>
      </c>
      <c r="P58" s="716" t="s">
        <v>3149</v>
      </c>
      <c r="Q58" s="24">
        <f t="shared" si="13"/>
        <v>1.04</v>
      </c>
      <c r="R58" s="713">
        <f t="shared" si="14"/>
        <v>39617</v>
      </c>
      <c r="S58" s="361">
        <f t="shared" si="5"/>
        <v>602</v>
      </c>
    </row>
    <row r="59" spans="1:19">
      <c r="A59" s="3007" t="str">
        <f>面积表!D51</f>
        <v>809</v>
      </c>
      <c r="B59" s="2953">
        <f>面积表!I51</f>
        <v>116.9</v>
      </c>
      <c r="C59" s="24">
        <f t="shared" si="6"/>
        <v>1</v>
      </c>
      <c r="D59" s="716" t="s">
        <v>3144</v>
      </c>
      <c r="E59" s="24">
        <f t="shared" si="7"/>
        <v>1</v>
      </c>
      <c r="F59" s="716"/>
      <c r="G59" s="24">
        <f t="shared" si="8"/>
        <v>1</v>
      </c>
      <c r="H59" s="716"/>
      <c r="I59" s="24">
        <f t="shared" si="9"/>
        <v>1</v>
      </c>
      <c r="J59" s="716"/>
      <c r="K59" s="24">
        <f t="shared" si="10"/>
        <v>1</v>
      </c>
      <c r="L59" s="716"/>
      <c r="M59" s="24">
        <f t="shared" si="11"/>
        <v>1</v>
      </c>
      <c r="N59" s="716"/>
      <c r="O59" s="24">
        <f t="shared" si="12"/>
        <v>1</v>
      </c>
      <c r="P59" s="716" t="s">
        <v>3149</v>
      </c>
      <c r="Q59" s="24">
        <f t="shared" si="13"/>
        <v>1.04</v>
      </c>
      <c r="R59" s="713">
        <f t="shared" si="14"/>
        <v>39617</v>
      </c>
      <c r="S59" s="361">
        <f t="shared" si="5"/>
        <v>463</v>
      </c>
    </row>
    <row r="60" spans="1:19">
      <c r="A60" s="3007" t="str">
        <f>面积表!D52</f>
        <v>901</v>
      </c>
      <c r="B60" s="2953">
        <f>面积表!I52</f>
        <v>160.65</v>
      </c>
      <c r="C60" s="24">
        <f t="shared" si="6"/>
        <v>1</v>
      </c>
      <c r="D60" s="716" t="s">
        <v>3144</v>
      </c>
      <c r="E60" s="24">
        <f t="shared" si="7"/>
        <v>1</v>
      </c>
      <c r="F60" s="716"/>
      <c r="G60" s="24">
        <f t="shared" si="8"/>
        <v>1</v>
      </c>
      <c r="H60" s="716"/>
      <c r="I60" s="24">
        <f t="shared" si="9"/>
        <v>1</v>
      </c>
      <c r="J60" s="716"/>
      <c r="K60" s="24">
        <f t="shared" si="10"/>
        <v>1</v>
      </c>
      <c r="L60" s="716"/>
      <c r="M60" s="24">
        <f t="shared" si="11"/>
        <v>1</v>
      </c>
      <c r="N60" s="716"/>
      <c r="O60" s="24">
        <f t="shared" si="12"/>
        <v>1</v>
      </c>
      <c r="P60" s="716" t="s">
        <v>3149</v>
      </c>
      <c r="Q60" s="24">
        <f t="shared" si="13"/>
        <v>1.04</v>
      </c>
      <c r="R60" s="713">
        <f t="shared" si="14"/>
        <v>39617</v>
      </c>
      <c r="S60" s="361">
        <f t="shared" si="5"/>
        <v>636</v>
      </c>
    </row>
    <row r="61" spans="1:19">
      <c r="A61" s="3007" t="str">
        <f>面积表!D53</f>
        <v>902</v>
      </c>
      <c r="B61" s="2953">
        <f>面积表!I53</f>
        <v>152</v>
      </c>
      <c r="C61" s="24">
        <f t="shared" si="6"/>
        <v>1</v>
      </c>
      <c r="D61" s="716" t="s">
        <v>3144</v>
      </c>
      <c r="E61" s="24">
        <f t="shared" si="7"/>
        <v>1</v>
      </c>
      <c r="F61" s="716"/>
      <c r="G61" s="24">
        <f t="shared" si="8"/>
        <v>1</v>
      </c>
      <c r="H61" s="716"/>
      <c r="I61" s="24">
        <f t="shared" si="9"/>
        <v>1</v>
      </c>
      <c r="J61" s="716"/>
      <c r="K61" s="24">
        <f t="shared" si="10"/>
        <v>1</v>
      </c>
      <c r="L61" s="716"/>
      <c r="M61" s="24">
        <f t="shared" si="11"/>
        <v>1</v>
      </c>
      <c r="N61" s="716"/>
      <c r="O61" s="24">
        <f t="shared" si="12"/>
        <v>1</v>
      </c>
      <c r="P61" s="716" t="s">
        <v>3149</v>
      </c>
      <c r="Q61" s="24">
        <f t="shared" si="13"/>
        <v>1.04</v>
      </c>
      <c r="R61" s="713">
        <f t="shared" si="14"/>
        <v>39617</v>
      </c>
      <c r="S61" s="361">
        <f t="shared" si="5"/>
        <v>602</v>
      </c>
    </row>
    <row r="62" spans="1:19">
      <c r="A62" s="3007" t="str">
        <f>面积表!D54</f>
        <v>903</v>
      </c>
      <c r="B62" s="2953">
        <f>面积表!I54</f>
        <v>152</v>
      </c>
      <c r="C62" s="24">
        <f t="shared" si="6"/>
        <v>1</v>
      </c>
      <c r="D62" s="716" t="s">
        <v>3144</v>
      </c>
      <c r="E62" s="24">
        <f t="shared" si="7"/>
        <v>1</v>
      </c>
      <c r="F62" s="716"/>
      <c r="G62" s="24">
        <f t="shared" si="8"/>
        <v>1</v>
      </c>
      <c r="H62" s="716"/>
      <c r="I62" s="24">
        <f t="shared" si="9"/>
        <v>1</v>
      </c>
      <c r="J62" s="716"/>
      <c r="K62" s="24">
        <f t="shared" si="10"/>
        <v>1</v>
      </c>
      <c r="L62" s="716"/>
      <c r="M62" s="24">
        <f t="shared" si="11"/>
        <v>1</v>
      </c>
      <c r="N62" s="716"/>
      <c r="O62" s="24">
        <f t="shared" si="12"/>
        <v>1</v>
      </c>
      <c r="P62" s="716" t="s">
        <v>3149</v>
      </c>
      <c r="Q62" s="24">
        <f t="shared" si="13"/>
        <v>1.04</v>
      </c>
      <c r="R62" s="713">
        <f t="shared" si="14"/>
        <v>39617</v>
      </c>
      <c r="S62" s="361">
        <f t="shared" si="5"/>
        <v>602</v>
      </c>
    </row>
    <row r="63" spans="1:19">
      <c r="A63" s="3007" t="str">
        <f>面积表!D55</f>
        <v>904</v>
      </c>
      <c r="B63" s="2953">
        <f>面积表!I55</f>
        <v>152</v>
      </c>
      <c r="C63" s="24">
        <f t="shared" si="6"/>
        <v>1</v>
      </c>
      <c r="D63" s="716" t="s">
        <v>3144</v>
      </c>
      <c r="E63" s="24">
        <f t="shared" si="7"/>
        <v>1</v>
      </c>
      <c r="F63" s="716"/>
      <c r="G63" s="24">
        <f t="shared" si="8"/>
        <v>1</v>
      </c>
      <c r="H63" s="716"/>
      <c r="I63" s="24">
        <f t="shared" si="9"/>
        <v>1</v>
      </c>
      <c r="J63" s="716"/>
      <c r="K63" s="24">
        <f t="shared" si="10"/>
        <v>1</v>
      </c>
      <c r="L63" s="716"/>
      <c r="M63" s="24">
        <f t="shared" si="11"/>
        <v>1</v>
      </c>
      <c r="N63" s="716"/>
      <c r="O63" s="24">
        <f t="shared" si="12"/>
        <v>1</v>
      </c>
      <c r="P63" s="716" t="s">
        <v>3149</v>
      </c>
      <c r="Q63" s="24">
        <f t="shared" si="13"/>
        <v>1.04</v>
      </c>
      <c r="R63" s="713">
        <f t="shared" si="14"/>
        <v>39617</v>
      </c>
      <c r="S63" s="361">
        <f t="shared" si="5"/>
        <v>602</v>
      </c>
    </row>
    <row r="64" spans="1:19">
      <c r="A64" s="3007" t="str">
        <f>面积表!D56</f>
        <v>905</v>
      </c>
      <c r="B64" s="2953">
        <f>面积表!I56</f>
        <v>152</v>
      </c>
      <c r="C64" s="24">
        <f t="shared" si="6"/>
        <v>1</v>
      </c>
      <c r="D64" s="716" t="s">
        <v>3144</v>
      </c>
      <c r="E64" s="24">
        <f t="shared" si="7"/>
        <v>1</v>
      </c>
      <c r="F64" s="716"/>
      <c r="G64" s="24">
        <f t="shared" si="8"/>
        <v>1</v>
      </c>
      <c r="H64" s="716"/>
      <c r="I64" s="24">
        <f t="shared" si="9"/>
        <v>1</v>
      </c>
      <c r="J64" s="716"/>
      <c r="K64" s="24">
        <f t="shared" si="10"/>
        <v>1</v>
      </c>
      <c r="L64" s="716"/>
      <c r="M64" s="24">
        <f t="shared" si="11"/>
        <v>1</v>
      </c>
      <c r="N64" s="716"/>
      <c r="O64" s="24">
        <f t="shared" si="12"/>
        <v>1</v>
      </c>
      <c r="P64" s="716" t="s">
        <v>3149</v>
      </c>
      <c r="Q64" s="24">
        <f t="shared" si="13"/>
        <v>1.04</v>
      </c>
      <c r="R64" s="713">
        <f t="shared" si="14"/>
        <v>39617</v>
      </c>
      <c r="S64" s="361">
        <f t="shared" si="5"/>
        <v>602</v>
      </c>
    </row>
    <row r="65" spans="1:19">
      <c r="A65" s="3007" t="str">
        <f>面积表!D57</f>
        <v>906</v>
      </c>
      <c r="B65" s="2953">
        <f>面积表!I57</f>
        <v>208.31</v>
      </c>
      <c r="C65" s="24">
        <f t="shared" si="6"/>
        <v>1</v>
      </c>
      <c r="D65" s="716" t="s">
        <v>3144</v>
      </c>
      <c r="E65" s="24">
        <f t="shared" si="7"/>
        <v>1</v>
      </c>
      <c r="F65" s="716"/>
      <c r="G65" s="24">
        <f t="shared" si="8"/>
        <v>1</v>
      </c>
      <c r="H65" s="716"/>
      <c r="I65" s="24">
        <f t="shared" si="9"/>
        <v>1</v>
      </c>
      <c r="J65" s="716"/>
      <c r="K65" s="24">
        <f t="shared" si="10"/>
        <v>1</v>
      </c>
      <c r="L65" s="716"/>
      <c r="M65" s="24">
        <f t="shared" si="11"/>
        <v>1</v>
      </c>
      <c r="N65" s="716"/>
      <c r="O65" s="24">
        <f t="shared" si="12"/>
        <v>1</v>
      </c>
      <c r="P65" s="716" t="s">
        <v>3149</v>
      </c>
      <c r="Q65" s="24">
        <f t="shared" si="13"/>
        <v>1.04</v>
      </c>
      <c r="R65" s="713">
        <f t="shared" si="14"/>
        <v>39617</v>
      </c>
      <c r="S65" s="361">
        <f t="shared" si="5"/>
        <v>825</v>
      </c>
    </row>
    <row r="66" spans="1:19">
      <c r="A66" s="3007" t="str">
        <f>面积表!D58</f>
        <v>907</v>
      </c>
      <c r="B66" s="2953">
        <f>面积表!I58</f>
        <v>222.93</v>
      </c>
      <c r="C66" s="24">
        <f t="shared" si="6"/>
        <v>1</v>
      </c>
      <c r="D66" s="716" t="s">
        <v>3144</v>
      </c>
      <c r="E66" s="24">
        <f t="shared" si="7"/>
        <v>1</v>
      </c>
      <c r="F66" s="716"/>
      <c r="G66" s="24">
        <f t="shared" si="8"/>
        <v>1</v>
      </c>
      <c r="H66" s="716"/>
      <c r="I66" s="24">
        <f t="shared" si="9"/>
        <v>1</v>
      </c>
      <c r="J66" s="716"/>
      <c r="K66" s="24">
        <f t="shared" si="10"/>
        <v>1</v>
      </c>
      <c r="L66" s="716"/>
      <c r="M66" s="24">
        <f t="shared" si="11"/>
        <v>1</v>
      </c>
      <c r="N66" s="716"/>
      <c r="O66" s="24">
        <f t="shared" si="12"/>
        <v>1</v>
      </c>
      <c r="P66" s="716" t="s">
        <v>3149</v>
      </c>
      <c r="Q66" s="24">
        <f t="shared" si="13"/>
        <v>1.04</v>
      </c>
      <c r="R66" s="713">
        <f t="shared" si="14"/>
        <v>39617</v>
      </c>
      <c r="S66" s="361">
        <f t="shared" si="5"/>
        <v>883</v>
      </c>
    </row>
    <row r="67" spans="1:19">
      <c r="A67" s="3007" t="str">
        <f>面积表!D59</f>
        <v>908</v>
      </c>
      <c r="B67" s="2953">
        <f>面积表!I59</f>
        <v>152.03</v>
      </c>
      <c r="C67" s="24">
        <f t="shared" si="6"/>
        <v>1</v>
      </c>
      <c r="D67" s="716" t="s">
        <v>3144</v>
      </c>
      <c r="E67" s="24">
        <f t="shared" si="7"/>
        <v>1</v>
      </c>
      <c r="F67" s="716"/>
      <c r="G67" s="24">
        <f t="shared" si="8"/>
        <v>1</v>
      </c>
      <c r="H67" s="716"/>
      <c r="I67" s="24">
        <f t="shared" si="9"/>
        <v>1</v>
      </c>
      <c r="J67" s="716"/>
      <c r="K67" s="24">
        <f t="shared" si="10"/>
        <v>1</v>
      </c>
      <c r="L67" s="716"/>
      <c r="M67" s="24">
        <f t="shared" si="11"/>
        <v>1</v>
      </c>
      <c r="N67" s="716"/>
      <c r="O67" s="24">
        <f t="shared" si="12"/>
        <v>1</v>
      </c>
      <c r="P67" s="716" t="s">
        <v>3149</v>
      </c>
      <c r="Q67" s="24">
        <f t="shared" si="13"/>
        <v>1.04</v>
      </c>
      <c r="R67" s="713">
        <f t="shared" si="14"/>
        <v>39617</v>
      </c>
      <c r="S67" s="361">
        <f t="shared" si="5"/>
        <v>602</v>
      </c>
    </row>
    <row r="68" spans="1:19">
      <c r="A68" s="3007" t="str">
        <f>面积表!D60</f>
        <v>909</v>
      </c>
      <c r="B68" s="2953">
        <f>面积表!I60</f>
        <v>116.9</v>
      </c>
      <c r="C68" s="24">
        <f t="shared" si="6"/>
        <v>1</v>
      </c>
      <c r="D68" s="716" t="s">
        <v>3144</v>
      </c>
      <c r="E68" s="24">
        <f t="shared" si="7"/>
        <v>1</v>
      </c>
      <c r="F68" s="716"/>
      <c r="G68" s="24">
        <f t="shared" si="8"/>
        <v>1</v>
      </c>
      <c r="H68" s="716"/>
      <c r="I68" s="24">
        <f t="shared" si="9"/>
        <v>1</v>
      </c>
      <c r="J68" s="716"/>
      <c r="K68" s="24">
        <f t="shared" si="10"/>
        <v>1</v>
      </c>
      <c r="L68" s="716"/>
      <c r="M68" s="24">
        <f t="shared" si="11"/>
        <v>1</v>
      </c>
      <c r="N68" s="716"/>
      <c r="O68" s="24">
        <f t="shared" si="12"/>
        <v>1</v>
      </c>
      <c r="P68" s="716" t="s">
        <v>3149</v>
      </c>
      <c r="Q68" s="24">
        <f t="shared" si="13"/>
        <v>1.04</v>
      </c>
      <c r="R68" s="713">
        <f t="shared" si="14"/>
        <v>39617</v>
      </c>
      <c r="S68" s="361">
        <f t="shared" si="5"/>
        <v>463</v>
      </c>
    </row>
    <row r="69" spans="1:19">
      <c r="A69" s="3007" t="str">
        <f>面积表!D61</f>
        <v>1001</v>
      </c>
      <c r="B69" s="2953">
        <f>面积表!I61</f>
        <v>160.65</v>
      </c>
      <c r="C69" s="24">
        <f t="shared" si="6"/>
        <v>1</v>
      </c>
      <c r="D69" s="716" t="s">
        <v>3144</v>
      </c>
      <c r="E69" s="24">
        <f t="shared" si="7"/>
        <v>1</v>
      </c>
      <c r="F69" s="716"/>
      <c r="G69" s="24">
        <f t="shared" si="8"/>
        <v>1</v>
      </c>
      <c r="H69" s="716"/>
      <c r="I69" s="24">
        <f t="shared" si="9"/>
        <v>1</v>
      </c>
      <c r="J69" s="716"/>
      <c r="K69" s="24">
        <f t="shared" si="10"/>
        <v>1</v>
      </c>
      <c r="L69" s="716"/>
      <c r="M69" s="24">
        <f t="shared" si="11"/>
        <v>1</v>
      </c>
      <c r="N69" s="716"/>
      <c r="O69" s="24">
        <f t="shared" si="12"/>
        <v>1</v>
      </c>
      <c r="P69" s="716" t="s">
        <v>3146</v>
      </c>
      <c r="Q69" s="24">
        <f t="shared" si="13"/>
        <v>1.08</v>
      </c>
      <c r="R69" s="713">
        <f t="shared" si="14"/>
        <v>41140</v>
      </c>
      <c r="S69" s="361">
        <f t="shared" si="5"/>
        <v>661</v>
      </c>
    </row>
    <row r="70" spans="1:19">
      <c r="A70" s="3007" t="str">
        <f>面积表!D62</f>
        <v>1002</v>
      </c>
      <c r="B70" s="2953">
        <f>面积表!I62</f>
        <v>152</v>
      </c>
      <c r="C70" s="24">
        <f t="shared" si="6"/>
        <v>1</v>
      </c>
      <c r="D70" s="716" t="s">
        <v>3144</v>
      </c>
      <c r="E70" s="24">
        <f t="shared" si="7"/>
        <v>1</v>
      </c>
      <c r="F70" s="716"/>
      <c r="G70" s="24">
        <f t="shared" si="8"/>
        <v>1</v>
      </c>
      <c r="H70" s="716"/>
      <c r="I70" s="24">
        <f t="shared" si="9"/>
        <v>1</v>
      </c>
      <c r="J70" s="716"/>
      <c r="K70" s="24">
        <f t="shared" si="10"/>
        <v>1</v>
      </c>
      <c r="L70" s="716"/>
      <c r="M70" s="24">
        <f t="shared" si="11"/>
        <v>1</v>
      </c>
      <c r="N70" s="716"/>
      <c r="O70" s="24">
        <f t="shared" si="12"/>
        <v>1</v>
      </c>
      <c r="P70" s="716" t="s">
        <v>3146</v>
      </c>
      <c r="Q70" s="24">
        <f t="shared" si="13"/>
        <v>1.08</v>
      </c>
      <c r="R70" s="713">
        <f t="shared" si="14"/>
        <v>41140</v>
      </c>
      <c r="S70" s="361">
        <f t="shared" si="5"/>
        <v>625</v>
      </c>
    </row>
    <row r="71" spans="1:19">
      <c r="A71" s="3007" t="str">
        <f>面积表!D63</f>
        <v>1003</v>
      </c>
      <c r="B71" s="2953">
        <f>面积表!I63</f>
        <v>152</v>
      </c>
      <c r="C71" s="24">
        <f t="shared" si="6"/>
        <v>1</v>
      </c>
      <c r="D71" s="716" t="s">
        <v>3144</v>
      </c>
      <c r="E71" s="24">
        <f t="shared" si="7"/>
        <v>1</v>
      </c>
      <c r="F71" s="716"/>
      <c r="G71" s="24">
        <f t="shared" si="8"/>
        <v>1</v>
      </c>
      <c r="H71" s="716"/>
      <c r="I71" s="24">
        <f t="shared" si="9"/>
        <v>1</v>
      </c>
      <c r="J71" s="716"/>
      <c r="K71" s="24">
        <f t="shared" si="10"/>
        <v>1</v>
      </c>
      <c r="L71" s="716"/>
      <c r="M71" s="24">
        <f t="shared" si="11"/>
        <v>1</v>
      </c>
      <c r="N71" s="716"/>
      <c r="O71" s="24">
        <f t="shared" si="12"/>
        <v>1</v>
      </c>
      <c r="P71" s="716" t="s">
        <v>3146</v>
      </c>
      <c r="Q71" s="24">
        <f t="shared" si="13"/>
        <v>1.08</v>
      </c>
      <c r="R71" s="713">
        <f t="shared" si="14"/>
        <v>41140</v>
      </c>
      <c r="S71" s="361">
        <f t="shared" si="5"/>
        <v>625</v>
      </c>
    </row>
    <row r="72" spans="1:19">
      <c r="A72" s="3007" t="str">
        <f>面积表!D64</f>
        <v>1004</v>
      </c>
      <c r="B72" s="2953">
        <f>面积表!I64</f>
        <v>152</v>
      </c>
      <c r="C72" s="24">
        <f t="shared" si="6"/>
        <v>1</v>
      </c>
      <c r="D72" s="716" t="s">
        <v>3144</v>
      </c>
      <c r="E72" s="24">
        <f t="shared" si="7"/>
        <v>1</v>
      </c>
      <c r="F72" s="716"/>
      <c r="G72" s="24">
        <f t="shared" si="8"/>
        <v>1</v>
      </c>
      <c r="H72" s="716"/>
      <c r="I72" s="24">
        <f t="shared" si="9"/>
        <v>1</v>
      </c>
      <c r="J72" s="716"/>
      <c r="K72" s="24">
        <f t="shared" si="10"/>
        <v>1</v>
      </c>
      <c r="L72" s="716"/>
      <c r="M72" s="24">
        <f t="shared" si="11"/>
        <v>1</v>
      </c>
      <c r="N72" s="716"/>
      <c r="O72" s="24">
        <f t="shared" si="12"/>
        <v>1</v>
      </c>
      <c r="P72" s="716" t="s">
        <v>3146</v>
      </c>
      <c r="Q72" s="24">
        <f t="shared" si="13"/>
        <v>1.08</v>
      </c>
      <c r="R72" s="713">
        <f t="shared" si="14"/>
        <v>41140</v>
      </c>
      <c r="S72" s="361">
        <f t="shared" si="5"/>
        <v>625</v>
      </c>
    </row>
    <row r="73" spans="1:19">
      <c r="A73" s="3007" t="str">
        <f>面积表!D65</f>
        <v>1005</v>
      </c>
      <c r="B73" s="2953">
        <f>面积表!I65</f>
        <v>152</v>
      </c>
      <c r="C73" s="24">
        <f t="shared" si="6"/>
        <v>1</v>
      </c>
      <c r="D73" s="716" t="s">
        <v>3144</v>
      </c>
      <c r="E73" s="24">
        <f t="shared" si="7"/>
        <v>1</v>
      </c>
      <c r="F73" s="716"/>
      <c r="G73" s="24">
        <f t="shared" si="8"/>
        <v>1</v>
      </c>
      <c r="H73" s="716"/>
      <c r="I73" s="24">
        <f t="shared" si="9"/>
        <v>1</v>
      </c>
      <c r="J73" s="716"/>
      <c r="K73" s="24">
        <f t="shared" si="10"/>
        <v>1</v>
      </c>
      <c r="L73" s="716"/>
      <c r="M73" s="24">
        <f t="shared" si="11"/>
        <v>1</v>
      </c>
      <c r="N73" s="716"/>
      <c r="O73" s="24">
        <f t="shared" si="12"/>
        <v>1</v>
      </c>
      <c r="P73" s="716" t="s">
        <v>3146</v>
      </c>
      <c r="Q73" s="24">
        <f t="shared" si="13"/>
        <v>1.08</v>
      </c>
      <c r="R73" s="713">
        <f t="shared" si="14"/>
        <v>41140</v>
      </c>
      <c r="S73" s="361">
        <f t="shared" si="5"/>
        <v>625</v>
      </c>
    </row>
    <row r="74" spans="1:19">
      <c r="A74" s="3007" t="str">
        <f>面积表!D66</f>
        <v>1006</v>
      </c>
      <c r="B74" s="2953">
        <f>面积表!I66</f>
        <v>208.31</v>
      </c>
      <c r="C74" s="24">
        <f t="shared" si="6"/>
        <v>1</v>
      </c>
      <c r="D74" s="716" t="s">
        <v>3144</v>
      </c>
      <c r="E74" s="24">
        <f t="shared" si="7"/>
        <v>1</v>
      </c>
      <c r="F74" s="716"/>
      <c r="G74" s="24">
        <f t="shared" si="8"/>
        <v>1</v>
      </c>
      <c r="H74" s="716"/>
      <c r="I74" s="24">
        <f t="shared" si="9"/>
        <v>1</v>
      </c>
      <c r="J74" s="716"/>
      <c r="K74" s="24">
        <f t="shared" si="10"/>
        <v>1</v>
      </c>
      <c r="L74" s="716"/>
      <c r="M74" s="24">
        <f t="shared" si="11"/>
        <v>1</v>
      </c>
      <c r="N74" s="716"/>
      <c r="O74" s="24">
        <f t="shared" si="12"/>
        <v>1</v>
      </c>
      <c r="P74" s="716" t="s">
        <v>3146</v>
      </c>
      <c r="Q74" s="24">
        <f t="shared" si="13"/>
        <v>1.08</v>
      </c>
      <c r="R74" s="713">
        <f t="shared" si="14"/>
        <v>41140</v>
      </c>
      <c r="S74" s="361">
        <f t="shared" si="5"/>
        <v>857</v>
      </c>
    </row>
    <row r="75" spans="1:19">
      <c r="A75" s="3007" t="str">
        <f>面积表!D67</f>
        <v>1007</v>
      </c>
      <c r="B75" s="2953">
        <f>面积表!I67</f>
        <v>222.93</v>
      </c>
      <c r="C75" s="24">
        <f t="shared" si="6"/>
        <v>1</v>
      </c>
      <c r="D75" s="716" t="s">
        <v>3144</v>
      </c>
      <c r="E75" s="24">
        <f t="shared" si="7"/>
        <v>1</v>
      </c>
      <c r="F75" s="716"/>
      <c r="G75" s="24">
        <f t="shared" si="8"/>
        <v>1</v>
      </c>
      <c r="H75" s="716"/>
      <c r="I75" s="24">
        <f t="shared" si="9"/>
        <v>1</v>
      </c>
      <c r="J75" s="716"/>
      <c r="K75" s="24">
        <f t="shared" si="10"/>
        <v>1</v>
      </c>
      <c r="L75" s="716"/>
      <c r="M75" s="24">
        <f t="shared" si="11"/>
        <v>1</v>
      </c>
      <c r="N75" s="716"/>
      <c r="O75" s="24">
        <f t="shared" si="12"/>
        <v>1</v>
      </c>
      <c r="P75" s="716" t="s">
        <v>3146</v>
      </c>
      <c r="Q75" s="24">
        <f t="shared" si="13"/>
        <v>1.08</v>
      </c>
      <c r="R75" s="713">
        <f t="shared" si="14"/>
        <v>41140</v>
      </c>
      <c r="S75" s="361">
        <f t="shared" si="5"/>
        <v>917</v>
      </c>
    </row>
    <row r="76" spans="1:19">
      <c r="A76" s="3007" t="str">
        <f>面积表!D68</f>
        <v>1008</v>
      </c>
      <c r="B76" s="2953">
        <f>面积表!I68</f>
        <v>152.03</v>
      </c>
      <c r="C76" s="24">
        <f t="shared" si="6"/>
        <v>1</v>
      </c>
      <c r="D76" s="716" t="s">
        <v>3144</v>
      </c>
      <c r="E76" s="24">
        <f t="shared" si="7"/>
        <v>1</v>
      </c>
      <c r="F76" s="716"/>
      <c r="G76" s="24">
        <f t="shared" si="8"/>
        <v>1</v>
      </c>
      <c r="H76" s="716"/>
      <c r="I76" s="24">
        <f t="shared" si="9"/>
        <v>1</v>
      </c>
      <c r="J76" s="716"/>
      <c r="K76" s="24">
        <f t="shared" si="10"/>
        <v>1</v>
      </c>
      <c r="L76" s="716"/>
      <c r="M76" s="24">
        <f t="shared" si="11"/>
        <v>1</v>
      </c>
      <c r="N76" s="716"/>
      <c r="O76" s="24">
        <f t="shared" si="12"/>
        <v>1</v>
      </c>
      <c r="P76" s="716" t="s">
        <v>3146</v>
      </c>
      <c r="Q76" s="24">
        <f t="shared" si="13"/>
        <v>1.08</v>
      </c>
      <c r="R76" s="713">
        <f t="shared" si="14"/>
        <v>41140</v>
      </c>
      <c r="S76" s="361">
        <f t="shared" si="5"/>
        <v>625</v>
      </c>
    </row>
    <row r="77" spans="1:19">
      <c r="A77" s="3007" t="str">
        <f>面积表!D69</f>
        <v>1009</v>
      </c>
      <c r="B77" s="2953">
        <f>面积表!I69</f>
        <v>116.9</v>
      </c>
      <c r="C77" s="24">
        <f t="shared" si="6"/>
        <v>1</v>
      </c>
      <c r="D77" s="716" t="s">
        <v>3144</v>
      </c>
      <c r="E77" s="24">
        <f t="shared" si="7"/>
        <v>1</v>
      </c>
      <c r="F77" s="716"/>
      <c r="G77" s="24">
        <f t="shared" si="8"/>
        <v>1</v>
      </c>
      <c r="H77" s="716"/>
      <c r="I77" s="24">
        <f t="shared" si="9"/>
        <v>1</v>
      </c>
      <c r="J77" s="716"/>
      <c r="K77" s="24">
        <f t="shared" si="10"/>
        <v>1</v>
      </c>
      <c r="L77" s="716"/>
      <c r="M77" s="24">
        <f t="shared" si="11"/>
        <v>1</v>
      </c>
      <c r="N77" s="716"/>
      <c r="O77" s="24">
        <f t="shared" si="12"/>
        <v>1</v>
      </c>
      <c r="P77" s="716" t="s">
        <v>3146</v>
      </c>
      <c r="Q77" s="24">
        <f t="shared" si="13"/>
        <v>1.08</v>
      </c>
      <c r="R77" s="713">
        <f t="shared" si="14"/>
        <v>41140</v>
      </c>
      <c r="S77" s="361">
        <f t="shared" si="5"/>
        <v>481</v>
      </c>
    </row>
    <row r="78" spans="1:19">
      <c r="A78" s="3007" t="str">
        <f>面积表!D70</f>
        <v>1101</v>
      </c>
      <c r="B78" s="2953">
        <f>面积表!I70</f>
        <v>160.65</v>
      </c>
      <c r="C78" s="24">
        <f t="shared" si="6"/>
        <v>1</v>
      </c>
      <c r="D78" s="716" t="s">
        <v>3144</v>
      </c>
      <c r="E78" s="24">
        <f t="shared" si="7"/>
        <v>1</v>
      </c>
      <c r="F78" s="716"/>
      <c r="G78" s="24">
        <f t="shared" si="8"/>
        <v>1</v>
      </c>
      <c r="H78" s="716"/>
      <c r="I78" s="24">
        <f t="shared" si="9"/>
        <v>1</v>
      </c>
      <c r="J78" s="716"/>
      <c r="K78" s="24">
        <f t="shared" si="10"/>
        <v>1</v>
      </c>
      <c r="L78" s="716"/>
      <c r="M78" s="24">
        <f t="shared" si="11"/>
        <v>1</v>
      </c>
      <c r="N78" s="716"/>
      <c r="O78" s="24">
        <f t="shared" si="12"/>
        <v>1</v>
      </c>
      <c r="P78" s="716" t="s">
        <v>3146</v>
      </c>
      <c r="Q78" s="24">
        <f t="shared" si="13"/>
        <v>1.08</v>
      </c>
      <c r="R78" s="713">
        <f t="shared" si="14"/>
        <v>41140</v>
      </c>
      <c r="S78" s="361">
        <f t="shared" si="5"/>
        <v>661</v>
      </c>
    </row>
    <row r="79" spans="1:19">
      <c r="A79" s="3007" t="str">
        <f>面积表!D71</f>
        <v>1102</v>
      </c>
      <c r="B79" s="2953">
        <f>面积表!I71</f>
        <v>152</v>
      </c>
      <c r="C79" s="24">
        <f t="shared" si="6"/>
        <v>1</v>
      </c>
      <c r="D79" s="716" t="s">
        <v>3144</v>
      </c>
      <c r="E79" s="24">
        <f t="shared" si="7"/>
        <v>1</v>
      </c>
      <c r="F79" s="716"/>
      <c r="G79" s="24">
        <f t="shared" si="8"/>
        <v>1</v>
      </c>
      <c r="H79" s="716"/>
      <c r="I79" s="24">
        <f t="shared" si="9"/>
        <v>1</v>
      </c>
      <c r="J79" s="716"/>
      <c r="K79" s="24">
        <f t="shared" si="10"/>
        <v>1</v>
      </c>
      <c r="L79" s="716"/>
      <c r="M79" s="24">
        <f t="shared" si="11"/>
        <v>1</v>
      </c>
      <c r="N79" s="716"/>
      <c r="O79" s="24">
        <f t="shared" si="12"/>
        <v>1</v>
      </c>
      <c r="P79" s="716" t="s">
        <v>3146</v>
      </c>
      <c r="Q79" s="24">
        <f t="shared" si="13"/>
        <v>1.08</v>
      </c>
      <c r="R79" s="713">
        <f t="shared" si="14"/>
        <v>41140</v>
      </c>
      <c r="S79" s="361">
        <f t="shared" si="5"/>
        <v>625</v>
      </c>
    </row>
    <row r="80" spans="1:19">
      <c r="A80" s="3007" t="str">
        <f>面积表!D72</f>
        <v>1103</v>
      </c>
      <c r="B80" s="2953">
        <f>面积表!I72</f>
        <v>152</v>
      </c>
      <c r="C80" s="24">
        <f t="shared" si="6"/>
        <v>1</v>
      </c>
      <c r="D80" s="716" t="s">
        <v>3144</v>
      </c>
      <c r="E80" s="24">
        <f t="shared" si="7"/>
        <v>1</v>
      </c>
      <c r="F80" s="716"/>
      <c r="G80" s="24">
        <f t="shared" si="8"/>
        <v>1</v>
      </c>
      <c r="H80" s="716"/>
      <c r="I80" s="24">
        <f t="shared" si="9"/>
        <v>1</v>
      </c>
      <c r="J80" s="716"/>
      <c r="K80" s="24">
        <f t="shared" si="10"/>
        <v>1</v>
      </c>
      <c r="L80" s="716"/>
      <c r="M80" s="24">
        <f t="shared" si="11"/>
        <v>1</v>
      </c>
      <c r="N80" s="716"/>
      <c r="O80" s="24">
        <f t="shared" si="12"/>
        <v>1</v>
      </c>
      <c r="P80" s="716" t="s">
        <v>3146</v>
      </c>
      <c r="Q80" s="24">
        <f t="shared" si="13"/>
        <v>1.08</v>
      </c>
      <c r="R80" s="713">
        <f t="shared" si="14"/>
        <v>41140</v>
      </c>
      <c r="S80" s="361">
        <f t="shared" si="5"/>
        <v>625</v>
      </c>
    </row>
    <row r="81" spans="1:19">
      <c r="A81" s="3007" t="str">
        <f>面积表!D73</f>
        <v>1104</v>
      </c>
      <c r="B81" s="2953">
        <f>面积表!I73</f>
        <v>152</v>
      </c>
      <c r="C81" s="24">
        <f t="shared" si="6"/>
        <v>1</v>
      </c>
      <c r="D81" s="716" t="s">
        <v>3144</v>
      </c>
      <c r="E81" s="24">
        <f t="shared" si="7"/>
        <v>1</v>
      </c>
      <c r="F81" s="716"/>
      <c r="G81" s="24">
        <f t="shared" si="8"/>
        <v>1</v>
      </c>
      <c r="H81" s="716"/>
      <c r="I81" s="24">
        <f t="shared" si="9"/>
        <v>1</v>
      </c>
      <c r="J81" s="716"/>
      <c r="K81" s="24">
        <f t="shared" si="10"/>
        <v>1</v>
      </c>
      <c r="L81" s="716"/>
      <c r="M81" s="24">
        <f t="shared" si="11"/>
        <v>1</v>
      </c>
      <c r="N81" s="716"/>
      <c r="O81" s="24">
        <f t="shared" si="12"/>
        <v>1</v>
      </c>
      <c r="P81" s="716" t="s">
        <v>3146</v>
      </c>
      <c r="Q81" s="24">
        <f t="shared" si="13"/>
        <v>1.08</v>
      </c>
      <c r="R81" s="713">
        <f t="shared" si="14"/>
        <v>41140</v>
      </c>
      <c r="S81" s="361">
        <f t="shared" si="5"/>
        <v>625</v>
      </c>
    </row>
    <row r="82" spans="1:19">
      <c r="A82" s="3007" t="str">
        <f>面积表!D74</f>
        <v>1105</v>
      </c>
      <c r="B82" s="2953">
        <f>面积表!I74</f>
        <v>152</v>
      </c>
      <c r="C82" s="24">
        <f t="shared" si="6"/>
        <v>1</v>
      </c>
      <c r="D82" s="716" t="s">
        <v>3144</v>
      </c>
      <c r="E82" s="24">
        <f t="shared" si="7"/>
        <v>1</v>
      </c>
      <c r="F82" s="716"/>
      <c r="G82" s="24">
        <f t="shared" si="8"/>
        <v>1</v>
      </c>
      <c r="H82" s="716"/>
      <c r="I82" s="24">
        <f t="shared" si="9"/>
        <v>1</v>
      </c>
      <c r="J82" s="716"/>
      <c r="K82" s="24">
        <f t="shared" si="10"/>
        <v>1</v>
      </c>
      <c r="L82" s="716"/>
      <c r="M82" s="24">
        <f t="shared" si="11"/>
        <v>1</v>
      </c>
      <c r="N82" s="716"/>
      <c r="O82" s="24">
        <f t="shared" si="12"/>
        <v>1</v>
      </c>
      <c r="P82" s="716" t="s">
        <v>3146</v>
      </c>
      <c r="Q82" s="24">
        <f t="shared" si="13"/>
        <v>1.08</v>
      </c>
      <c r="R82" s="713">
        <f t="shared" si="14"/>
        <v>41140</v>
      </c>
      <c r="S82" s="361">
        <f t="shared" si="5"/>
        <v>625</v>
      </c>
    </row>
    <row r="83" spans="1:19">
      <c r="A83" s="3007" t="str">
        <f>面积表!D75</f>
        <v>1106</v>
      </c>
      <c r="B83" s="2953">
        <f>面积表!I75</f>
        <v>208.31</v>
      </c>
      <c r="C83" s="24">
        <f t="shared" si="6"/>
        <v>1</v>
      </c>
      <c r="D83" s="716" t="s">
        <v>3144</v>
      </c>
      <c r="E83" s="24">
        <f t="shared" si="7"/>
        <v>1</v>
      </c>
      <c r="F83" s="716"/>
      <c r="G83" s="24">
        <f t="shared" si="8"/>
        <v>1</v>
      </c>
      <c r="H83" s="716"/>
      <c r="I83" s="24">
        <f t="shared" si="9"/>
        <v>1</v>
      </c>
      <c r="J83" s="716"/>
      <c r="K83" s="24">
        <f t="shared" si="10"/>
        <v>1</v>
      </c>
      <c r="L83" s="716"/>
      <c r="M83" s="24">
        <f t="shared" si="11"/>
        <v>1</v>
      </c>
      <c r="N83" s="716"/>
      <c r="O83" s="24">
        <f t="shared" si="12"/>
        <v>1</v>
      </c>
      <c r="P83" s="716" t="s">
        <v>3146</v>
      </c>
      <c r="Q83" s="24">
        <f t="shared" si="13"/>
        <v>1.08</v>
      </c>
      <c r="R83" s="713">
        <f t="shared" si="14"/>
        <v>41140</v>
      </c>
      <c r="S83" s="361">
        <f t="shared" si="5"/>
        <v>857</v>
      </c>
    </row>
    <row r="84" spans="1:19">
      <c r="A84" s="3007" t="str">
        <f>面积表!D76</f>
        <v>1107</v>
      </c>
      <c r="B84" s="2953">
        <f>面积表!I76</f>
        <v>222.93</v>
      </c>
      <c r="C84" s="24">
        <f t="shared" si="6"/>
        <v>1</v>
      </c>
      <c r="D84" s="716" t="s">
        <v>3144</v>
      </c>
      <c r="E84" s="24">
        <f t="shared" si="7"/>
        <v>1</v>
      </c>
      <c r="F84" s="716"/>
      <c r="G84" s="24">
        <f t="shared" si="8"/>
        <v>1</v>
      </c>
      <c r="H84" s="716"/>
      <c r="I84" s="24">
        <f t="shared" si="9"/>
        <v>1</v>
      </c>
      <c r="J84" s="716"/>
      <c r="K84" s="24">
        <f t="shared" si="10"/>
        <v>1</v>
      </c>
      <c r="L84" s="716"/>
      <c r="M84" s="24">
        <f t="shared" si="11"/>
        <v>1</v>
      </c>
      <c r="N84" s="716"/>
      <c r="O84" s="24">
        <f t="shared" si="12"/>
        <v>1</v>
      </c>
      <c r="P84" s="716" t="s">
        <v>3146</v>
      </c>
      <c r="Q84" s="24">
        <f t="shared" si="13"/>
        <v>1.08</v>
      </c>
      <c r="R84" s="713">
        <f t="shared" si="14"/>
        <v>41140</v>
      </c>
      <c r="S84" s="361">
        <f t="shared" si="5"/>
        <v>917</v>
      </c>
    </row>
    <row r="85" spans="1:19">
      <c r="A85" s="3007" t="str">
        <f>面积表!D77</f>
        <v>1108</v>
      </c>
      <c r="B85" s="2953">
        <f>面积表!I77</f>
        <v>152.03</v>
      </c>
      <c r="C85" s="24">
        <f t="shared" si="6"/>
        <v>1</v>
      </c>
      <c r="D85" s="716" t="s">
        <v>3144</v>
      </c>
      <c r="E85" s="24">
        <f t="shared" si="7"/>
        <v>1</v>
      </c>
      <c r="F85" s="716"/>
      <c r="G85" s="24">
        <f t="shared" si="8"/>
        <v>1</v>
      </c>
      <c r="H85" s="716"/>
      <c r="I85" s="24">
        <f t="shared" si="9"/>
        <v>1</v>
      </c>
      <c r="J85" s="716"/>
      <c r="K85" s="24">
        <f t="shared" si="10"/>
        <v>1</v>
      </c>
      <c r="L85" s="716"/>
      <c r="M85" s="24">
        <f t="shared" si="11"/>
        <v>1</v>
      </c>
      <c r="N85" s="716"/>
      <c r="O85" s="24">
        <f t="shared" si="12"/>
        <v>1</v>
      </c>
      <c r="P85" s="716" t="s">
        <v>3146</v>
      </c>
      <c r="Q85" s="24">
        <f t="shared" si="13"/>
        <v>1.08</v>
      </c>
      <c r="R85" s="713">
        <f t="shared" si="14"/>
        <v>41140</v>
      </c>
      <c r="S85" s="361">
        <f t="shared" si="5"/>
        <v>625</v>
      </c>
    </row>
    <row r="86" spans="1:19">
      <c r="A86" s="3007" t="str">
        <f>面积表!D78</f>
        <v>1109</v>
      </c>
      <c r="B86" s="2953">
        <f>面积表!I78</f>
        <v>116.9</v>
      </c>
      <c r="C86" s="24">
        <f t="shared" si="6"/>
        <v>1</v>
      </c>
      <c r="D86" s="716" t="s">
        <v>3144</v>
      </c>
      <c r="E86" s="24">
        <f t="shared" si="7"/>
        <v>1</v>
      </c>
      <c r="F86" s="716"/>
      <c r="G86" s="24">
        <f t="shared" si="8"/>
        <v>1</v>
      </c>
      <c r="H86" s="716"/>
      <c r="I86" s="24">
        <f t="shared" si="9"/>
        <v>1</v>
      </c>
      <c r="J86" s="716"/>
      <c r="K86" s="24">
        <f t="shared" si="10"/>
        <v>1</v>
      </c>
      <c r="L86" s="716"/>
      <c r="M86" s="24">
        <f t="shared" si="11"/>
        <v>1</v>
      </c>
      <c r="N86" s="716"/>
      <c r="O86" s="24">
        <f t="shared" si="12"/>
        <v>1</v>
      </c>
      <c r="P86" s="716" t="s">
        <v>3146</v>
      </c>
      <c r="Q86" s="24">
        <f t="shared" si="13"/>
        <v>1.08</v>
      </c>
      <c r="R86" s="713">
        <f t="shared" si="14"/>
        <v>41140</v>
      </c>
      <c r="S86" s="361">
        <f t="shared" si="5"/>
        <v>481</v>
      </c>
    </row>
    <row r="87" spans="1:19">
      <c r="A87" s="3007" t="str">
        <f>面积表!D79</f>
        <v>1201</v>
      </c>
      <c r="B87" s="2953">
        <f>面积表!I79</f>
        <v>160.65</v>
      </c>
      <c r="C87" s="24">
        <f t="shared" si="6"/>
        <v>1</v>
      </c>
      <c r="D87" s="716" t="s">
        <v>3144</v>
      </c>
      <c r="E87" s="24">
        <f t="shared" si="7"/>
        <v>1</v>
      </c>
      <c r="F87" s="716"/>
      <c r="G87" s="24">
        <f t="shared" si="8"/>
        <v>1</v>
      </c>
      <c r="H87" s="716"/>
      <c r="I87" s="24">
        <f t="shared" si="9"/>
        <v>1</v>
      </c>
      <c r="J87" s="716"/>
      <c r="K87" s="24">
        <f t="shared" si="10"/>
        <v>1</v>
      </c>
      <c r="L87" s="716"/>
      <c r="M87" s="24">
        <f t="shared" si="11"/>
        <v>1</v>
      </c>
      <c r="N87" s="716"/>
      <c r="O87" s="24">
        <f t="shared" si="12"/>
        <v>1</v>
      </c>
      <c r="P87" s="716" t="s">
        <v>3146</v>
      </c>
      <c r="Q87" s="24">
        <f t="shared" si="13"/>
        <v>1.08</v>
      </c>
      <c r="R87" s="713">
        <f t="shared" si="14"/>
        <v>41140</v>
      </c>
      <c r="S87" s="361">
        <f t="shared" si="5"/>
        <v>661</v>
      </c>
    </row>
    <row r="88" spans="1:19">
      <c r="A88" s="3007" t="str">
        <f>面积表!D80</f>
        <v>1202</v>
      </c>
      <c r="B88" s="2953">
        <f>面积表!I80</f>
        <v>152</v>
      </c>
      <c r="C88" s="24">
        <f t="shared" si="6"/>
        <v>1</v>
      </c>
      <c r="D88" s="716" t="s">
        <v>3144</v>
      </c>
      <c r="E88" s="24">
        <f t="shared" si="7"/>
        <v>1</v>
      </c>
      <c r="F88" s="716"/>
      <c r="G88" s="24">
        <f t="shared" si="8"/>
        <v>1</v>
      </c>
      <c r="H88" s="716"/>
      <c r="I88" s="24">
        <f t="shared" si="9"/>
        <v>1</v>
      </c>
      <c r="J88" s="716"/>
      <c r="K88" s="24">
        <f t="shared" si="10"/>
        <v>1</v>
      </c>
      <c r="L88" s="716"/>
      <c r="M88" s="24">
        <f t="shared" si="11"/>
        <v>1</v>
      </c>
      <c r="N88" s="716"/>
      <c r="O88" s="24">
        <f t="shared" si="12"/>
        <v>1</v>
      </c>
      <c r="P88" s="716" t="s">
        <v>3146</v>
      </c>
      <c r="Q88" s="24">
        <f t="shared" si="13"/>
        <v>1.08</v>
      </c>
      <c r="R88" s="713">
        <f t="shared" si="14"/>
        <v>41140</v>
      </c>
      <c r="S88" s="361">
        <f t="shared" ref="S88:S151" si="15">ROUND(R88*B88/10000,0)</f>
        <v>625</v>
      </c>
    </row>
    <row r="89" spans="1:19">
      <c r="A89" s="3007" t="str">
        <f>面积表!D81</f>
        <v>1203</v>
      </c>
      <c r="B89" s="2953">
        <f>面积表!I81</f>
        <v>152</v>
      </c>
      <c r="C89" s="24">
        <f t="shared" si="6"/>
        <v>1</v>
      </c>
      <c r="D89" s="716" t="s">
        <v>3144</v>
      </c>
      <c r="E89" s="24">
        <f t="shared" si="7"/>
        <v>1</v>
      </c>
      <c r="F89" s="716"/>
      <c r="G89" s="24">
        <f t="shared" si="8"/>
        <v>1</v>
      </c>
      <c r="H89" s="716"/>
      <c r="I89" s="24">
        <f t="shared" si="9"/>
        <v>1</v>
      </c>
      <c r="J89" s="716"/>
      <c r="K89" s="24">
        <f t="shared" si="10"/>
        <v>1</v>
      </c>
      <c r="L89" s="716"/>
      <c r="M89" s="24">
        <f t="shared" si="11"/>
        <v>1</v>
      </c>
      <c r="N89" s="716"/>
      <c r="O89" s="24">
        <f t="shared" si="12"/>
        <v>1</v>
      </c>
      <c r="P89" s="716" t="s">
        <v>3146</v>
      </c>
      <c r="Q89" s="24">
        <f t="shared" si="13"/>
        <v>1.08</v>
      </c>
      <c r="R89" s="713">
        <f t="shared" si="14"/>
        <v>41140</v>
      </c>
      <c r="S89" s="361">
        <f t="shared" si="15"/>
        <v>625</v>
      </c>
    </row>
    <row r="90" spans="1:19">
      <c r="A90" s="3007" t="str">
        <f>面积表!D82</f>
        <v>1204</v>
      </c>
      <c r="B90" s="2953">
        <f>面积表!I82</f>
        <v>152</v>
      </c>
      <c r="C90" s="24">
        <f t="shared" ref="C90:C153" si="16">IF(B90="",1,(LOOKUP(B90,$3:$3,$4:$4)-LOOKUP($B$24,$3:$3,$4:$4)+100)/100)</f>
        <v>1</v>
      </c>
      <c r="D90" s="716" t="s">
        <v>3144</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3146</v>
      </c>
      <c r="Q90" s="24">
        <f t="shared" ref="Q90:Q153" si="23">(SUMIF($17:$17,P90,$18:$18)-SUMIF($17:$17,$P$24,$18:$18)+100)/100</f>
        <v>1.08</v>
      </c>
      <c r="R90" s="713">
        <f t="shared" ref="R90:R153" si="24">IF(B90="",0,ROUND($R$24*C90*E90*G90*I90*K90*M90*O90*Q90,0))</f>
        <v>41140</v>
      </c>
      <c r="S90" s="361">
        <f t="shared" si="15"/>
        <v>625</v>
      </c>
    </row>
    <row r="91" spans="1:19">
      <c r="A91" s="3007" t="str">
        <f>面积表!D83</f>
        <v>1205</v>
      </c>
      <c r="B91" s="2953">
        <f>面积表!I83</f>
        <v>152</v>
      </c>
      <c r="C91" s="24">
        <f t="shared" si="16"/>
        <v>1</v>
      </c>
      <c r="D91" s="716" t="s">
        <v>3144</v>
      </c>
      <c r="E91" s="24">
        <f t="shared" si="17"/>
        <v>1</v>
      </c>
      <c r="F91" s="716"/>
      <c r="G91" s="24">
        <f t="shared" si="18"/>
        <v>1</v>
      </c>
      <c r="H91" s="716"/>
      <c r="I91" s="24">
        <f t="shared" si="19"/>
        <v>1</v>
      </c>
      <c r="J91" s="716"/>
      <c r="K91" s="24">
        <f t="shared" si="20"/>
        <v>1</v>
      </c>
      <c r="L91" s="716"/>
      <c r="M91" s="24">
        <f t="shared" si="21"/>
        <v>1</v>
      </c>
      <c r="N91" s="716"/>
      <c r="O91" s="24">
        <f t="shared" si="22"/>
        <v>1</v>
      </c>
      <c r="P91" s="716" t="s">
        <v>3146</v>
      </c>
      <c r="Q91" s="24">
        <f t="shared" si="23"/>
        <v>1.08</v>
      </c>
      <c r="R91" s="713">
        <f t="shared" si="24"/>
        <v>41140</v>
      </c>
      <c r="S91" s="361">
        <f t="shared" si="15"/>
        <v>625</v>
      </c>
    </row>
    <row r="92" spans="1:19">
      <c r="A92" s="3007" t="str">
        <f>面积表!D84</f>
        <v>1206</v>
      </c>
      <c r="B92" s="2953">
        <f>面积表!I84</f>
        <v>208.31</v>
      </c>
      <c r="C92" s="24">
        <f t="shared" si="16"/>
        <v>1</v>
      </c>
      <c r="D92" s="716" t="s">
        <v>3144</v>
      </c>
      <c r="E92" s="24">
        <f t="shared" si="17"/>
        <v>1</v>
      </c>
      <c r="F92" s="716"/>
      <c r="G92" s="24">
        <f t="shared" si="18"/>
        <v>1</v>
      </c>
      <c r="H92" s="716"/>
      <c r="I92" s="24">
        <f t="shared" si="19"/>
        <v>1</v>
      </c>
      <c r="J92" s="716"/>
      <c r="K92" s="24">
        <f t="shared" si="20"/>
        <v>1</v>
      </c>
      <c r="L92" s="716"/>
      <c r="M92" s="24">
        <f t="shared" si="21"/>
        <v>1</v>
      </c>
      <c r="N92" s="716"/>
      <c r="O92" s="24">
        <f t="shared" si="22"/>
        <v>1</v>
      </c>
      <c r="P92" s="716" t="s">
        <v>3146</v>
      </c>
      <c r="Q92" s="24">
        <f t="shared" si="23"/>
        <v>1.08</v>
      </c>
      <c r="R92" s="713">
        <f t="shared" si="24"/>
        <v>41140</v>
      </c>
      <c r="S92" s="361">
        <f t="shared" si="15"/>
        <v>857</v>
      </c>
    </row>
    <row r="93" spans="1:19">
      <c r="A93" s="3007" t="str">
        <f>面积表!D85</f>
        <v>1207</v>
      </c>
      <c r="B93" s="2953">
        <f>面积表!I85</f>
        <v>222.93</v>
      </c>
      <c r="C93" s="24">
        <f t="shared" si="16"/>
        <v>1</v>
      </c>
      <c r="D93" s="716" t="s">
        <v>3144</v>
      </c>
      <c r="E93" s="24">
        <f t="shared" si="17"/>
        <v>1</v>
      </c>
      <c r="F93" s="716"/>
      <c r="G93" s="24">
        <f t="shared" si="18"/>
        <v>1</v>
      </c>
      <c r="H93" s="716"/>
      <c r="I93" s="24">
        <f t="shared" si="19"/>
        <v>1</v>
      </c>
      <c r="J93" s="716"/>
      <c r="K93" s="24">
        <f t="shared" si="20"/>
        <v>1</v>
      </c>
      <c r="L93" s="716"/>
      <c r="M93" s="24">
        <f t="shared" si="21"/>
        <v>1</v>
      </c>
      <c r="N93" s="716"/>
      <c r="O93" s="24">
        <f t="shared" si="22"/>
        <v>1</v>
      </c>
      <c r="P93" s="716" t="s">
        <v>3146</v>
      </c>
      <c r="Q93" s="24">
        <f t="shared" si="23"/>
        <v>1.08</v>
      </c>
      <c r="R93" s="713">
        <f t="shared" si="24"/>
        <v>41140</v>
      </c>
      <c r="S93" s="361">
        <f t="shared" si="15"/>
        <v>917</v>
      </c>
    </row>
    <row r="94" spans="1:19">
      <c r="A94" s="3007" t="str">
        <f>面积表!D86</f>
        <v>1208</v>
      </c>
      <c r="B94" s="2953">
        <f>面积表!I86</f>
        <v>152.03</v>
      </c>
      <c r="C94" s="24">
        <f t="shared" si="16"/>
        <v>1</v>
      </c>
      <c r="D94" s="716" t="s">
        <v>3144</v>
      </c>
      <c r="E94" s="24">
        <f t="shared" si="17"/>
        <v>1</v>
      </c>
      <c r="F94" s="716"/>
      <c r="G94" s="24">
        <f t="shared" si="18"/>
        <v>1</v>
      </c>
      <c r="H94" s="716"/>
      <c r="I94" s="24">
        <f t="shared" si="19"/>
        <v>1</v>
      </c>
      <c r="J94" s="716"/>
      <c r="K94" s="24">
        <f t="shared" si="20"/>
        <v>1</v>
      </c>
      <c r="L94" s="716"/>
      <c r="M94" s="24">
        <f t="shared" si="21"/>
        <v>1</v>
      </c>
      <c r="N94" s="716"/>
      <c r="O94" s="24">
        <f t="shared" si="22"/>
        <v>1</v>
      </c>
      <c r="P94" s="716" t="s">
        <v>3146</v>
      </c>
      <c r="Q94" s="24">
        <f t="shared" si="23"/>
        <v>1.08</v>
      </c>
      <c r="R94" s="713">
        <f t="shared" si="24"/>
        <v>41140</v>
      </c>
      <c r="S94" s="361">
        <f t="shared" si="15"/>
        <v>625</v>
      </c>
    </row>
    <row r="95" spans="1:19">
      <c r="A95" s="3007" t="str">
        <f>面积表!D87</f>
        <v>1209</v>
      </c>
      <c r="B95" s="2953">
        <f>面积表!I87</f>
        <v>116.9</v>
      </c>
      <c r="C95" s="24">
        <f t="shared" si="16"/>
        <v>1</v>
      </c>
      <c r="D95" s="716" t="s">
        <v>3144</v>
      </c>
      <c r="E95" s="24">
        <f t="shared" si="17"/>
        <v>1</v>
      </c>
      <c r="F95" s="716"/>
      <c r="G95" s="24">
        <f t="shared" si="18"/>
        <v>1</v>
      </c>
      <c r="H95" s="716"/>
      <c r="I95" s="24">
        <f t="shared" si="19"/>
        <v>1</v>
      </c>
      <c r="J95" s="716"/>
      <c r="K95" s="24">
        <f t="shared" si="20"/>
        <v>1</v>
      </c>
      <c r="L95" s="716"/>
      <c r="M95" s="24">
        <f t="shared" si="21"/>
        <v>1</v>
      </c>
      <c r="N95" s="716"/>
      <c r="O95" s="24">
        <f t="shared" si="22"/>
        <v>1</v>
      </c>
      <c r="P95" s="716" t="s">
        <v>3146</v>
      </c>
      <c r="Q95" s="24">
        <f t="shared" si="23"/>
        <v>1.08</v>
      </c>
      <c r="R95" s="713">
        <f t="shared" si="24"/>
        <v>41140</v>
      </c>
      <c r="S95" s="361">
        <f t="shared" si="15"/>
        <v>481</v>
      </c>
    </row>
    <row r="96" spans="1:19">
      <c r="A96" s="3007" t="str">
        <f>面积表!D88</f>
        <v>1301</v>
      </c>
      <c r="B96" s="2953">
        <f>面积表!I88</f>
        <v>160.65</v>
      </c>
      <c r="C96" s="24">
        <f t="shared" si="16"/>
        <v>1</v>
      </c>
      <c r="D96" s="716" t="s">
        <v>3144</v>
      </c>
      <c r="E96" s="24">
        <f t="shared" si="17"/>
        <v>1</v>
      </c>
      <c r="F96" s="716"/>
      <c r="G96" s="24">
        <f t="shared" si="18"/>
        <v>1</v>
      </c>
      <c r="H96" s="716"/>
      <c r="I96" s="24">
        <f t="shared" si="19"/>
        <v>1</v>
      </c>
      <c r="J96" s="716"/>
      <c r="K96" s="24">
        <f t="shared" si="20"/>
        <v>1</v>
      </c>
      <c r="L96" s="716"/>
      <c r="M96" s="24">
        <f t="shared" si="21"/>
        <v>1</v>
      </c>
      <c r="N96" s="716"/>
      <c r="O96" s="24">
        <f t="shared" si="22"/>
        <v>1</v>
      </c>
      <c r="P96" s="716" t="s">
        <v>3146</v>
      </c>
      <c r="Q96" s="24">
        <f t="shared" si="23"/>
        <v>1.08</v>
      </c>
      <c r="R96" s="713">
        <f t="shared" si="24"/>
        <v>41140</v>
      </c>
      <c r="S96" s="361">
        <f t="shared" si="15"/>
        <v>661</v>
      </c>
    </row>
    <row r="97" spans="1:19">
      <c r="A97" s="3007" t="str">
        <f>面积表!D89</f>
        <v>1302</v>
      </c>
      <c r="B97" s="2953">
        <f>面积表!I89</f>
        <v>152</v>
      </c>
      <c r="C97" s="24">
        <f t="shared" si="16"/>
        <v>1</v>
      </c>
      <c r="D97" s="716" t="s">
        <v>3144</v>
      </c>
      <c r="E97" s="24">
        <f t="shared" si="17"/>
        <v>1</v>
      </c>
      <c r="F97" s="716"/>
      <c r="G97" s="24">
        <f t="shared" si="18"/>
        <v>1</v>
      </c>
      <c r="H97" s="716"/>
      <c r="I97" s="24">
        <f t="shared" si="19"/>
        <v>1</v>
      </c>
      <c r="J97" s="716"/>
      <c r="K97" s="24">
        <f t="shared" si="20"/>
        <v>1</v>
      </c>
      <c r="L97" s="716"/>
      <c r="M97" s="24">
        <f t="shared" si="21"/>
        <v>1</v>
      </c>
      <c r="N97" s="716"/>
      <c r="O97" s="24">
        <f t="shared" si="22"/>
        <v>1</v>
      </c>
      <c r="P97" s="716" t="s">
        <v>3146</v>
      </c>
      <c r="Q97" s="24">
        <f t="shared" si="23"/>
        <v>1.08</v>
      </c>
      <c r="R97" s="713">
        <f t="shared" si="24"/>
        <v>41140</v>
      </c>
      <c r="S97" s="361">
        <f t="shared" si="15"/>
        <v>625</v>
      </c>
    </row>
    <row r="98" spans="1:19">
      <c r="A98" s="3007" t="str">
        <f>面积表!D90</f>
        <v>1303</v>
      </c>
      <c r="B98" s="2953">
        <f>面积表!I90</f>
        <v>152</v>
      </c>
      <c r="C98" s="24">
        <f t="shared" si="16"/>
        <v>1</v>
      </c>
      <c r="D98" s="716" t="s">
        <v>3144</v>
      </c>
      <c r="E98" s="24">
        <f t="shared" si="17"/>
        <v>1</v>
      </c>
      <c r="F98" s="716"/>
      <c r="G98" s="24">
        <f t="shared" si="18"/>
        <v>1</v>
      </c>
      <c r="H98" s="716"/>
      <c r="I98" s="24">
        <f t="shared" si="19"/>
        <v>1</v>
      </c>
      <c r="J98" s="716"/>
      <c r="K98" s="24">
        <f t="shared" si="20"/>
        <v>1</v>
      </c>
      <c r="L98" s="716"/>
      <c r="M98" s="24">
        <f t="shared" si="21"/>
        <v>1</v>
      </c>
      <c r="N98" s="716"/>
      <c r="O98" s="24">
        <f t="shared" si="22"/>
        <v>1</v>
      </c>
      <c r="P98" s="716" t="s">
        <v>3146</v>
      </c>
      <c r="Q98" s="24">
        <f t="shared" si="23"/>
        <v>1.08</v>
      </c>
      <c r="R98" s="713">
        <f t="shared" si="24"/>
        <v>41140</v>
      </c>
      <c r="S98" s="361">
        <f t="shared" si="15"/>
        <v>625</v>
      </c>
    </row>
    <row r="99" spans="1:19">
      <c r="A99" s="3007" t="str">
        <f>面积表!D91</f>
        <v>1304</v>
      </c>
      <c r="B99" s="2953">
        <f>面积表!I91</f>
        <v>152</v>
      </c>
      <c r="C99" s="24">
        <f t="shared" si="16"/>
        <v>1</v>
      </c>
      <c r="D99" s="716" t="s">
        <v>3144</v>
      </c>
      <c r="E99" s="24">
        <f t="shared" si="17"/>
        <v>1</v>
      </c>
      <c r="F99" s="716"/>
      <c r="G99" s="24">
        <f t="shared" si="18"/>
        <v>1</v>
      </c>
      <c r="H99" s="716"/>
      <c r="I99" s="24">
        <f t="shared" si="19"/>
        <v>1</v>
      </c>
      <c r="J99" s="716"/>
      <c r="K99" s="24">
        <f t="shared" si="20"/>
        <v>1</v>
      </c>
      <c r="L99" s="716"/>
      <c r="M99" s="24">
        <f t="shared" si="21"/>
        <v>1</v>
      </c>
      <c r="N99" s="716"/>
      <c r="O99" s="24">
        <f t="shared" si="22"/>
        <v>1</v>
      </c>
      <c r="P99" s="716" t="s">
        <v>3146</v>
      </c>
      <c r="Q99" s="24">
        <f t="shared" si="23"/>
        <v>1.08</v>
      </c>
      <c r="R99" s="713">
        <f t="shared" si="24"/>
        <v>41140</v>
      </c>
      <c r="S99" s="361">
        <f t="shared" si="15"/>
        <v>625</v>
      </c>
    </row>
    <row r="100" spans="1:19">
      <c r="A100" s="3007" t="str">
        <f>面积表!D92</f>
        <v>1305</v>
      </c>
      <c r="B100" s="2953">
        <f>面积表!I92</f>
        <v>152</v>
      </c>
      <c r="C100" s="24">
        <f t="shared" si="16"/>
        <v>1</v>
      </c>
      <c r="D100" s="716" t="s">
        <v>3144</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3146</v>
      </c>
      <c r="Q100" s="24">
        <f t="shared" si="23"/>
        <v>1.08</v>
      </c>
      <c r="R100" s="713">
        <f t="shared" si="24"/>
        <v>41140</v>
      </c>
      <c r="S100" s="361">
        <f t="shared" si="15"/>
        <v>625</v>
      </c>
    </row>
    <row r="101" spans="1:19">
      <c r="A101" s="3007" t="str">
        <f>面积表!D93</f>
        <v>1306</v>
      </c>
      <c r="B101" s="2953">
        <f>面积表!I93</f>
        <v>208.31</v>
      </c>
      <c r="C101" s="24">
        <f t="shared" si="16"/>
        <v>1</v>
      </c>
      <c r="D101" s="716" t="s">
        <v>3144</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3146</v>
      </c>
      <c r="Q101" s="24">
        <f t="shared" si="23"/>
        <v>1.08</v>
      </c>
      <c r="R101" s="713">
        <f t="shared" si="24"/>
        <v>41140</v>
      </c>
      <c r="S101" s="361">
        <f t="shared" si="15"/>
        <v>857</v>
      </c>
    </row>
    <row r="102" spans="1:19">
      <c r="A102" s="3007" t="str">
        <f>面积表!D94</f>
        <v>1307</v>
      </c>
      <c r="B102" s="2953">
        <f>面积表!I94</f>
        <v>222.93</v>
      </c>
      <c r="C102" s="24">
        <f t="shared" si="16"/>
        <v>1</v>
      </c>
      <c r="D102" s="716" t="s">
        <v>3144</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3146</v>
      </c>
      <c r="Q102" s="24">
        <f t="shared" si="23"/>
        <v>1.08</v>
      </c>
      <c r="R102" s="713">
        <f t="shared" si="24"/>
        <v>41140</v>
      </c>
      <c r="S102" s="361">
        <f t="shared" si="15"/>
        <v>917</v>
      </c>
    </row>
    <row r="103" spans="1:19">
      <c r="A103" s="3007" t="str">
        <f>面积表!D95</f>
        <v>1308</v>
      </c>
      <c r="B103" s="2953">
        <f>面积表!I95</f>
        <v>152.03</v>
      </c>
      <c r="C103" s="24">
        <f t="shared" si="16"/>
        <v>1</v>
      </c>
      <c r="D103" s="716" t="s">
        <v>3144</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3146</v>
      </c>
      <c r="Q103" s="24">
        <f t="shared" si="23"/>
        <v>1.08</v>
      </c>
      <c r="R103" s="713">
        <f t="shared" si="24"/>
        <v>41140</v>
      </c>
      <c r="S103" s="361">
        <f t="shared" si="15"/>
        <v>625</v>
      </c>
    </row>
    <row r="104" spans="1:19">
      <c r="A104" s="3007" t="str">
        <f>面积表!D96</f>
        <v>1309</v>
      </c>
      <c r="B104" s="2953">
        <f>面积表!I96</f>
        <v>116.9</v>
      </c>
      <c r="C104" s="24">
        <f t="shared" si="16"/>
        <v>1</v>
      </c>
      <c r="D104" s="716" t="s">
        <v>3144</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3146</v>
      </c>
      <c r="Q104" s="24">
        <f t="shared" si="23"/>
        <v>1.08</v>
      </c>
      <c r="R104" s="713">
        <f t="shared" si="24"/>
        <v>41140</v>
      </c>
      <c r="S104" s="361">
        <f t="shared" si="15"/>
        <v>481</v>
      </c>
    </row>
    <row r="105" spans="1:19">
      <c r="A105" s="3007" t="str">
        <f>面积表!D97</f>
        <v>1401</v>
      </c>
      <c r="B105" s="2953">
        <f>面积表!I97</f>
        <v>160.65</v>
      </c>
      <c r="C105" s="24">
        <f t="shared" si="16"/>
        <v>1</v>
      </c>
      <c r="D105" s="716" t="s">
        <v>3144</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3146</v>
      </c>
      <c r="Q105" s="24">
        <f t="shared" si="23"/>
        <v>1.08</v>
      </c>
      <c r="R105" s="713">
        <f t="shared" si="24"/>
        <v>41140</v>
      </c>
      <c r="S105" s="361">
        <f t="shared" si="15"/>
        <v>661</v>
      </c>
    </row>
    <row r="106" spans="1:19">
      <c r="A106" s="3007" t="str">
        <f>面积表!D98</f>
        <v>1402</v>
      </c>
      <c r="B106" s="2953">
        <f>面积表!I98</f>
        <v>152</v>
      </c>
      <c r="C106" s="24">
        <f t="shared" si="16"/>
        <v>1</v>
      </c>
      <c r="D106" s="716" t="s">
        <v>3144</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3146</v>
      </c>
      <c r="Q106" s="24">
        <f t="shared" si="23"/>
        <v>1.08</v>
      </c>
      <c r="R106" s="713">
        <f t="shared" si="24"/>
        <v>41140</v>
      </c>
      <c r="S106" s="361">
        <f t="shared" si="15"/>
        <v>625</v>
      </c>
    </row>
    <row r="107" spans="1:19">
      <c r="A107" s="3007" t="str">
        <f>面积表!D99</f>
        <v>1403</v>
      </c>
      <c r="B107" s="2953">
        <f>面积表!I99</f>
        <v>152</v>
      </c>
      <c r="C107" s="24">
        <f t="shared" si="16"/>
        <v>1</v>
      </c>
      <c r="D107" s="716" t="s">
        <v>3144</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3146</v>
      </c>
      <c r="Q107" s="24">
        <f t="shared" si="23"/>
        <v>1.08</v>
      </c>
      <c r="R107" s="713">
        <f t="shared" si="24"/>
        <v>41140</v>
      </c>
      <c r="S107" s="361">
        <f t="shared" si="15"/>
        <v>625</v>
      </c>
    </row>
    <row r="108" spans="1:19">
      <c r="A108" s="3007" t="str">
        <f>面积表!D100</f>
        <v>1404</v>
      </c>
      <c r="B108" s="2953">
        <f>面积表!I100</f>
        <v>152</v>
      </c>
      <c r="C108" s="24">
        <f t="shared" si="16"/>
        <v>1</v>
      </c>
      <c r="D108" s="716" t="s">
        <v>3144</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3146</v>
      </c>
      <c r="Q108" s="24">
        <f t="shared" si="23"/>
        <v>1.08</v>
      </c>
      <c r="R108" s="713">
        <f t="shared" si="24"/>
        <v>41140</v>
      </c>
      <c r="S108" s="361">
        <f t="shared" si="15"/>
        <v>625</v>
      </c>
    </row>
    <row r="109" spans="1:19">
      <c r="A109" s="3007" t="str">
        <f>面积表!D101</f>
        <v>1405</v>
      </c>
      <c r="B109" s="2953">
        <f>面积表!I101</f>
        <v>152</v>
      </c>
      <c r="C109" s="24">
        <f t="shared" si="16"/>
        <v>1</v>
      </c>
      <c r="D109" s="716" t="s">
        <v>3144</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3146</v>
      </c>
      <c r="Q109" s="24">
        <f t="shared" si="23"/>
        <v>1.08</v>
      </c>
      <c r="R109" s="713">
        <f t="shared" si="24"/>
        <v>41140</v>
      </c>
      <c r="S109" s="361">
        <f t="shared" si="15"/>
        <v>625</v>
      </c>
    </row>
    <row r="110" spans="1:19">
      <c r="A110" s="3007" t="str">
        <f>面积表!D102</f>
        <v>1406</v>
      </c>
      <c r="B110" s="2953">
        <f>面积表!I102</f>
        <v>208.31</v>
      </c>
      <c r="C110" s="24">
        <f t="shared" si="16"/>
        <v>1</v>
      </c>
      <c r="D110" s="716" t="s">
        <v>3144</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3146</v>
      </c>
      <c r="Q110" s="24">
        <f t="shared" si="23"/>
        <v>1.08</v>
      </c>
      <c r="R110" s="713">
        <f t="shared" si="24"/>
        <v>41140</v>
      </c>
      <c r="S110" s="361">
        <f t="shared" si="15"/>
        <v>857</v>
      </c>
    </row>
    <row r="111" spans="1:19">
      <c r="A111" s="3007" t="str">
        <f>面积表!D103</f>
        <v>1407</v>
      </c>
      <c r="B111" s="2953">
        <f>面积表!I103</f>
        <v>222.93</v>
      </c>
      <c r="C111" s="24">
        <f t="shared" si="16"/>
        <v>1</v>
      </c>
      <c r="D111" s="716" t="s">
        <v>3144</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3146</v>
      </c>
      <c r="Q111" s="24">
        <f t="shared" si="23"/>
        <v>1.08</v>
      </c>
      <c r="R111" s="713">
        <f t="shared" si="24"/>
        <v>41140</v>
      </c>
      <c r="S111" s="361">
        <f t="shared" si="15"/>
        <v>917</v>
      </c>
    </row>
    <row r="112" spans="1:19">
      <c r="A112" s="3007" t="str">
        <f>面积表!D104</f>
        <v>1408</v>
      </c>
      <c r="B112" s="2953">
        <f>面积表!I104</f>
        <v>152.03</v>
      </c>
      <c r="C112" s="24">
        <f t="shared" si="16"/>
        <v>1</v>
      </c>
      <c r="D112" s="716" t="s">
        <v>3144</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3146</v>
      </c>
      <c r="Q112" s="24">
        <f t="shared" si="23"/>
        <v>1.08</v>
      </c>
      <c r="R112" s="713">
        <f t="shared" si="24"/>
        <v>41140</v>
      </c>
      <c r="S112" s="361">
        <f t="shared" si="15"/>
        <v>625</v>
      </c>
    </row>
    <row r="113" spans="1:19">
      <c r="A113" s="3007" t="str">
        <f>面积表!D105</f>
        <v>1409</v>
      </c>
      <c r="B113" s="2953">
        <f>面积表!I105</f>
        <v>116.9</v>
      </c>
      <c r="C113" s="24">
        <f t="shared" si="16"/>
        <v>1</v>
      </c>
      <c r="D113" s="716" t="s">
        <v>3144</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3146</v>
      </c>
      <c r="Q113" s="24">
        <f t="shared" si="23"/>
        <v>1.08</v>
      </c>
      <c r="R113" s="713">
        <f t="shared" si="24"/>
        <v>41140</v>
      </c>
      <c r="S113" s="361">
        <f t="shared" si="15"/>
        <v>481</v>
      </c>
    </row>
    <row r="114" spans="1:19">
      <c r="A114" s="3007" t="str">
        <f>面积表!D106</f>
        <v>1501</v>
      </c>
      <c r="B114" s="2953">
        <f>面积表!I106</f>
        <v>160.65</v>
      </c>
      <c r="C114" s="24">
        <f t="shared" si="16"/>
        <v>1</v>
      </c>
      <c r="D114" s="716" t="s">
        <v>3144</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3146</v>
      </c>
      <c r="Q114" s="24">
        <f t="shared" si="23"/>
        <v>1.08</v>
      </c>
      <c r="R114" s="713">
        <f t="shared" si="24"/>
        <v>41140</v>
      </c>
      <c r="S114" s="361">
        <f t="shared" si="15"/>
        <v>661</v>
      </c>
    </row>
    <row r="115" spans="1:19">
      <c r="A115" s="3007" t="str">
        <f>面积表!D107</f>
        <v>1502</v>
      </c>
      <c r="B115" s="2953">
        <f>面积表!I107</f>
        <v>152</v>
      </c>
      <c r="C115" s="24">
        <f t="shared" si="16"/>
        <v>1</v>
      </c>
      <c r="D115" s="716" t="s">
        <v>3144</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3146</v>
      </c>
      <c r="Q115" s="24">
        <f t="shared" si="23"/>
        <v>1.08</v>
      </c>
      <c r="R115" s="713">
        <f t="shared" si="24"/>
        <v>41140</v>
      </c>
      <c r="S115" s="361">
        <f t="shared" si="15"/>
        <v>625</v>
      </c>
    </row>
    <row r="116" spans="1:19">
      <c r="A116" s="3007" t="str">
        <f>面积表!D108</f>
        <v>1503</v>
      </c>
      <c r="B116" s="2953">
        <f>面积表!I108</f>
        <v>152</v>
      </c>
      <c r="C116" s="24">
        <f t="shared" si="16"/>
        <v>1</v>
      </c>
      <c r="D116" s="716" t="s">
        <v>3144</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3146</v>
      </c>
      <c r="Q116" s="24">
        <f t="shared" si="23"/>
        <v>1.08</v>
      </c>
      <c r="R116" s="713">
        <f t="shared" si="24"/>
        <v>41140</v>
      </c>
      <c r="S116" s="361">
        <f t="shared" si="15"/>
        <v>625</v>
      </c>
    </row>
    <row r="117" spans="1:19">
      <c r="A117" s="3007" t="str">
        <f>面积表!D109</f>
        <v>1504</v>
      </c>
      <c r="B117" s="2953">
        <f>面积表!I109</f>
        <v>152</v>
      </c>
      <c r="C117" s="24">
        <f t="shared" si="16"/>
        <v>1</v>
      </c>
      <c r="D117" s="716" t="s">
        <v>3144</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3146</v>
      </c>
      <c r="Q117" s="24">
        <f t="shared" si="23"/>
        <v>1.08</v>
      </c>
      <c r="R117" s="713">
        <f t="shared" si="24"/>
        <v>41140</v>
      </c>
      <c r="S117" s="361">
        <f t="shared" si="15"/>
        <v>625</v>
      </c>
    </row>
    <row r="118" spans="1:19">
      <c r="A118" s="3007" t="str">
        <f>面积表!D110</f>
        <v>1505</v>
      </c>
      <c r="B118" s="2953">
        <f>面积表!I110</f>
        <v>152</v>
      </c>
      <c r="C118" s="24">
        <f t="shared" si="16"/>
        <v>1</v>
      </c>
      <c r="D118" s="716" t="s">
        <v>3144</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3146</v>
      </c>
      <c r="Q118" s="24">
        <f t="shared" si="23"/>
        <v>1.08</v>
      </c>
      <c r="R118" s="713">
        <f t="shared" si="24"/>
        <v>41140</v>
      </c>
      <c r="S118" s="361">
        <f t="shared" si="15"/>
        <v>625</v>
      </c>
    </row>
    <row r="119" spans="1:19">
      <c r="A119" s="3007" t="str">
        <f>面积表!D111</f>
        <v>1506</v>
      </c>
      <c r="B119" s="2953">
        <f>面积表!I111</f>
        <v>208.31</v>
      </c>
      <c r="C119" s="24">
        <f t="shared" si="16"/>
        <v>1</v>
      </c>
      <c r="D119" s="716" t="s">
        <v>3144</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3146</v>
      </c>
      <c r="Q119" s="24">
        <f t="shared" si="23"/>
        <v>1.08</v>
      </c>
      <c r="R119" s="713">
        <f t="shared" si="24"/>
        <v>41140</v>
      </c>
      <c r="S119" s="361">
        <f t="shared" si="15"/>
        <v>857</v>
      </c>
    </row>
    <row r="120" spans="1:19">
      <c r="A120" s="3007" t="str">
        <f>面积表!D112</f>
        <v>1507</v>
      </c>
      <c r="B120" s="2953">
        <f>面积表!I112</f>
        <v>222.93</v>
      </c>
      <c r="C120" s="24">
        <f t="shared" si="16"/>
        <v>1</v>
      </c>
      <c r="D120" s="716" t="s">
        <v>3144</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3146</v>
      </c>
      <c r="Q120" s="24">
        <f t="shared" si="23"/>
        <v>1.08</v>
      </c>
      <c r="R120" s="713">
        <f t="shared" si="24"/>
        <v>41140</v>
      </c>
      <c r="S120" s="361">
        <f t="shared" si="15"/>
        <v>917</v>
      </c>
    </row>
    <row r="121" spans="1:19">
      <c r="A121" s="3007" t="str">
        <f>面积表!D113</f>
        <v>1508</v>
      </c>
      <c r="B121" s="2953">
        <f>面积表!I113</f>
        <v>152.03</v>
      </c>
      <c r="C121" s="24">
        <f t="shared" si="16"/>
        <v>1</v>
      </c>
      <c r="D121" s="716" t="s">
        <v>3144</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3146</v>
      </c>
      <c r="Q121" s="24">
        <f t="shared" si="23"/>
        <v>1.08</v>
      </c>
      <c r="R121" s="713">
        <f t="shared" si="24"/>
        <v>41140</v>
      </c>
      <c r="S121" s="361">
        <f t="shared" si="15"/>
        <v>625</v>
      </c>
    </row>
    <row r="122" spans="1:19">
      <c r="A122" s="3007" t="str">
        <f>面积表!D114</f>
        <v>1509</v>
      </c>
      <c r="B122" s="2953">
        <f>面积表!I114</f>
        <v>116.9</v>
      </c>
      <c r="C122" s="24">
        <f t="shared" si="16"/>
        <v>1</v>
      </c>
      <c r="D122" s="716" t="s">
        <v>3144</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3146</v>
      </c>
      <c r="Q122" s="24">
        <f t="shared" si="23"/>
        <v>1.08</v>
      </c>
      <c r="R122" s="713">
        <f t="shared" si="24"/>
        <v>41140</v>
      </c>
      <c r="S122" s="361">
        <f t="shared" si="15"/>
        <v>481</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5" zoomScaleNormal="85" zoomScaleSheetLayoutView="90" workbookViewId="0">
      <selection activeCell="C38" sqref="C3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22.8</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12056</v>
      </c>
      <c r="C2" s="1825" t="s">
        <v>1504</v>
      </c>
      <c r="D2" s="1825"/>
      <c r="E2" s="1826"/>
      <c r="F2" s="1827"/>
      <c r="G2" s="1828"/>
      <c r="H2" s="1820"/>
      <c r="I2" s="1820"/>
      <c r="J2" s="1820"/>
      <c r="K2" s="1821"/>
      <c r="L2" s="1820"/>
      <c r="M2" s="1820"/>
    </row>
    <row r="3" spans="1:37" ht="18" customHeight="1" thickBot="1">
      <c r="A3" s="1829" t="s">
        <v>1505</v>
      </c>
      <c r="B3" s="1830">
        <f ca="1">IF(ISERROR(B2*10000/F43),0,ROUND(B2*10000/F43,0))</f>
        <v>29626</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1119</v>
      </c>
      <c r="D5" s="1802" t="s">
        <v>1390</v>
      </c>
      <c r="E5" s="1275"/>
      <c r="F5" s="1276"/>
      <c r="G5" s="1831"/>
      <c r="H5" s="344">
        <v>1</v>
      </c>
      <c r="I5" s="345" t="s">
        <v>1389</v>
      </c>
      <c r="J5" s="1274">
        <f ca="1">J6+J10+J12</f>
        <v>1001</v>
      </c>
      <c r="K5" s="1802" t="s">
        <v>1390</v>
      </c>
      <c r="L5" s="1275"/>
      <c r="M5" s="1276"/>
    </row>
    <row r="6" spans="1:37" ht="18" customHeight="1">
      <c r="A6" s="1273" t="s">
        <v>1032</v>
      </c>
      <c r="B6" s="3686" t="s">
        <v>1391</v>
      </c>
      <c r="C6" s="1278">
        <f ca="1">ROUND(F6*F8*F7*(1-F9)/10000,0)</f>
        <v>1118</v>
      </c>
      <c r="D6" s="164" t="s">
        <v>3004</v>
      </c>
      <c r="E6" s="347" t="s">
        <v>1393</v>
      </c>
      <c r="F6" s="348">
        <f ca="1">INDIRECT("'数据-取费表'!u"&amp;$G$1)</f>
        <v>7.53</v>
      </c>
      <c r="G6" s="1831"/>
      <c r="H6" s="1273" t="s">
        <v>1032</v>
      </c>
      <c r="I6" s="3686" t="s">
        <v>1391</v>
      </c>
      <c r="J6" s="346">
        <f ca="1">ROUND(M6*M8*M7*(1-M9)/10000,0)</f>
        <v>1000</v>
      </c>
      <c r="K6" s="164" t="s">
        <v>3003</v>
      </c>
      <c r="L6" s="347" t="s">
        <v>1393</v>
      </c>
      <c r="M6" s="348">
        <f ca="1">INDIRECT("'数据-取费表'!z"&amp;$G$1)</f>
        <v>7.48</v>
      </c>
    </row>
    <row r="7" spans="1:37" ht="18" customHeight="1">
      <c r="A7" s="1277"/>
      <c r="B7" s="3687"/>
      <c r="C7" s="1279"/>
      <c r="D7" s="352"/>
      <c r="E7" s="3407" t="s">
        <v>1394</v>
      </c>
      <c r="F7" s="348">
        <f ca="1">IF(INDIRECT("'数据-取费表'!ah"&amp;$G$1)="",INDIRECT("'数据-取费表'!k"&amp;$G$1),INDIRECT("'数据-取费表'!ah"&amp;$G$1))</f>
        <v>4069.3900000000003</v>
      </c>
      <c r="G7" s="1831"/>
      <c r="H7" s="349"/>
      <c r="I7" s="3687"/>
      <c r="J7" s="351"/>
      <c r="K7" s="352"/>
      <c r="L7" s="347" t="s">
        <v>1394</v>
      </c>
      <c r="M7" s="348">
        <f ca="1">F7</f>
        <v>4069.3900000000003</v>
      </c>
    </row>
    <row r="8" spans="1:37" ht="18" customHeight="1">
      <c r="A8" s="349"/>
      <c r="B8" s="3687"/>
      <c r="C8" s="351"/>
      <c r="D8" s="352"/>
      <c r="E8" s="347" t="s">
        <v>1395</v>
      </c>
      <c r="F8" s="348">
        <f ca="1">INDIRECT("'数据-取费表'!ai"&amp;$G$1)</f>
        <v>365</v>
      </c>
      <c r="G8" s="1831"/>
      <c r="H8" s="349"/>
      <c r="I8" s="3687"/>
      <c r="J8" s="351"/>
      <c r="K8" s="352"/>
      <c r="L8" s="347" t="s">
        <v>1395</v>
      </c>
      <c r="M8" s="348">
        <f ca="1">INDIRECT("'数据-取费表'!ai"&amp;$G$1)</f>
        <v>365</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0.1</v>
      </c>
    </row>
    <row r="10" spans="1:37" ht="18" customHeight="1">
      <c r="A10" s="1273" t="s">
        <v>1036</v>
      </c>
      <c r="B10" s="1803" t="s">
        <v>1397</v>
      </c>
      <c r="C10" s="361">
        <f ca="1">ROUND(IF(F10="押一",C6/12*F11,IF(F10="押二",C6/12*2*F11,IF(F10="押三",C6/12*3*F11,C11*F11))),0)</f>
        <v>1</v>
      </c>
      <c r="D10" s="1804" t="s">
        <v>3013</v>
      </c>
      <c r="E10" s="358" t="s">
        <v>1398</v>
      </c>
      <c r="F10" s="1348" t="s">
        <v>3048</v>
      </c>
      <c r="G10" s="1831"/>
      <c r="H10" s="1273" t="s">
        <v>1036</v>
      </c>
      <c r="I10" s="1803" t="s">
        <v>1397</v>
      </c>
      <c r="J10" s="346">
        <f ca="1">ROUND(IF(M10="押一",J6/12*M11,IF(M10="押二",J6/12*2*M11,IF(M10="押三",J6/12*3*M11,J11*M11))),0)</f>
        <v>1</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1737</v>
      </c>
      <c r="D13" s="1313" t="s">
        <v>1403</v>
      </c>
      <c r="E13" s="1313" t="s">
        <v>1404</v>
      </c>
      <c r="F13" s="1314">
        <f ca="1">INDIRECT("'数据-取费表'!y"&amp;$G$1)</f>
        <v>0.8</v>
      </c>
      <c r="G13" s="1831"/>
      <c r="H13" s="1311">
        <v>2</v>
      </c>
      <c r="I13" s="1312" t="s">
        <v>1402</v>
      </c>
      <c r="J13" s="1272">
        <f ca="1">ROUND(J14*J15,0)</f>
        <v>1672</v>
      </c>
      <c r="K13" s="1319" t="s">
        <v>1403</v>
      </c>
      <c r="L13" s="1832"/>
      <c r="M13" s="1833"/>
    </row>
    <row r="14" spans="1:37" ht="18" customHeight="1">
      <c r="A14" s="1183" t="s">
        <v>1031</v>
      </c>
      <c r="B14" s="347" t="s">
        <v>1405</v>
      </c>
      <c r="C14" s="363">
        <f ca="1">INDIRECT("'数据-取费表'!m"&amp;$G$1)+INDIRECT("'数据-取费表'!t"&amp;$G$1)</f>
        <v>1424</v>
      </c>
      <c r="D14" s="3400" t="s">
        <v>1406</v>
      </c>
      <c r="E14" s="3398"/>
      <c r="F14" s="364"/>
      <c r="G14" s="1831"/>
      <c r="H14" s="1183" t="s">
        <v>1032</v>
      </c>
      <c r="I14" s="347" t="s">
        <v>1407</v>
      </c>
      <c r="J14" s="24">
        <f ca="1">C29</f>
        <v>2171</v>
      </c>
      <c r="K14" s="3406"/>
      <c r="L14" s="969"/>
      <c r="M14" s="970"/>
    </row>
    <row r="15" spans="1:37" s="1838" customFormat="1" ht="18" customHeight="1" thickBot="1">
      <c r="A15" s="1183" t="s">
        <v>1033</v>
      </c>
      <c r="B15" s="347" t="s">
        <v>1408</v>
      </c>
      <c r="C15" s="24">
        <f ca="1">ROUND(C14*F15,0)</f>
        <v>43</v>
      </c>
      <c r="D15" s="365" t="s">
        <v>1409</v>
      </c>
      <c r="E15" s="365" t="s">
        <v>1410</v>
      </c>
      <c r="F15" s="366">
        <f>'数据-取费表'!B33</f>
        <v>0.03</v>
      </c>
      <c r="G15" s="1834"/>
      <c r="H15" s="1321" t="s">
        <v>1036</v>
      </c>
      <c r="I15" s="1322" t="s">
        <v>1404</v>
      </c>
      <c r="J15" s="1331">
        <f ca="1">INDIRECT("'数据-取费表'!ad"&amp;$G$1)</f>
        <v>0.77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253</v>
      </c>
      <c r="K16" s="1319" t="s">
        <v>1413</v>
      </c>
      <c r="L16" s="3402"/>
      <c r="M16" s="1276"/>
    </row>
    <row r="17" spans="1:37" s="1838" customFormat="1" ht="18" customHeight="1">
      <c r="A17" s="1183" t="s">
        <v>1378</v>
      </c>
      <c r="B17" s="347" t="s">
        <v>1414</v>
      </c>
      <c r="C17" s="24">
        <f ca="1">ROUND(F17*(F43+INDIRECT("'数据-取费表'!S"&amp;$G$1))/10000,0)</f>
        <v>85</v>
      </c>
      <c r="D17" s="347" t="s">
        <v>1415</v>
      </c>
      <c r="E17" s="347" t="s">
        <v>1416</v>
      </c>
      <c r="F17" s="26">
        <f>'数据-取费表'!B35</f>
        <v>200</v>
      </c>
      <c r="G17" s="1834"/>
      <c r="H17" s="1183" t="s">
        <v>1032</v>
      </c>
      <c r="I17" s="347" t="s">
        <v>1417</v>
      </c>
      <c r="J17" s="24">
        <f ca="1">ROUND(IF(项目基本情况!B11="自然人",J6*M17/(1+'数据-取费表'!C42),J18+J19+J20),1)</f>
        <v>167.9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21</v>
      </c>
      <c r="D18" s="347" t="s">
        <v>1409</v>
      </c>
      <c r="E18" s="347" t="s">
        <v>1410</v>
      </c>
      <c r="F18" s="367">
        <f>'数据-取费表'!B36</f>
        <v>1.4999999999999999E-2</v>
      </c>
      <c r="G18" s="1834"/>
      <c r="H18" s="1183" t="s">
        <v>1031</v>
      </c>
      <c r="I18" s="347" t="s">
        <v>1421</v>
      </c>
      <c r="J18" s="24">
        <f ca="1">ROUND(J6*M18/(1+'数据-取费表'!C42),2)</f>
        <v>53.33</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1573</v>
      </c>
      <c r="D19" s="140" t="s">
        <v>1424</v>
      </c>
      <c r="E19" s="3405"/>
      <c r="F19" s="26"/>
      <c r="G19" s="1831"/>
      <c r="H19" s="1183" t="s">
        <v>1033</v>
      </c>
      <c r="I19" s="347" t="s">
        <v>1425</v>
      </c>
      <c r="J19" s="24">
        <f ca="1">IF(K19="按租金收入计税",ROUND(J6*M19/(1+'数据-取费表'!C42),2),ROUND(C29*M19*0.7,2))</f>
        <v>114.29</v>
      </c>
      <c r="K19" s="1808" t="s">
        <v>3059</v>
      </c>
      <c r="L19" s="347" t="s">
        <v>1410</v>
      </c>
      <c r="M19" s="367">
        <f>IF(K19="按租金收入计税",'数据-取费表'!B51,'数据-取费表'!B50)</f>
        <v>0.12</v>
      </c>
    </row>
    <row r="20" spans="1:37" s="1838" customFormat="1" ht="18" customHeight="1">
      <c r="A20" s="1183" t="s">
        <v>1036</v>
      </c>
      <c r="B20" s="347" t="s">
        <v>1427</v>
      </c>
      <c r="C20" s="24">
        <f ca="1">ROUND(C19*F20,0)</f>
        <v>31</v>
      </c>
      <c r="D20" s="369" t="s">
        <v>1428</v>
      </c>
      <c r="E20" s="347" t="s">
        <v>1410</v>
      </c>
      <c r="F20" s="367">
        <f>'数据-取费表'!B37</f>
        <v>0.02</v>
      </c>
      <c r="G20" s="1834"/>
      <c r="H20" s="1183" t="s">
        <v>1377</v>
      </c>
      <c r="I20" s="164" t="s">
        <v>1429</v>
      </c>
      <c r="J20" s="25">
        <f ca="1">ROUND(M20*M21/10000,2)</f>
        <v>0.28999999999999998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973.83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32.6</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2.5</v>
      </c>
      <c r="K23" s="3399"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50.1</v>
      </c>
      <c r="K24" s="1324" t="s">
        <v>1447</v>
      </c>
      <c r="L24" s="1322" t="s">
        <v>1443</v>
      </c>
      <c r="M24" s="1318">
        <f ca="1">INDIRECT("'数据-取费表'!Am"&amp;$G$1)</f>
        <v>0.05</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748</v>
      </c>
      <c r="K25" s="1327" t="s">
        <v>1452</v>
      </c>
      <c r="L25" s="1328"/>
      <c r="M25" s="1329"/>
    </row>
    <row r="26" spans="1:37">
      <c r="A26" s="1183" t="s">
        <v>1031</v>
      </c>
      <c r="B26" s="347" t="s">
        <v>1453</v>
      </c>
      <c r="C26" s="24">
        <f ca="1">ROUND((C19+C20)*F26,0)</f>
        <v>321</v>
      </c>
      <c r="D26" s="369" t="s">
        <v>1454</v>
      </c>
      <c r="E26" s="358" t="s">
        <v>1455</v>
      </c>
      <c r="F26" s="357">
        <f ca="1">INDIRECT("'数据-取费表'!q"&amp;$G$1)</f>
        <v>0.2</v>
      </c>
      <c r="G26" s="1831"/>
      <c r="H26" s="344" t="s">
        <v>1029</v>
      </c>
      <c r="I26" s="345" t="s">
        <v>1456</v>
      </c>
      <c r="J26" s="346">
        <f ca="1">IF(J5&lt;&gt;0,ROUND(J25*(1-((1+M28)/(1+M26))^M27)/(M26-M28),0),0)</f>
        <v>11646</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20.560000000000002</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2171</v>
      </c>
      <c r="D29" s="1324"/>
      <c r="E29" s="1322"/>
      <c r="F29" s="1325"/>
      <c r="G29" s="1834"/>
      <c r="H29" s="380" t="s">
        <v>1030</v>
      </c>
      <c r="I29" s="381" t="s">
        <v>1467</v>
      </c>
      <c r="J29" s="382">
        <f ca="1">ROUND(J26/(1+F40)^F41,0)</f>
        <v>10330</v>
      </c>
      <c r="K29" s="383" t="s">
        <v>1468</v>
      </c>
      <c r="L29" s="384"/>
      <c r="M29" s="385">
        <f ca="1">INDIRECT("'数据-取费表'!k"&amp;$G$1)</f>
        <v>4069.3900000000003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279</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187.7</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59.63</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127.77</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0.28999999999999998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973.83</v>
      </c>
      <c r="G35" s="1831"/>
      <c r="H35" s="741"/>
      <c r="I35" s="1840"/>
      <c r="J35" s="1841"/>
      <c r="K35" s="1842"/>
      <c r="L35" s="1839"/>
      <c r="M35" s="1839"/>
    </row>
    <row r="36" spans="1:18" ht="18" customHeight="1">
      <c r="A36" s="1334" t="s">
        <v>1036</v>
      </c>
      <c r="B36" s="347" t="s">
        <v>1437</v>
      </c>
      <c r="C36" s="24">
        <f ca="1">ROUND(C29*F36,1)</f>
        <v>32.6</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2.6</v>
      </c>
      <c r="D37" s="3399" t="s">
        <v>1442</v>
      </c>
      <c r="E37" s="347" t="s">
        <v>1443</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56</v>
      </c>
      <c r="D38" s="1324" t="s">
        <v>1447</v>
      </c>
      <c r="E38" s="1322" t="s">
        <v>1443</v>
      </c>
      <c r="F38" s="1318">
        <f ca="1">INDIRECT("'数据-取费表'!Am"&amp;$G$1)</f>
        <v>0.05</v>
      </c>
      <c r="G38" s="1831"/>
      <c r="H38" s="1839"/>
      <c r="I38" s="1840"/>
      <c r="J38" s="1841"/>
      <c r="K38" s="1845"/>
      <c r="L38" s="1839"/>
      <c r="M38" s="1839"/>
    </row>
    <row r="39" spans="1:18" ht="24.6" customHeight="1" thickTop="1">
      <c r="A39" s="1311" t="s">
        <v>1028</v>
      </c>
      <c r="B39" s="1326" t="s">
        <v>1471</v>
      </c>
      <c r="C39" s="355">
        <f ca="1">C5-C30</f>
        <v>840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1726</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2.2400000000000002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4241</v>
      </c>
      <c r="D43" s="383" t="s">
        <v>1476</v>
      </c>
      <c r="E43" s="384" t="s">
        <v>1477</v>
      </c>
      <c r="F43" s="385">
        <f ca="1">INDIRECT("'数据-取费表'!k"&amp;$G$1)</f>
        <v>4069.3900000000003</v>
      </c>
      <c r="G43" s="1831"/>
      <c r="H43" s="728"/>
      <c r="I43" s="728"/>
      <c r="J43" s="728"/>
      <c r="K43" s="747"/>
      <c r="L43" s="728"/>
      <c r="M43" s="728"/>
    </row>
    <row r="44" spans="1:18" s="1822" customFormat="1" ht="18" customHeight="1">
      <c r="A44" s="1846"/>
      <c r="B44" s="1846"/>
      <c r="C44" s="1847"/>
      <c r="D44" s="1846"/>
      <c r="E44" s="1846"/>
      <c r="F44" s="1846">
        <f ca="1">F35+收益法办自!F35</f>
        <v>3866.45</v>
      </c>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-2174</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12056</v>
      </c>
      <c r="R47" s="1866" t="s">
        <v>1517</v>
      </c>
    </row>
    <row r="48" spans="1:18" s="1822" customFormat="1" ht="28.5" thickBot="1">
      <c r="A48" s="1342" t="s">
        <v>1125</v>
      </c>
      <c r="B48" s="345" t="s">
        <v>1389</v>
      </c>
      <c r="C48" s="3404">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2171</v>
      </c>
      <c r="R49" s="1866" t="s">
        <v>1517</v>
      </c>
    </row>
    <row r="50" spans="1:18" s="1822" customFormat="1" ht="13.5" thickBot="1">
      <c r="A50" s="1177"/>
      <c r="B50" s="1180"/>
      <c r="C50" s="1350"/>
      <c r="D50" s="1154"/>
      <c r="E50" s="1259" t="s">
        <v>1394</v>
      </c>
      <c r="F50" s="1260">
        <f ca="1">F7</f>
        <v>4069.3900000000003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9295</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89" t="s">
        <v>1536</v>
      </c>
      <c r="L53" s="3690"/>
      <c r="O53" s="1864" t="s">
        <v>1043</v>
      </c>
      <c r="P53" s="1865" t="s">
        <v>1537</v>
      </c>
      <c r="Q53" s="1866">
        <f ca="1">Q47+Q48</f>
        <v>12056</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1737</v>
      </c>
      <c r="D56" s="1893"/>
      <c r="E56" s="1894"/>
      <c r="F56" s="1886"/>
      <c r="I56" s="1895" t="s">
        <v>1542</v>
      </c>
      <c r="J56" s="1896" t="s">
        <v>3042</v>
      </c>
      <c r="K56" s="1867" t="s">
        <v>1543</v>
      </c>
      <c r="L56" s="1870" t="str">
        <f ca="1">IF(L48&lt;J51,"——",L48-J53)</f>
        <v>——</v>
      </c>
      <c r="O56" s="1864" t="s">
        <v>1037</v>
      </c>
      <c r="P56" s="1865" t="s">
        <v>1516</v>
      </c>
      <c r="Q56" s="1866">
        <f ca="1">C40+J29</f>
        <v>12056</v>
      </c>
      <c r="R56" s="1866" t="s">
        <v>1517</v>
      </c>
    </row>
    <row r="57" spans="1:18" s="1822" customFormat="1" ht="24.75" thickBot="1">
      <c r="A57" s="1897"/>
      <c r="B57" s="1151" t="s">
        <v>1466</v>
      </c>
      <c r="C57" s="282">
        <f ca="1">C29</f>
        <v>2171</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218</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182.7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182.36</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0.28999999999999998</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12056</v>
      </c>
      <c r="R62" s="1866" t="s">
        <v>1044</v>
      </c>
    </row>
    <row r="63" spans="1:18" s="1822" customFormat="1" ht="13.5" thickBot="1">
      <c r="A63" s="372"/>
      <c r="B63" s="1157"/>
      <c r="C63" s="29"/>
      <c r="D63" s="1167"/>
      <c r="E63" s="1151" t="s">
        <v>1487</v>
      </c>
      <c r="F63" s="348">
        <f t="shared" ca="1" si="0"/>
        <v>973.83</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32.6</v>
      </c>
      <c r="D64" s="1165" t="s">
        <v>1490</v>
      </c>
      <c r="E64" s="1151" t="s">
        <v>1482</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2.6</v>
      </c>
      <c r="D65" s="1165" t="s">
        <v>1442</v>
      </c>
      <c r="E65" s="1151" t="s">
        <v>1443</v>
      </c>
      <c r="F65" s="376">
        <f t="shared" ca="1" si="0"/>
        <v>1.5E-3</v>
      </c>
      <c r="I65" s="1908" t="s">
        <v>1567</v>
      </c>
      <c r="J65" s="1909">
        <v>40</v>
      </c>
      <c r="K65" s="1909">
        <v>30</v>
      </c>
      <c r="L65" s="1909">
        <v>50</v>
      </c>
      <c r="M65" s="1911">
        <v>0.02</v>
      </c>
      <c r="O65" s="1864" t="s">
        <v>1037</v>
      </c>
      <c r="P65" s="1865" t="s">
        <v>1568</v>
      </c>
      <c r="Q65" s="1866">
        <f ca="1">C40+J29</f>
        <v>12056</v>
      </c>
      <c r="R65" s="1866" t="s">
        <v>1517</v>
      </c>
    </row>
    <row r="66" spans="1:18" s="1822" customFormat="1" ht="16.5" thickBot="1">
      <c r="A66" s="1183" t="s">
        <v>1492</v>
      </c>
      <c r="B66" s="1151" t="s">
        <v>1427</v>
      </c>
      <c r="C66" s="24">
        <f ca="1">ROUND(C48*F66,1)</f>
        <v>0</v>
      </c>
      <c r="D66" s="1165" t="s">
        <v>1493</v>
      </c>
      <c r="E66" s="1151" t="s">
        <v>1410</v>
      </c>
      <c r="F66" s="357">
        <f t="shared" ca="1" si="0"/>
        <v>0.05</v>
      </c>
      <c r="O66" s="1864" t="s">
        <v>1038</v>
      </c>
      <c r="P66" s="1865" t="s">
        <v>1546</v>
      </c>
      <c r="Q66" s="1866">
        <f ca="1">L60</f>
        <v>0</v>
      </c>
      <c r="R66" s="1866" t="s">
        <v>1569</v>
      </c>
    </row>
    <row r="67" spans="1:18" s="1822" customFormat="1" ht="16.5" thickBot="1">
      <c r="A67" s="1158" t="s">
        <v>1028</v>
      </c>
      <c r="B67" s="1168" t="s">
        <v>1451</v>
      </c>
      <c r="C67" s="361">
        <f ca="1">C48-C58</f>
        <v>-218</v>
      </c>
      <c r="D67" s="1164" t="s">
        <v>1452</v>
      </c>
      <c r="E67" s="1169"/>
      <c r="F67" s="1170"/>
      <c r="O67" s="1874" t="s">
        <v>1039</v>
      </c>
      <c r="P67" s="1865" t="s">
        <v>1550</v>
      </c>
      <c r="Q67" s="1912">
        <f ca="1">L51</f>
        <v>9295</v>
      </c>
      <c r="R67" s="1866" t="s">
        <v>1570</v>
      </c>
    </row>
    <row r="68" spans="1:18" s="1822" customFormat="1" ht="16.5" thickBot="1">
      <c r="A68" s="1148" t="s">
        <v>1029</v>
      </c>
      <c r="B68" s="1149" t="s">
        <v>1473</v>
      </c>
      <c r="C68" s="346">
        <f ca="1">ROUND(C67*(1-((1+F70)/(1+F68))^F69)/(F68-F70),0)</f>
        <v>-448</v>
      </c>
      <c r="D68" s="1166" t="s">
        <v>1457</v>
      </c>
      <c r="E68" s="1151" t="s">
        <v>1458</v>
      </c>
      <c r="F68" s="357">
        <f ca="1">F40</f>
        <v>5.5E-2</v>
      </c>
      <c r="O68" s="1874" t="s">
        <v>1040</v>
      </c>
      <c r="P68" s="1913" t="s">
        <v>1571</v>
      </c>
      <c r="Q68" s="1866">
        <f ca="1">ROUND(Q69-Q70*Q71,0)</f>
        <v>692</v>
      </c>
      <c r="R68" s="1866" t="s">
        <v>1048</v>
      </c>
    </row>
    <row r="69" spans="1:18" s="1822" customFormat="1" ht="13.5" thickBot="1">
      <c r="A69" s="1152"/>
      <c r="B69" s="1153"/>
      <c r="C69" s="351"/>
      <c r="D69" s="1171" t="s">
        <v>1461</v>
      </c>
      <c r="E69" s="1151" t="s">
        <v>1462</v>
      </c>
      <c r="F69" s="379">
        <f ca="1">F41</f>
        <v>2.2400000000000002</v>
      </c>
      <c r="O69" s="1874" t="s">
        <v>1045</v>
      </c>
      <c r="P69" s="1913" t="s">
        <v>1572</v>
      </c>
      <c r="Q69" s="1866">
        <f ca="1">C39</f>
        <v>840</v>
      </c>
      <c r="R69" s="1866" t="s">
        <v>1517</v>
      </c>
    </row>
    <row r="70" spans="1:18" s="1822" customFormat="1" ht="13.5" thickBot="1">
      <c r="A70" s="1155"/>
      <c r="B70" s="1156"/>
      <c r="C70" s="355"/>
      <c r="D70" s="1167"/>
      <c r="E70" s="1151" t="s">
        <v>1465</v>
      </c>
      <c r="F70" s="1257"/>
      <c r="O70" s="1874" t="s">
        <v>1046</v>
      </c>
      <c r="P70" s="1913" t="s">
        <v>1573</v>
      </c>
      <c r="Q70" s="1866">
        <f ca="1">C13</f>
        <v>1737</v>
      </c>
      <c r="R70" s="1866" t="s">
        <v>1517</v>
      </c>
    </row>
    <row r="71" spans="1:18" s="1822" customFormat="1" ht="13.5" thickBot="1">
      <c r="A71" s="1172" t="s">
        <v>1030</v>
      </c>
      <c r="B71" s="1173" t="s">
        <v>1475</v>
      </c>
      <c r="C71" s="382">
        <f ca="1">ROUND(C68*10000/F71,0)</f>
        <v>-1101</v>
      </c>
      <c r="D71" s="1174" t="s">
        <v>1476</v>
      </c>
      <c r="E71" s="1175" t="s">
        <v>1477</v>
      </c>
      <c r="F71" s="385">
        <f ca="1">F43</f>
        <v>4069.3900000000003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148</v>
      </c>
      <c r="D75" s="1822"/>
      <c r="E75" s="1822"/>
      <c r="F75" s="1822"/>
      <c r="K75" s="1848"/>
      <c r="L75" s="1822"/>
      <c r="O75" s="1864" t="s">
        <v>1043</v>
      </c>
      <c r="P75" s="1865" t="s">
        <v>1537</v>
      </c>
      <c r="Q75" s="1866">
        <f ca="1">Q65+Q66</f>
        <v>12056</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0.82400000000000007</v>
      </c>
    </row>
    <row r="80" spans="1:18">
      <c r="B80" s="386" t="s">
        <v>1499</v>
      </c>
      <c r="C80" s="318">
        <f ca="1">ROUND(C75/C39,3)</f>
        <v>0.17599999999999999</v>
      </c>
    </row>
    <row r="81" spans="2:3">
      <c r="B81" s="314" t="s">
        <v>1500</v>
      </c>
      <c r="C81" s="282"/>
    </row>
    <row r="82" spans="2:3">
      <c r="B82" s="317" t="s">
        <v>1501</v>
      </c>
      <c r="C82" s="319">
        <f ca="1">1-C83</f>
        <v>-6.0000000000000053E-3</v>
      </c>
    </row>
    <row r="83" spans="2:3">
      <c r="B83" s="317" t="s">
        <v>1502</v>
      </c>
      <c r="C83" s="318">
        <f ca="1">ROUND(C13/C40,3)</f>
        <v>1.006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3684</v>
      </c>
      <c r="D1" s="1800" t="s">
        <v>70</v>
      </c>
      <c r="E1" s="1801" t="s">
        <v>1375</v>
      </c>
      <c r="F1" s="1265">
        <f ca="1">J53</f>
        <v>22.8</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35010</v>
      </c>
      <c r="C2" s="1825" t="s">
        <v>1504</v>
      </c>
      <c r="D2" s="1825"/>
      <c r="E2" s="1826"/>
      <c r="F2" s="1827"/>
      <c r="G2" s="1828"/>
      <c r="H2" s="1820"/>
      <c r="I2" s="1820"/>
      <c r="J2" s="1820"/>
      <c r="K2" s="1821"/>
      <c r="L2" s="1820"/>
      <c r="M2" s="1820"/>
    </row>
    <row r="3" spans="1:37" ht="18" customHeight="1" thickBot="1">
      <c r="A3" s="1829" t="s">
        <v>1505</v>
      </c>
      <c r="B3" s="1830">
        <f ca="1">IF(ISERROR(B2*10000/F43),0,ROUND(B2*10000/F43,0))</f>
        <v>28963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2790</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2787</v>
      </c>
      <c r="D6" s="164" t="s">
        <v>3004</v>
      </c>
      <c r="E6" s="347" t="s">
        <v>1393</v>
      </c>
      <c r="F6" s="348">
        <f ca="1">INDIRECT("'数据-取费表'!u"&amp;$G$1)</f>
        <v>7</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1280" t="s">
        <v>1394</v>
      </c>
      <c r="F7" s="348">
        <f ca="1">IF(INDIRECT("'数据-取费表'!ah"&amp;$G$1)="",INDIRECT("'数据-取费表'!k"&amp;$G$1),INDIRECT("'数据-取费表'!ah"&amp;$G$1))</f>
        <v>12087.629999999997</v>
      </c>
      <c r="G7" s="1831"/>
      <c r="H7" s="349"/>
      <c r="I7" s="3687"/>
      <c r="J7" s="351"/>
      <c r="K7" s="352"/>
      <c r="L7" s="347" t="s">
        <v>1394</v>
      </c>
      <c r="M7" s="348">
        <f ca="1">F7</f>
        <v>12087.629999999997</v>
      </c>
    </row>
    <row r="8" spans="1:37" ht="18" customHeight="1">
      <c r="A8" s="349"/>
      <c r="B8" s="3687"/>
      <c r="C8" s="351"/>
      <c r="D8" s="352"/>
      <c r="E8" s="347" t="s">
        <v>1395</v>
      </c>
      <c r="F8" s="348">
        <f ca="1">INDIRECT("'数据-取费表'!ai"&amp;$G$1)</f>
        <v>366</v>
      </c>
      <c r="G8" s="1831"/>
      <c r="H8" s="349"/>
      <c r="I8" s="3687"/>
      <c r="J8" s="351"/>
      <c r="K8" s="352"/>
      <c r="L8" s="347" t="s">
        <v>1395</v>
      </c>
      <c r="M8" s="348">
        <f ca="1">INDIRECT("'数据-取费表'!ai"&amp;$G$1)</f>
        <v>366</v>
      </c>
    </row>
    <row r="9" spans="1:37" ht="18" customHeight="1">
      <c r="A9" s="349"/>
      <c r="B9" s="3688"/>
      <c r="C9" s="351"/>
      <c r="D9" s="352"/>
      <c r="E9" s="347" t="s">
        <v>1396</v>
      </c>
      <c r="F9" s="357">
        <f ca="1">INDIRECT("'数据-取费表'!w"&amp;$G$1)</f>
        <v>0.1</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3</v>
      </c>
      <c r="D10" s="1804" t="s">
        <v>3013</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5160</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4231</v>
      </c>
      <c r="D14" s="1780" t="s">
        <v>1406</v>
      </c>
      <c r="E14" s="1774"/>
      <c r="F14" s="364"/>
      <c r="G14" s="1831"/>
      <c r="H14" s="1183" t="s">
        <v>1032</v>
      </c>
      <c r="I14" s="347" t="s">
        <v>1407</v>
      </c>
      <c r="J14" s="24">
        <f ca="1">C29</f>
        <v>6450</v>
      </c>
      <c r="K14" s="15"/>
      <c r="L14" s="969"/>
      <c r="M14" s="970"/>
    </row>
    <row r="15" spans="1:37" s="1838" customFormat="1" ht="18" customHeight="1" thickBot="1">
      <c r="A15" s="1183" t="s">
        <v>1033</v>
      </c>
      <c r="B15" s="347" t="s">
        <v>1408</v>
      </c>
      <c r="C15" s="24">
        <f ca="1">ROUND(C14*F15,0)</f>
        <v>127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98</v>
      </c>
      <c r="K16" s="1319" t="s">
        <v>1413</v>
      </c>
      <c r="L16" s="1320"/>
      <c r="M16" s="1276"/>
    </row>
    <row r="17" spans="1:37" s="1838" customFormat="1" ht="18" customHeight="1">
      <c r="A17" s="1183" t="s">
        <v>1378</v>
      </c>
      <c r="B17" s="347" t="s">
        <v>1414</v>
      </c>
      <c r="C17" s="24">
        <f ca="1">ROUND(F17*(F43+INDIRECT("'数据-取费表'!S"&amp;$G$1))/10000,0)</f>
        <v>252</v>
      </c>
      <c r="D17" s="347" t="s">
        <v>1415</v>
      </c>
      <c r="E17" s="347" t="s">
        <v>1416</v>
      </c>
      <c r="F17" s="26">
        <f>'数据-取费表'!B35</f>
        <v>200</v>
      </c>
      <c r="G17" s="1834"/>
      <c r="H17" s="1183" t="s">
        <v>1032</v>
      </c>
      <c r="I17" s="347" t="s">
        <v>1417</v>
      </c>
      <c r="J17" s="24">
        <f ca="1">ROUND(IF(项目基本情况!B11="自然人",J6*M17/(1+'数据-取费表'!C42),J18+J19+J20),1)</f>
        <v>0.9</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63</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4673</v>
      </c>
      <c r="D19" s="140" t="s">
        <v>1424</v>
      </c>
      <c r="E19" s="1798"/>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93</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2892.62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96.8</v>
      </c>
      <c r="K22" s="177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226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0.05</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-98</v>
      </c>
      <c r="K25" s="1327" t="s">
        <v>1452</v>
      </c>
      <c r="L25" s="1328"/>
      <c r="M25" s="1329"/>
    </row>
    <row r="26" spans="1:37">
      <c r="A26" s="1183" t="s">
        <v>1031</v>
      </c>
      <c r="B26" s="347" t="s">
        <v>1453</v>
      </c>
      <c r="C26" s="24">
        <f ca="1">ROUND((C19+C20)*F26,0)</f>
        <v>953</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6450</v>
      </c>
      <c r="D29" s="1324"/>
      <c r="E29" s="1322"/>
      <c r="F29" s="1325"/>
      <c r="G29" s="1834"/>
      <c r="H29" s="380" t="s">
        <v>1030</v>
      </c>
      <c r="I29" s="381" t="s">
        <v>1467</v>
      </c>
      <c r="J29" s="382">
        <f ca="1">ROUND(J26/(1+F40)^F41,0)</f>
        <v>0</v>
      </c>
      <c r="K29" s="383" t="s">
        <v>1468</v>
      </c>
      <c r="L29" s="384"/>
      <c r="M29" s="385">
        <f ca="1">INDIRECT("'数据-取费表'!k"&amp;$G$1)</f>
        <v>12087.629999999997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712</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468</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148.63999999999999</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318.51</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2892.62</v>
      </c>
      <c r="G35" s="1831"/>
      <c r="H35" s="741"/>
      <c r="I35" s="1840"/>
      <c r="J35" s="1841"/>
      <c r="K35" s="1842"/>
      <c r="L35" s="1839"/>
      <c r="M35" s="1839"/>
    </row>
    <row r="36" spans="1:18" ht="18" customHeight="1">
      <c r="A36" s="1334" t="s">
        <v>1036</v>
      </c>
      <c r="B36" s="347" t="s">
        <v>1437</v>
      </c>
      <c r="C36" s="24">
        <f ca="1">ROUND(C29*F36,1)</f>
        <v>96.8</v>
      </c>
      <c r="D36" s="177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7.7</v>
      </c>
      <c r="D37" s="1778" t="s">
        <v>1442</v>
      </c>
      <c r="E37" s="347" t="s">
        <v>1443</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139.5</v>
      </c>
      <c r="D38" s="1324" t="s">
        <v>1447</v>
      </c>
      <c r="E38" s="1322" t="s">
        <v>1443</v>
      </c>
      <c r="F38" s="1318">
        <f ca="1">INDIRECT("'数据-取费表'!Am"&amp;$G$1)</f>
        <v>0.05</v>
      </c>
      <c r="G38" s="1831"/>
      <c r="H38" s="1839"/>
      <c r="I38" s="1840"/>
      <c r="J38" s="1841"/>
      <c r="K38" s="1845"/>
      <c r="L38" s="1839"/>
      <c r="M38" s="1839"/>
    </row>
    <row r="39" spans="1:18" ht="24.6" customHeight="1" thickTop="1">
      <c r="A39" s="1311" t="s">
        <v>1028</v>
      </c>
      <c r="B39" s="1326" t="s">
        <v>1471</v>
      </c>
      <c r="C39" s="355">
        <f ca="1">C5-C30</f>
        <v>2078</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35010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22.8</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28963</v>
      </c>
      <c r="D43" s="383" t="s">
        <v>1476</v>
      </c>
      <c r="E43" s="384" t="s">
        <v>1477</v>
      </c>
      <c r="F43" s="385">
        <f ca="1">INDIRECT("'数据-取费表'!k"&amp;$G$1)</f>
        <v>12087.629999999997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-43303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35010</v>
      </c>
      <c r="R47" s="1866" t="s">
        <v>1517</v>
      </c>
    </row>
    <row r="48" spans="1:18" s="1822" customFormat="1" ht="28.5" thickBot="1">
      <c r="A48" s="1342" t="s">
        <v>1125</v>
      </c>
      <c r="B48" s="345" t="s">
        <v>1389</v>
      </c>
      <c r="C48" s="1797">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6450</v>
      </c>
      <c r="R49" s="1866" t="s">
        <v>1517</v>
      </c>
    </row>
    <row r="50" spans="1:18" s="1822" customFormat="1" ht="13.5" thickBot="1">
      <c r="A50" s="1177"/>
      <c r="B50" s="1180"/>
      <c r="C50" s="1350"/>
      <c r="D50" s="1154"/>
      <c r="E50" s="1259" t="s">
        <v>1394</v>
      </c>
      <c r="F50" s="1260">
        <f ca="1">F7</f>
        <v>12087.629999999997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366</v>
      </c>
      <c r="I51" s="1878" t="s">
        <v>1528</v>
      </c>
      <c r="J51" s="1879">
        <f>IF(J49="",J50,J49+J50-YEAR('数据-取费表'!B2))</f>
        <v>37</v>
      </c>
      <c r="K51" s="1880" t="s">
        <v>1529</v>
      </c>
      <c r="L51" s="1881">
        <f ca="1">ROUND(-PV(INDIRECT("'数据-取费表'!h"&amp;$G$1),L48,(C39-C13*C76),0),0)</f>
        <v>22008</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89" t="s">
        <v>1536</v>
      </c>
      <c r="L53" s="3690"/>
      <c r="O53" s="1864" t="s">
        <v>1043</v>
      </c>
      <c r="P53" s="1865" t="s">
        <v>1537</v>
      </c>
      <c r="Q53" s="1866">
        <f ca="1">Q47+Q48</f>
        <v>35010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5160</v>
      </c>
      <c r="D56" s="1893"/>
      <c r="E56" s="1894"/>
      <c r="F56" s="1886"/>
      <c r="I56" s="1895" t="s">
        <v>1542</v>
      </c>
      <c r="J56" s="1896" t="s">
        <v>3042</v>
      </c>
      <c r="K56" s="1867" t="s">
        <v>1543</v>
      </c>
      <c r="L56" s="1870" t="str">
        <f ca="1">IF(L48&lt;J51,"——",L48-J53)</f>
        <v>——</v>
      </c>
      <c r="O56" s="1864" t="s">
        <v>1037</v>
      </c>
      <c r="P56" s="1865" t="s">
        <v>1516</v>
      </c>
      <c r="Q56" s="1866">
        <f ca="1">C40+J29</f>
        <v>35010</v>
      </c>
      <c r="R56" s="1866" t="s">
        <v>1517</v>
      </c>
    </row>
    <row r="57" spans="1:18" s="1822" customFormat="1" ht="24.75" thickBot="1">
      <c r="A57" s="1897"/>
      <c r="B57" s="1151" t="s">
        <v>1466</v>
      </c>
      <c r="C57" s="282">
        <f ca="1">C29</f>
        <v>6450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647</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542.70000000000005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541.79999999999995</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0.87</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35010</v>
      </c>
      <c r="R62" s="1866" t="s">
        <v>1044</v>
      </c>
    </row>
    <row r="63" spans="1:18" s="1822" customFormat="1" ht="13.5" thickBot="1">
      <c r="A63" s="372"/>
      <c r="B63" s="1157"/>
      <c r="C63" s="29"/>
      <c r="D63" s="1167"/>
      <c r="E63" s="1151" t="s">
        <v>1487</v>
      </c>
      <c r="F63" s="348">
        <f t="shared" ca="1" si="0"/>
        <v>2892.62</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96.8</v>
      </c>
      <c r="D64" s="1165" t="s">
        <v>1490</v>
      </c>
      <c r="E64" s="1151" t="s">
        <v>1482</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7.7</v>
      </c>
      <c r="D65" s="1165" t="s">
        <v>1442</v>
      </c>
      <c r="E65" s="1151" t="s">
        <v>1443</v>
      </c>
      <c r="F65" s="376">
        <f t="shared" ca="1" si="0"/>
        <v>1.5E-3</v>
      </c>
      <c r="I65" s="1908" t="s">
        <v>1567</v>
      </c>
      <c r="J65" s="1909">
        <v>40</v>
      </c>
      <c r="K65" s="1909">
        <v>30</v>
      </c>
      <c r="L65" s="1909">
        <v>50</v>
      </c>
      <c r="M65" s="1911">
        <v>0.02</v>
      </c>
      <c r="O65" s="1864" t="s">
        <v>1037</v>
      </c>
      <c r="P65" s="1865" t="s">
        <v>1568</v>
      </c>
      <c r="Q65" s="1866">
        <f ca="1">C40+J29</f>
        <v>35010</v>
      </c>
      <c r="R65" s="1866" t="s">
        <v>1517</v>
      </c>
    </row>
    <row r="66" spans="1:18" s="1822" customFormat="1" ht="16.5" thickBot="1">
      <c r="A66" s="1183" t="s">
        <v>1492</v>
      </c>
      <c r="B66" s="1151" t="s">
        <v>1427</v>
      </c>
      <c r="C66" s="24">
        <f ca="1">ROUND(C48*F66,1)</f>
        <v>0</v>
      </c>
      <c r="D66" s="1165" t="s">
        <v>1493</v>
      </c>
      <c r="E66" s="1151" t="s">
        <v>1410</v>
      </c>
      <c r="F66" s="357">
        <f t="shared" ca="1" si="0"/>
        <v>0.05</v>
      </c>
      <c r="O66" s="1864" t="s">
        <v>1038</v>
      </c>
      <c r="P66" s="1865" t="s">
        <v>1546</v>
      </c>
      <c r="Q66" s="1866">
        <f ca="1">L60</f>
        <v>0</v>
      </c>
      <c r="R66" s="1866" t="s">
        <v>1569</v>
      </c>
    </row>
    <row r="67" spans="1:18" s="1822" customFormat="1" ht="16.5" thickBot="1">
      <c r="A67" s="1158" t="s">
        <v>1028</v>
      </c>
      <c r="B67" s="1168" t="s">
        <v>1451</v>
      </c>
      <c r="C67" s="361">
        <f ca="1">C48-C58</f>
        <v>-647</v>
      </c>
      <c r="D67" s="1164" t="s">
        <v>1452</v>
      </c>
      <c r="E67" s="1169"/>
      <c r="F67" s="1170"/>
      <c r="O67" s="1874" t="s">
        <v>1039</v>
      </c>
      <c r="P67" s="1865" t="s">
        <v>1550</v>
      </c>
      <c r="Q67" s="1912">
        <f ca="1">L51</f>
        <v>22008</v>
      </c>
      <c r="R67" s="1866" t="s">
        <v>1570</v>
      </c>
    </row>
    <row r="68" spans="1:18" s="1822" customFormat="1" ht="16.5" thickBot="1">
      <c r="A68" s="1148" t="s">
        <v>1029</v>
      </c>
      <c r="B68" s="1149" t="s">
        <v>1473</v>
      </c>
      <c r="C68" s="346">
        <f ca="1">ROUND(C67*(1-((1+F70)/(1+F68))^F69)/(F68-F70),0)</f>
        <v>-8293</v>
      </c>
      <c r="D68" s="1166" t="s">
        <v>1457</v>
      </c>
      <c r="E68" s="1151" t="s">
        <v>1458</v>
      </c>
      <c r="F68" s="357">
        <f ca="1">F40</f>
        <v>5.5E-2</v>
      </c>
      <c r="O68" s="1874" t="s">
        <v>1040</v>
      </c>
      <c r="P68" s="1913" t="s">
        <v>1571</v>
      </c>
      <c r="Q68" s="1866">
        <f ca="1">ROUND(Q69-Q70*Q71,0)</f>
        <v>1639</v>
      </c>
      <c r="R68" s="1866" t="s">
        <v>1048</v>
      </c>
    </row>
    <row r="69" spans="1:18" s="1822" customFormat="1" ht="13.5" thickBot="1">
      <c r="A69" s="1152"/>
      <c r="B69" s="1153"/>
      <c r="C69" s="351"/>
      <c r="D69" s="1171" t="s">
        <v>1461</v>
      </c>
      <c r="E69" s="1151" t="s">
        <v>1462</v>
      </c>
      <c r="F69" s="379">
        <f ca="1">F41</f>
        <v>22.8</v>
      </c>
      <c r="O69" s="1874" t="s">
        <v>1045</v>
      </c>
      <c r="P69" s="1913" t="s">
        <v>1572</v>
      </c>
      <c r="Q69" s="1866">
        <f ca="1">C39</f>
        <v>2078</v>
      </c>
      <c r="R69" s="1866" t="s">
        <v>1517</v>
      </c>
    </row>
    <row r="70" spans="1:18" s="1822" customFormat="1" ht="13.5" thickBot="1">
      <c r="A70" s="1155"/>
      <c r="B70" s="1156"/>
      <c r="C70" s="355"/>
      <c r="D70" s="1167"/>
      <c r="E70" s="1151" t="s">
        <v>1465</v>
      </c>
      <c r="F70" s="1257"/>
      <c r="O70" s="1874" t="s">
        <v>1046</v>
      </c>
      <c r="P70" s="1913" t="s">
        <v>1573</v>
      </c>
      <c r="Q70" s="1866">
        <f ca="1">C13</f>
        <v>5160</v>
      </c>
      <c r="R70" s="1866" t="s">
        <v>1517</v>
      </c>
    </row>
    <row r="71" spans="1:18" s="1822" customFormat="1" ht="13.5" thickBot="1">
      <c r="A71" s="1172" t="s">
        <v>1030</v>
      </c>
      <c r="B71" s="1173" t="s">
        <v>1475</v>
      </c>
      <c r="C71" s="382">
        <f ca="1">ROUND(C68*10000/F71,0)</f>
        <v>-6861</v>
      </c>
      <c r="D71" s="1174" t="s">
        <v>1476</v>
      </c>
      <c r="E71" s="1175" t="s">
        <v>1477</v>
      </c>
      <c r="F71" s="385">
        <f ca="1">F43</f>
        <v>12087.629999999997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439</v>
      </c>
      <c r="D75" s="1822"/>
      <c r="E75" s="1822"/>
      <c r="F75" s="1822"/>
      <c r="K75" s="1848"/>
      <c r="L75" s="1822"/>
      <c r="O75" s="1864" t="s">
        <v>1043</v>
      </c>
      <c r="P75" s="1865" t="s">
        <v>1537</v>
      </c>
      <c r="Q75" s="1866">
        <f ca="1">Q65+Q66</f>
        <v>35010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0.78900000000000003</v>
      </c>
    </row>
    <row r="80" spans="1:18">
      <c r="B80" s="386" t="s">
        <v>1499</v>
      </c>
      <c r="C80" s="318">
        <f ca="1">ROUND(C75/C39,3)</f>
        <v>0.21099999999999999</v>
      </c>
    </row>
    <row r="81" spans="2:3">
      <c r="B81" s="314" t="s">
        <v>1500</v>
      </c>
      <c r="C81" s="282"/>
    </row>
    <row r="82" spans="2:3">
      <c r="B82" s="317" t="s">
        <v>1501</v>
      </c>
      <c r="C82" s="319">
        <f ca="1">1-C83</f>
        <v>0.85299999999999998</v>
      </c>
    </row>
    <row r="83" spans="2:3">
      <c r="B83" s="317" t="s">
        <v>1502</v>
      </c>
      <c r="C83" s="318">
        <f ca="1">ROUND(C13/C40,3)</f>
        <v>0.14699999999999999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47823.990000000005</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55" t="s">
        <v>2524</v>
      </c>
      <c r="D4" s="3656"/>
      <c r="E4" s="3657" t="s">
        <v>2525</v>
      </c>
      <c r="F4" s="3658"/>
      <c r="G4" s="3655" t="s">
        <v>2526</v>
      </c>
      <c r="H4" s="3656"/>
      <c r="I4" s="3655" t="s">
        <v>2527</v>
      </c>
      <c r="J4" s="3656"/>
      <c r="K4" s="2569" t="s">
        <v>2528</v>
      </c>
      <c r="L4" s="1113"/>
      <c r="M4" s="1114"/>
      <c r="N4" s="1114"/>
      <c r="O4" s="1114"/>
      <c r="P4" s="3659" t="s">
        <v>2529</v>
      </c>
      <c r="Q4" s="3660"/>
      <c r="R4" s="3642" t="s">
        <v>2525</v>
      </c>
      <c r="S4" s="3643"/>
      <c r="T4" s="3642" t="s">
        <v>2526</v>
      </c>
      <c r="U4" s="3643"/>
      <c r="V4" s="3639" t="s">
        <v>2527</v>
      </c>
      <c r="W4" s="3639"/>
      <c r="X4" s="1793"/>
      <c r="Y4" s="3642" t="s">
        <v>2529</v>
      </c>
      <c r="Z4" s="3643"/>
      <c r="AA4" s="3636" t="s">
        <v>2525</v>
      </c>
      <c r="AB4" s="3636" t="s">
        <v>2526</v>
      </c>
      <c r="AC4" s="3636" t="s">
        <v>2527</v>
      </c>
    </row>
    <row r="5" spans="1:29" ht="15">
      <c r="A5" s="403"/>
      <c r="B5" s="404"/>
      <c r="C5" s="3711" t="s">
        <v>2530</v>
      </c>
      <c r="D5" s="3712"/>
      <c r="E5" s="3709" t="s">
        <v>2531</v>
      </c>
      <c r="F5" s="3710"/>
      <c r="G5" s="3711" t="s">
        <v>2532</v>
      </c>
      <c r="H5" s="3712"/>
      <c r="I5" s="3711" t="s">
        <v>2533</v>
      </c>
      <c r="J5" s="3712"/>
      <c r="K5" s="2570"/>
      <c r="L5" s="1113"/>
      <c r="M5" s="1114"/>
      <c r="N5" s="1114"/>
      <c r="O5" s="1114"/>
      <c r="P5" s="3661"/>
      <c r="Q5" s="3662"/>
      <c r="R5" s="3644"/>
      <c r="S5" s="3645"/>
      <c r="T5" s="3644"/>
      <c r="U5" s="3645"/>
      <c r="V5" s="3639"/>
      <c r="W5" s="3639"/>
      <c r="X5" s="1793"/>
      <c r="Y5" s="3644"/>
      <c r="Z5" s="3645"/>
      <c r="AA5" s="3637"/>
      <c r="AB5" s="3637"/>
      <c r="AC5" s="3637"/>
    </row>
    <row r="6" spans="1:29" ht="15.75" thickBot="1">
      <c r="A6" s="405"/>
      <c r="B6" s="406"/>
      <c r="C6" s="3650" t="s">
        <v>2534</v>
      </c>
      <c r="D6" s="3651"/>
      <c r="E6" s="3652" t="s">
        <v>2534</v>
      </c>
      <c r="F6" s="3653"/>
      <c r="G6" s="3650" t="s">
        <v>2534</v>
      </c>
      <c r="H6" s="3651"/>
      <c r="I6" s="3650" t="s">
        <v>2534</v>
      </c>
      <c r="J6" s="3651"/>
      <c r="K6" s="2570" t="s">
        <v>2535</v>
      </c>
      <c r="L6" s="1113"/>
      <c r="M6" s="1114"/>
      <c r="N6" s="1114"/>
      <c r="O6" s="1114"/>
      <c r="P6" s="3663"/>
      <c r="Q6" s="3664"/>
      <c r="R6" s="3644"/>
      <c r="S6" s="3645"/>
      <c r="T6" s="3665"/>
      <c r="U6" s="3666"/>
      <c r="V6" s="3639"/>
      <c r="W6" s="3639"/>
      <c r="X6" s="1793"/>
      <c r="Y6" s="3665"/>
      <c r="Z6" s="3666"/>
      <c r="AA6" s="3638"/>
      <c r="AB6" s="3638"/>
      <c r="AC6" s="3638"/>
    </row>
    <row r="7" spans="1:29" s="117" customFormat="1" ht="15.75" thickBot="1">
      <c r="A7" s="407" t="s">
        <v>2536</v>
      </c>
      <c r="B7" s="408"/>
      <c r="C7" s="409">
        <f>'数据-取费表'!B2</f>
        <v>43983</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640" t="s">
        <v>2537</v>
      </c>
      <c r="Q7" s="3667"/>
      <c r="R7" s="766" t="s">
        <v>23</v>
      </c>
      <c r="S7" s="767">
        <f t="shared" ref="S7:S15" si="0">F7</f>
        <v>0</v>
      </c>
      <c r="T7" s="766" t="s">
        <v>23</v>
      </c>
      <c r="U7" s="767">
        <f t="shared" ref="U7:U15" si="1">H7</f>
        <v>0</v>
      </c>
      <c r="V7" s="766" t="s">
        <v>23</v>
      </c>
      <c r="W7" s="767">
        <f t="shared" ref="W7:W15" si="2">J7</f>
        <v>0</v>
      </c>
      <c r="X7" s="768"/>
      <c r="Y7" s="3640" t="s">
        <v>2537</v>
      </c>
      <c r="Z7" s="3641"/>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640" t="s">
        <v>2540</v>
      </c>
      <c r="Q8" s="3641"/>
      <c r="R8" s="766" t="s">
        <v>23</v>
      </c>
      <c r="S8" s="767">
        <f t="shared" si="0"/>
        <v>0</v>
      </c>
      <c r="T8" s="766" t="s">
        <v>23</v>
      </c>
      <c r="U8" s="767">
        <f t="shared" si="1"/>
        <v>0</v>
      </c>
      <c r="V8" s="766" t="s">
        <v>23</v>
      </c>
      <c r="W8" s="767">
        <f t="shared" si="2"/>
        <v>0</v>
      </c>
      <c r="X8" s="768"/>
      <c r="Y8" s="3640" t="s">
        <v>2540</v>
      </c>
      <c r="Z8" s="3641"/>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54" t="s">
        <v>2543</v>
      </c>
      <c r="Q9" s="1775" t="str">
        <f t="shared" ref="Q9:Q15" si="6">B9</f>
        <v>用途</v>
      </c>
      <c r="R9" s="766" t="s">
        <v>17</v>
      </c>
      <c r="S9" s="767">
        <f t="shared" si="0"/>
        <v>100</v>
      </c>
      <c r="T9" s="766" t="s">
        <v>17</v>
      </c>
      <c r="U9" s="767">
        <f t="shared" si="1"/>
        <v>100</v>
      </c>
      <c r="V9" s="766" t="s">
        <v>17</v>
      </c>
      <c r="W9" s="767">
        <f t="shared" si="2"/>
        <v>100</v>
      </c>
      <c r="X9" s="768"/>
      <c r="Y9" s="3504"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54"/>
      <c r="Q10" s="1775" t="str">
        <f t="shared" si="6"/>
        <v>土地使用年限（年）</v>
      </c>
      <c r="R10" s="766" t="s">
        <v>17</v>
      </c>
      <c r="S10" s="767">
        <f t="shared" si="0"/>
        <v>100</v>
      </c>
      <c r="T10" s="766" t="s">
        <v>17</v>
      </c>
      <c r="U10" s="767">
        <f t="shared" si="1"/>
        <v>100</v>
      </c>
      <c r="V10" s="766" t="s">
        <v>17</v>
      </c>
      <c r="W10" s="767">
        <f t="shared" si="2"/>
        <v>100</v>
      </c>
      <c r="X10" s="768"/>
      <c r="Y10" s="3504"/>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54"/>
      <c r="Q11" s="1775" t="str">
        <f t="shared" si="6"/>
        <v>容积率</v>
      </c>
      <c r="R11" s="766" t="s">
        <v>21</v>
      </c>
      <c r="S11" s="767" t="e">
        <f t="shared" si="0"/>
        <v>#N/A</v>
      </c>
      <c r="T11" s="766" t="s">
        <v>21</v>
      </c>
      <c r="U11" s="767" t="e">
        <f t="shared" si="1"/>
        <v>#N/A</v>
      </c>
      <c r="V11" s="766" t="s">
        <v>21</v>
      </c>
      <c r="W11" s="767" t="e">
        <f t="shared" si="2"/>
        <v>#N/A</v>
      </c>
      <c r="X11" s="768"/>
      <c r="Y11" s="3504"/>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54"/>
      <c r="Q12" s="1775">
        <f t="shared" si="6"/>
        <v>111</v>
      </c>
      <c r="R12" s="766" t="s">
        <v>21</v>
      </c>
      <c r="S12" s="767">
        <f t="shared" si="0"/>
        <v>100</v>
      </c>
      <c r="T12" s="766" t="s">
        <v>21</v>
      </c>
      <c r="U12" s="767">
        <f t="shared" si="1"/>
        <v>100</v>
      </c>
      <c r="V12" s="766" t="s">
        <v>21</v>
      </c>
      <c r="W12" s="767">
        <f t="shared" si="2"/>
        <v>100</v>
      </c>
      <c r="X12" s="768"/>
      <c r="Y12" s="3504"/>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54"/>
      <c r="Q13" s="1775">
        <f t="shared" si="6"/>
        <v>111</v>
      </c>
      <c r="R13" s="766" t="s">
        <v>21</v>
      </c>
      <c r="S13" s="767">
        <f t="shared" si="0"/>
        <v>100</v>
      </c>
      <c r="T13" s="766" t="s">
        <v>21</v>
      </c>
      <c r="U13" s="767">
        <f t="shared" si="1"/>
        <v>100</v>
      </c>
      <c r="V13" s="766" t="s">
        <v>21</v>
      </c>
      <c r="W13" s="767">
        <f t="shared" si="2"/>
        <v>100</v>
      </c>
      <c r="X13" s="768"/>
      <c r="Y13" s="3504"/>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54"/>
      <c r="Q14" s="1775">
        <f t="shared" si="6"/>
        <v>111</v>
      </c>
      <c r="R14" s="766" t="s">
        <v>21</v>
      </c>
      <c r="S14" s="767">
        <f t="shared" si="0"/>
        <v>100</v>
      </c>
      <c r="T14" s="766" t="s">
        <v>21</v>
      </c>
      <c r="U14" s="767">
        <f t="shared" si="1"/>
        <v>100</v>
      </c>
      <c r="V14" s="766" t="s">
        <v>21</v>
      </c>
      <c r="W14" s="767">
        <f t="shared" si="2"/>
        <v>100</v>
      </c>
      <c r="X14" s="768"/>
      <c r="Y14" s="3504"/>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68" t="s">
        <v>2548</v>
      </c>
      <c r="Q15" s="1790" t="str">
        <f t="shared" si="6"/>
        <v>居住社区成熟度</v>
      </c>
      <c r="R15" s="770" t="s">
        <v>21</v>
      </c>
      <c r="S15" s="771">
        <f t="shared" si="0"/>
        <v>100</v>
      </c>
      <c r="T15" s="770" t="s">
        <v>21</v>
      </c>
      <c r="U15" s="771">
        <f t="shared" si="1"/>
        <v>100</v>
      </c>
      <c r="V15" s="770" t="s">
        <v>21</v>
      </c>
      <c r="W15" s="771">
        <f t="shared" si="2"/>
        <v>100</v>
      </c>
      <c r="X15" s="1793"/>
      <c r="Y15" s="3670"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669"/>
      <c r="Q16" s="1790"/>
      <c r="R16" s="770"/>
      <c r="S16" s="771"/>
      <c r="T16" s="770"/>
      <c r="U16" s="771"/>
      <c r="V16" s="770"/>
      <c r="W16" s="771"/>
      <c r="X16" s="1793"/>
      <c r="Y16" s="3671"/>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69"/>
      <c r="Q17" s="1790" t="str">
        <f>B17</f>
        <v>交通便捷度</v>
      </c>
      <c r="R17" s="770" t="s">
        <v>21</v>
      </c>
      <c r="S17" s="771">
        <f>F17</f>
        <v>100</v>
      </c>
      <c r="T17" s="770" t="s">
        <v>21</v>
      </c>
      <c r="U17" s="771">
        <f>H17</f>
        <v>100</v>
      </c>
      <c r="V17" s="770" t="s">
        <v>21</v>
      </c>
      <c r="W17" s="771">
        <f>J17</f>
        <v>100</v>
      </c>
      <c r="X17" s="1793"/>
      <c r="Y17" s="3671"/>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669"/>
      <c r="Q18" s="1790"/>
      <c r="R18" s="770"/>
      <c r="S18" s="771"/>
      <c r="T18" s="770"/>
      <c r="U18" s="771"/>
      <c r="V18" s="770"/>
      <c r="W18" s="771"/>
      <c r="X18" s="1793"/>
      <c r="Y18" s="3671"/>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69"/>
      <c r="Q19" s="1790" t="str">
        <f>B19</f>
        <v>公共配套设施</v>
      </c>
      <c r="R19" s="770" t="s">
        <v>21</v>
      </c>
      <c r="S19" s="771">
        <f>F19</f>
        <v>100</v>
      </c>
      <c r="T19" s="770" t="s">
        <v>21</v>
      </c>
      <c r="U19" s="771">
        <f>H19</f>
        <v>100</v>
      </c>
      <c r="V19" s="770" t="s">
        <v>21</v>
      </c>
      <c r="W19" s="771">
        <f>J19</f>
        <v>100</v>
      </c>
      <c r="X19" s="1793"/>
      <c r="Y19" s="3671"/>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669"/>
      <c r="Q20" s="1790"/>
      <c r="R20" s="770"/>
      <c r="S20" s="771"/>
      <c r="T20" s="770"/>
      <c r="U20" s="771"/>
      <c r="V20" s="770"/>
      <c r="W20" s="771"/>
      <c r="X20" s="1793"/>
      <c r="Y20" s="3671"/>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69"/>
      <c r="Q21" s="1790" t="str">
        <f>B21</f>
        <v>基础设施水平</v>
      </c>
      <c r="R21" s="770" t="s">
        <v>17</v>
      </c>
      <c r="S21" s="771">
        <f>F21</f>
        <v>100</v>
      </c>
      <c r="T21" s="770" t="s">
        <v>17</v>
      </c>
      <c r="U21" s="771">
        <f>H21</f>
        <v>100</v>
      </c>
      <c r="V21" s="770" t="s">
        <v>17</v>
      </c>
      <c r="W21" s="771">
        <f>J21</f>
        <v>100</v>
      </c>
      <c r="X21" s="1793"/>
      <c r="Y21" s="367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669"/>
      <c r="Q22" s="1790"/>
      <c r="R22" s="770"/>
      <c r="S22" s="771"/>
      <c r="T22" s="770"/>
      <c r="U22" s="771"/>
      <c r="V22" s="770"/>
      <c r="W22" s="771"/>
      <c r="X22" s="1793"/>
      <c r="Y22" s="3671"/>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69"/>
      <c r="Q23" s="1790" t="str">
        <f>B23</f>
        <v>自然及人文环境</v>
      </c>
      <c r="R23" s="770" t="s">
        <v>21</v>
      </c>
      <c r="S23" s="771">
        <f>F23</f>
        <v>100</v>
      </c>
      <c r="T23" s="770" t="s">
        <v>21</v>
      </c>
      <c r="U23" s="771">
        <f>H23</f>
        <v>100</v>
      </c>
      <c r="V23" s="770" t="s">
        <v>21</v>
      </c>
      <c r="W23" s="771">
        <f>J23</f>
        <v>100</v>
      </c>
      <c r="X23" s="1793"/>
      <c r="Y23" s="3671"/>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669"/>
      <c r="Q24" s="1790"/>
      <c r="R24" s="770"/>
      <c r="S24" s="771"/>
      <c r="T24" s="770"/>
      <c r="U24" s="771"/>
      <c r="V24" s="770"/>
      <c r="W24" s="771"/>
      <c r="X24" s="1793"/>
      <c r="Y24" s="3671"/>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669"/>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71"/>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669"/>
      <c r="Q26" s="1790" t="str">
        <f t="shared" si="11"/>
        <v>朝向</v>
      </c>
      <c r="R26" s="770" t="s">
        <v>21</v>
      </c>
      <c r="S26" s="771">
        <f t="shared" si="12"/>
        <v>100</v>
      </c>
      <c r="T26" s="770" t="s">
        <v>21</v>
      </c>
      <c r="U26" s="771">
        <f t="shared" si="13"/>
        <v>100</v>
      </c>
      <c r="V26" s="770" t="s">
        <v>21</v>
      </c>
      <c r="W26" s="771">
        <f t="shared" si="14"/>
        <v>100</v>
      </c>
      <c r="X26" s="1793"/>
      <c r="Y26" s="3671"/>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669"/>
      <c r="Q27" s="1775">
        <f t="shared" si="11"/>
        <v>111</v>
      </c>
      <c r="R27" s="766" t="s">
        <v>21</v>
      </c>
      <c r="S27" s="767">
        <f t="shared" si="12"/>
        <v>100</v>
      </c>
      <c r="T27" s="766" t="s">
        <v>21</v>
      </c>
      <c r="U27" s="767">
        <f t="shared" si="13"/>
        <v>100</v>
      </c>
      <c r="V27" s="766" t="s">
        <v>21</v>
      </c>
      <c r="W27" s="767">
        <f t="shared" si="14"/>
        <v>100</v>
      </c>
      <c r="X27" s="768"/>
      <c r="Y27" s="3671"/>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669"/>
      <c r="Q28" s="1790">
        <f t="shared" si="11"/>
        <v>111</v>
      </c>
      <c r="R28" s="770" t="s">
        <v>21</v>
      </c>
      <c r="S28" s="771">
        <f t="shared" si="12"/>
        <v>100</v>
      </c>
      <c r="T28" s="770" t="s">
        <v>21</v>
      </c>
      <c r="U28" s="771">
        <f t="shared" si="13"/>
        <v>100</v>
      </c>
      <c r="V28" s="770" t="s">
        <v>21</v>
      </c>
      <c r="W28" s="771">
        <f t="shared" si="14"/>
        <v>100</v>
      </c>
      <c r="X28" s="1793"/>
      <c r="Y28" s="3671"/>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669"/>
      <c r="Q29" s="1790">
        <f t="shared" si="11"/>
        <v>111</v>
      </c>
      <c r="R29" s="770" t="s">
        <v>21</v>
      </c>
      <c r="S29" s="771">
        <f t="shared" si="12"/>
        <v>100</v>
      </c>
      <c r="T29" s="770" t="s">
        <v>21</v>
      </c>
      <c r="U29" s="771">
        <f t="shared" si="13"/>
        <v>100</v>
      </c>
      <c r="V29" s="770" t="s">
        <v>21</v>
      </c>
      <c r="W29" s="771">
        <f t="shared" si="14"/>
        <v>100</v>
      </c>
      <c r="X29" s="1793"/>
      <c r="Y29" s="3671"/>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669"/>
      <c r="Q30" s="1790">
        <f t="shared" si="11"/>
        <v>111</v>
      </c>
      <c r="R30" s="770" t="s">
        <v>21</v>
      </c>
      <c r="S30" s="771">
        <f t="shared" si="12"/>
        <v>100</v>
      </c>
      <c r="T30" s="770" t="s">
        <v>21</v>
      </c>
      <c r="U30" s="771">
        <f t="shared" si="13"/>
        <v>100</v>
      </c>
      <c r="V30" s="770" t="s">
        <v>21</v>
      </c>
      <c r="W30" s="771">
        <f t="shared" si="14"/>
        <v>100</v>
      </c>
      <c r="X30" s="1793"/>
      <c r="Y30" s="3671"/>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669"/>
      <c r="Q31" s="1790">
        <f t="shared" si="11"/>
        <v>111</v>
      </c>
      <c r="R31" s="770" t="s">
        <v>21</v>
      </c>
      <c r="S31" s="771">
        <f t="shared" si="12"/>
        <v>100</v>
      </c>
      <c r="T31" s="770" t="s">
        <v>21</v>
      </c>
      <c r="U31" s="771">
        <f t="shared" si="13"/>
        <v>100</v>
      </c>
      <c r="V31" s="770" t="s">
        <v>21</v>
      </c>
      <c r="W31" s="771">
        <f t="shared" si="14"/>
        <v>100</v>
      </c>
      <c r="X31" s="1793"/>
      <c r="Y31" s="3671"/>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672" t="s">
        <v>2553</v>
      </c>
      <c r="Q32" s="1790" t="str">
        <f t="shared" si="11"/>
        <v>建筑类型</v>
      </c>
      <c r="R32" s="770" t="s">
        <v>21</v>
      </c>
      <c r="S32" s="771">
        <f t="shared" si="12"/>
        <v>100</v>
      </c>
      <c r="T32" s="770" t="s">
        <v>21</v>
      </c>
      <c r="U32" s="771">
        <f t="shared" si="13"/>
        <v>100</v>
      </c>
      <c r="V32" s="770" t="s">
        <v>21</v>
      </c>
      <c r="W32" s="771">
        <f t="shared" si="14"/>
        <v>100</v>
      </c>
      <c r="X32" s="1793"/>
      <c r="Y32" s="3675"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673"/>
      <c r="Q33" s="772" t="str">
        <f t="shared" si="11"/>
        <v>项目建筑规模</v>
      </c>
      <c r="R33" s="773" t="s">
        <v>21</v>
      </c>
      <c r="S33" s="774" t="e">
        <f t="shared" si="12"/>
        <v>#N/A</v>
      </c>
      <c r="T33" s="773" t="s">
        <v>21</v>
      </c>
      <c r="U33" s="774" t="e">
        <f t="shared" si="13"/>
        <v>#N/A</v>
      </c>
      <c r="V33" s="773" t="s">
        <v>21</v>
      </c>
      <c r="W33" s="774" t="e">
        <f t="shared" si="14"/>
        <v>#N/A</v>
      </c>
      <c r="X33" s="775"/>
      <c r="Y33" s="3675"/>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673"/>
      <c r="Q34" s="1790" t="str">
        <f t="shared" si="11"/>
        <v>建筑结构</v>
      </c>
      <c r="R34" s="770" t="s">
        <v>21</v>
      </c>
      <c r="S34" s="771">
        <f t="shared" si="12"/>
        <v>100</v>
      </c>
      <c r="T34" s="770" t="s">
        <v>21</v>
      </c>
      <c r="U34" s="771">
        <f t="shared" si="13"/>
        <v>100</v>
      </c>
      <c r="V34" s="770" t="s">
        <v>21</v>
      </c>
      <c r="W34" s="771">
        <f t="shared" si="14"/>
        <v>100</v>
      </c>
      <c r="X34" s="1793"/>
      <c r="Y34" s="3675"/>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673"/>
      <c r="Q35" s="1790" t="str">
        <f t="shared" si="11"/>
        <v>建筑品质</v>
      </c>
      <c r="R35" s="770" t="s">
        <v>21</v>
      </c>
      <c r="S35" s="771">
        <f t="shared" si="12"/>
        <v>100</v>
      </c>
      <c r="T35" s="770" t="s">
        <v>21</v>
      </c>
      <c r="U35" s="771">
        <f t="shared" si="13"/>
        <v>100</v>
      </c>
      <c r="V35" s="770" t="s">
        <v>21</v>
      </c>
      <c r="W35" s="771">
        <f t="shared" si="14"/>
        <v>100</v>
      </c>
      <c r="X35" s="1793"/>
      <c r="Y35" s="3675"/>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673"/>
      <c r="Q36" s="1790" t="str">
        <f t="shared" si="11"/>
        <v>公共部分装修</v>
      </c>
      <c r="R36" s="770" t="s">
        <v>21</v>
      </c>
      <c r="S36" s="771">
        <f t="shared" si="12"/>
        <v>100</v>
      </c>
      <c r="T36" s="770" t="s">
        <v>21</v>
      </c>
      <c r="U36" s="771">
        <f t="shared" si="13"/>
        <v>100</v>
      </c>
      <c r="V36" s="770" t="s">
        <v>21</v>
      </c>
      <c r="W36" s="771">
        <f t="shared" si="14"/>
        <v>100</v>
      </c>
      <c r="X36" s="1793"/>
      <c r="Y36" s="3675"/>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73"/>
      <c r="Q37" s="1775" t="str">
        <f t="shared" si="11"/>
        <v>成新度</v>
      </c>
      <c r="R37" s="766" t="s">
        <v>21</v>
      </c>
      <c r="S37" s="767" t="e">
        <f t="shared" si="12"/>
        <v>#N/A</v>
      </c>
      <c r="T37" s="766" t="s">
        <v>21</v>
      </c>
      <c r="U37" s="767" t="e">
        <f t="shared" si="13"/>
        <v>#N/A</v>
      </c>
      <c r="V37" s="766" t="s">
        <v>21</v>
      </c>
      <c r="W37" s="767" t="e">
        <f t="shared" si="14"/>
        <v>#N/A</v>
      </c>
      <c r="X37" s="768"/>
      <c r="Y37" s="3675"/>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673" t="s">
        <v>2553</v>
      </c>
      <c r="Q38" s="1790" t="str">
        <f t="shared" si="11"/>
        <v>物业管理</v>
      </c>
      <c r="R38" s="770" t="s">
        <v>21</v>
      </c>
      <c r="S38" s="771">
        <f t="shared" si="12"/>
        <v>100</v>
      </c>
      <c r="T38" s="770" t="s">
        <v>21</v>
      </c>
      <c r="U38" s="771">
        <f t="shared" si="13"/>
        <v>100</v>
      </c>
      <c r="V38" s="770" t="s">
        <v>21</v>
      </c>
      <c r="W38" s="771">
        <f t="shared" si="14"/>
        <v>100</v>
      </c>
      <c r="X38" s="1793"/>
      <c r="Y38" s="3675"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673"/>
      <c r="Q39" s="1790" t="str">
        <f t="shared" si="11"/>
        <v>市政基础设施</v>
      </c>
      <c r="R39" s="770" t="s">
        <v>21</v>
      </c>
      <c r="S39" s="771">
        <f t="shared" si="12"/>
        <v>100</v>
      </c>
      <c r="T39" s="770" t="s">
        <v>21</v>
      </c>
      <c r="U39" s="771">
        <f t="shared" si="13"/>
        <v>100</v>
      </c>
      <c r="V39" s="770" t="s">
        <v>21</v>
      </c>
      <c r="W39" s="771">
        <f t="shared" si="14"/>
        <v>100</v>
      </c>
      <c r="X39" s="1793"/>
      <c r="Y39" s="3675"/>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673"/>
      <c r="Q40" s="1790" t="str">
        <f t="shared" si="11"/>
        <v>房型</v>
      </c>
      <c r="R40" s="770" t="s">
        <v>21</v>
      </c>
      <c r="S40" s="771">
        <f t="shared" si="12"/>
        <v>100</v>
      </c>
      <c r="T40" s="770" t="s">
        <v>21</v>
      </c>
      <c r="U40" s="771">
        <f t="shared" si="13"/>
        <v>100</v>
      </c>
      <c r="V40" s="770" t="s">
        <v>21</v>
      </c>
      <c r="W40" s="771">
        <f t="shared" si="14"/>
        <v>100</v>
      </c>
      <c r="X40" s="1793"/>
      <c r="Y40" s="3675"/>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673"/>
      <c r="Q41" s="772" t="str">
        <f t="shared" si="11"/>
        <v>单套/主力户型建筑面积</v>
      </c>
      <c r="R41" s="773" t="s">
        <v>21</v>
      </c>
      <c r="S41" s="774">
        <f t="shared" si="12"/>
        <v>100</v>
      </c>
      <c r="T41" s="773" t="s">
        <v>21</v>
      </c>
      <c r="U41" s="774">
        <f t="shared" si="13"/>
        <v>100</v>
      </c>
      <c r="V41" s="773" t="s">
        <v>21</v>
      </c>
      <c r="W41" s="774">
        <f t="shared" si="14"/>
        <v>100</v>
      </c>
      <c r="X41" s="775"/>
      <c r="Y41" s="3675"/>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673"/>
      <c r="Q42" s="1790" t="str">
        <f t="shared" si="11"/>
        <v>内部装修</v>
      </c>
      <c r="R42" s="770" t="s">
        <v>21</v>
      </c>
      <c r="S42" s="771">
        <f t="shared" si="12"/>
        <v>100</v>
      </c>
      <c r="T42" s="770" t="s">
        <v>21</v>
      </c>
      <c r="U42" s="771">
        <f t="shared" si="13"/>
        <v>100</v>
      </c>
      <c r="V42" s="770" t="s">
        <v>21</v>
      </c>
      <c r="W42" s="771">
        <f t="shared" si="14"/>
        <v>100</v>
      </c>
      <c r="X42" s="1793"/>
      <c r="Y42" s="3675"/>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673"/>
      <c r="Q43" s="1790" t="str">
        <f t="shared" si="11"/>
        <v>内部装修维护情况</v>
      </c>
      <c r="R43" s="770" t="s">
        <v>21</v>
      </c>
      <c r="S43" s="771">
        <f t="shared" si="12"/>
        <v>100</v>
      </c>
      <c r="T43" s="770" t="s">
        <v>21</v>
      </c>
      <c r="U43" s="771">
        <f t="shared" si="13"/>
        <v>100</v>
      </c>
      <c r="V43" s="770" t="s">
        <v>21</v>
      </c>
      <c r="W43" s="771">
        <f t="shared" si="14"/>
        <v>100</v>
      </c>
      <c r="X43" s="1793"/>
      <c r="Y43" s="3675"/>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673"/>
      <c r="Q44" s="1775">
        <f t="shared" si="11"/>
        <v>111</v>
      </c>
      <c r="R44" s="766" t="s">
        <v>21</v>
      </c>
      <c r="S44" s="767">
        <f t="shared" si="12"/>
        <v>100</v>
      </c>
      <c r="T44" s="766" t="s">
        <v>21</v>
      </c>
      <c r="U44" s="767">
        <f t="shared" si="13"/>
        <v>100</v>
      </c>
      <c r="V44" s="766" t="s">
        <v>21</v>
      </c>
      <c r="W44" s="767">
        <f t="shared" si="14"/>
        <v>100</v>
      </c>
      <c r="X44" s="768"/>
      <c r="Y44" s="3675"/>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673"/>
      <c r="Q45" s="1790">
        <f t="shared" si="11"/>
        <v>111</v>
      </c>
      <c r="R45" s="770" t="s">
        <v>21</v>
      </c>
      <c r="S45" s="771">
        <f t="shared" si="12"/>
        <v>100</v>
      </c>
      <c r="T45" s="770" t="s">
        <v>21</v>
      </c>
      <c r="U45" s="771">
        <f t="shared" si="13"/>
        <v>100</v>
      </c>
      <c r="V45" s="770" t="s">
        <v>21</v>
      </c>
      <c r="W45" s="771">
        <f t="shared" si="14"/>
        <v>100</v>
      </c>
      <c r="X45" s="1793"/>
      <c r="Y45" s="3675"/>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674"/>
      <c r="Q46" s="1790">
        <f t="shared" si="11"/>
        <v>111</v>
      </c>
      <c r="R46" s="770" t="s">
        <v>20</v>
      </c>
      <c r="S46" s="771">
        <f t="shared" si="12"/>
        <v>100</v>
      </c>
      <c r="T46" s="770" t="s">
        <v>20</v>
      </c>
      <c r="U46" s="771">
        <f t="shared" si="13"/>
        <v>100</v>
      </c>
      <c r="V46" s="770" t="s">
        <v>20</v>
      </c>
      <c r="W46" s="771">
        <f t="shared" si="14"/>
        <v>100</v>
      </c>
      <c r="X46" s="1793"/>
      <c r="Y46" s="3676"/>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677" t="str">
        <f>A47</f>
        <v>成交单价（元/平方米）</v>
      </c>
      <c r="Q47" s="3677"/>
      <c r="R47" s="3678">
        <f>E47</f>
        <v>0</v>
      </c>
      <c r="S47" s="3678"/>
      <c r="T47" s="3678">
        <f>G47</f>
        <v>0</v>
      </c>
      <c r="U47" s="3678"/>
      <c r="V47" s="3678">
        <f>I47</f>
        <v>0</v>
      </c>
      <c r="W47" s="3678"/>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679" t="str">
        <f>A49</f>
        <v>估价对象XX用房的比较价值（楼面单价，元/平方米）</v>
      </c>
      <c r="Q49" s="3680"/>
      <c r="R49" s="3681" t="e">
        <f>IF(F1="售价",ROUND(AVERAGE(R48:V48),0),ROUND(AVERAGE(R48:V48),1))</f>
        <v>#DIV/0!</v>
      </c>
      <c r="S49" s="3681"/>
      <c r="T49" s="3681"/>
      <c r="U49" s="3681"/>
      <c r="V49" s="3681"/>
      <c r="W49" s="368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2020-6</v>
      </c>
      <c r="D58" s="1555">
        <f>EDATE(C58,-1)</f>
        <v>43952</v>
      </c>
      <c r="E58" s="1555">
        <f>EDATE(D58,-1)</f>
        <v>43922</v>
      </c>
      <c r="F58" s="1555">
        <f t="shared" ref="F58:O58" si="19">EDATE(E58,-1)</f>
        <v>43891</v>
      </c>
      <c r="G58" s="1555">
        <f t="shared" si="19"/>
        <v>43862</v>
      </c>
      <c r="H58" s="1555">
        <f t="shared" si="19"/>
        <v>43831</v>
      </c>
      <c r="I58" s="1555">
        <f t="shared" si="19"/>
        <v>43800</v>
      </c>
      <c r="J58" s="1555">
        <f t="shared" si="19"/>
        <v>43770</v>
      </c>
      <c r="K58" s="1555">
        <f t="shared" si="19"/>
        <v>43739</v>
      </c>
      <c r="L58" s="1555">
        <f t="shared" si="19"/>
        <v>43709</v>
      </c>
      <c r="M58" s="1555">
        <f t="shared" si="19"/>
        <v>43678</v>
      </c>
      <c r="N58" s="1555">
        <f t="shared" si="19"/>
        <v>43647</v>
      </c>
      <c r="O58" s="1555">
        <f t="shared" si="19"/>
        <v>43617</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9.5" thickBot="1">
      <c r="A4" s="1940"/>
      <c r="B4" s="3443" t="s">
        <v>1618</v>
      </c>
      <c r="C4" s="3443"/>
      <c r="D4" s="3443"/>
      <c r="E4" s="1940"/>
    </row>
    <row r="5" spans="1:5" ht="16.5" thickTop="1">
      <c r="A5" s="1938"/>
      <c r="B5" s="3441" t="s">
        <v>1610</v>
      </c>
      <c r="C5" s="1941" t="s">
        <v>1611</v>
      </c>
      <c r="D5" s="1030" t="e">
        <f ca="1">结果表商!H101</f>
        <v>#REF!</v>
      </c>
      <c r="E5" s="1938"/>
    </row>
    <row r="6" spans="1:5" ht="15.75">
      <c r="A6" s="1938"/>
      <c r="B6" s="3441"/>
      <c r="C6" s="1941" t="s">
        <v>1612</v>
      </c>
      <c r="D6" s="1030" t="e">
        <f ca="1">NUMBERSTRING(INT(D5*10000),2)&amp;"元整"</f>
        <v>#REF!</v>
      </c>
      <c r="E6" s="1938"/>
    </row>
    <row r="7" spans="1:5" ht="15.75">
      <c r="A7" s="1938"/>
      <c r="B7" s="3446"/>
      <c r="C7" s="1942" t="s">
        <v>1613</v>
      </c>
      <c r="D7" s="1031" t="e">
        <f ca="1">结果表商!H102</f>
        <v>#REF!</v>
      </c>
      <c r="E7" s="1938"/>
    </row>
    <row r="8" spans="1:5" ht="15.75">
      <c r="A8" s="1938"/>
      <c r="B8" s="3447" t="str">
        <f>结果表商!E103</f>
        <v>2.估价师知悉的法定优先受偿款</v>
      </c>
      <c r="C8" s="1943" t="s">
        <v>1614</v>
      </c>
      <c r="D8" s="1031">
        <f>结果表商!H103</f>
        <v>0</v>
      </c>
      <c r="E8" s="1938"/>
    </row>
    <row r="9" spans="1:5" ht="15.75">
      <c r="A9" s="1938"/>
      <c r="B9" s="3449"/>
      <c r="C9" s="1941" t="s">
        <v>1612</v>
      </c>
      <c r="D9" s="1030" t="str">
        <f>NUMBERSTRING(INT(D8*10000),2)&amp;"元整"</f>
        <v>零元整</v>
      </c>
      <c r="E9" s="1938"/>
    </row>
    <row r="10" spans="1:5" ht="15">
      <c r="A10" s="1938"/>
      <c r="B10" s="1944" t="s">
        <v>1617</v>
      </c>
      <c r="C10" s="1945" t="s">
        <v>1615</v>
      </c>
      <c r="D10" s="1032">
        <f>结果表商!H104</f>
        <v>0</v>
      </c>
      <c r="E10" s="1938"/>
    </row>
    <row r="11" spans="1:5" ht="15">
      <c r="A11" s="1938"/>
      <c r="B11" s="1944" t="s">
        <v>1619</v>
      </c>
      <c r="C11" s="1945" t="s">
        <v>1620</v>
      </c>
      <c r="D11" s="1032">
        <f>结果表商!H105</f>
        <v>0</v>
      </c>
      <c r="E11" s="1938"/>
    </row>
    <row r="12" spans="1:5" ht="15">
      <c r="A12" s="1938"/>
      <c r="B12" s="1944" t="s">
        <v>1621</v>
      </c>
      <c r="C12" s="1945" t="s">
        <v>1620</v>
      </c>
      <c r="D12" s="1032">
        <f>结果表商!H106</f>
        <v>0</v>
      </c>
      <c r="E12" s="1938"/>
    </row>
    <row r="13" spans="1:5" ht="15.75">
      <c r="A13" s="1938"/>
      <c r="B13" s="3440" t="str">
        <f>结果表商!E107</f>
        <v>3.房地产抵押价值</v>
      </c>
      <c r="C13" s="1946" t="s">
        <v>1611</v>
      </c>
      <c r="D13" s="1033" t="e">
        <f ca="1">结果表商!H107</f>
        <v>#REF!</v>
      </c>
      <c r="E13" s="1938"/>
    </row>
    <row r="14" spans="1:5" ht="15.75">
      <c r="A14" s="1938"/>
      <c r="B14" s="3441"/>
      <c r="C14" s="1941" t="s">
        <v>1612</v>
      </c>
      <c r="D14" s="1030" t="e">
        <f ca="1">NUMBERSTRING(INT(D13*10000),2)&amp;"元整"</f>
        <v>#REF!</v>
      </c>
      <c r="E14" s="1938"/>
    </row>
    <row r="15" spans="1:5" ht="15">
      <c r="A15" s="1938"/>
      <c r="B15" s="3446"/>
      <c r="C15" s="1942" t="s">
        <v>1622</v>
      </c>
      <c r="D15" s="1042" t="e">
        <f ca="1">结果表商!H108</f>
        <v>#REF!</v>
      </c>
      <c r="E15" s="1938"/>
    </row>
    <row r="16" spans="1:5" ht="15">
      <c r="A16" s="1938"/>
      <c r="B16" s="3447" t="str">
        <f>结果表商!E109</f>
        <v>——</v>
      </c>
      <c r="C16" s="1946" t="s">
        <v>1623</v>
      </c>
      <c r="D16" s="1947" t="str">
        <f>结果表商!H109</f>
        <v>——</v>
      </c>
      <c r="E16" s="1938"/>
    </row>
    <row r="17" spans="1:5" ht="15.75">
      <c r="A17" s="1938"/>
      <c r="B17" s="3448"/>
      <c r="C17" s="1941" t="s">
        <v>1624</v>
      </c>
      <c r="D17" s="1030" t="e">
        <f>NUMBERSTRING(INT(D16*10000),2)&amp;"元整"</f>
        <v>#VALUE!</v>
      </c>
      <c r="E17" s="1938"/>
    </row>
    <row r="18" spans="1:5" ht="15">
      <c r="A18" s="1938"/>
      <c r="B18" s="3449"/>
      <c r="C18" s="1942" t="s">
        <v>1613</v>
      </c>
      <c r="D18" s="1042" t="str">
        <f>结果表商!H110</f>
        <v>——</v>
      </c>
      <c r="E18" s="1938"/>
    </row>
    <row r="19" spans="1:5" ht="15.75">
      <c r="A19" s="1938"/>
      <c r="B19" s="3440" t="str">
        <f>结果表商!E111</f>
        <v>——</v>
      </c>
      <c r="C19" s="1946" t="s">
        <v>1611</v>
      </c>
      <c r="D19" s="1031" t="str">
        <f>结果表商!H111</f>
        <v>——</v>
      </c>
      <c r="E19" s="1938"/>
    </row>
    <row r="20" spans="1:5" ht="15.75">
      <c r="A20" s="1938"/>
      <c r="B20" s="3441"/>
      <c r="C20" s="1941" t="s">
        <v>1624</v>
      </c>
      <c r="D20" s="1030" t="e">
        <f>NUMBERSTRING(INT(D19*10000),2)&amp;"元整"</f>
        <v>#VALUE!</v>
      </c>
      <c r="E20" s="1938"/>
    </row>
    <row r="21" spans="1:5" ht="15.75" thickBot="1">
      <c r="A21" s="1938"/>
      <c r="B21" s="3442"/>
      <c r="C21" s="1948" t="s">
        <v>1622</v>
      </c>
      <c r="D21" s="1043" t="str">
        <f>结果表商!H112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47823.990000000005</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42" t="s">
        <v>2635</v>
      </c>
      <c r="S4" s="3643"/>
      <c r="T4" s="3642" t="s">
        <v>2636</v>
      </c>
      <c r="U4" s="3643"/>
      <c r="V4" s="3639" t="s">
        <v>2637</v>
      </c>
      <c r="W4" s="3639"/>
      <c r="X4" s="1793"/>
      <c r="Y4" s="3642" t="s">
        <v>2639</v>
      </c>
      <c r="Z4" s="3643"/>
      <c r="AA4" s="3636" t="s">
        <v>2635</v>
      </c>
      <c r="AB4" s="3637" t="s">
        <v>2636</v>
      </c>
      <c r="AC4" s="3636" t="s">
        <v>2637</v>
      </c>
    </row>
    <row r="5" spans="1:29" ht="15">
      <c r="A5" s="403"/>
      <c r="B5" s="404"/>
      <c r="C5" s="3711" t="s">
        <v>2530</v>
      </c>
      <c r="D5" s="3712"/>
      <c r="E5" s="3709" t="s">
        <v>2531</v>
      </c>
      <c r="F5" s="3710"/>
      <c r="G5" s="3711" t="s">
        <v>2532</v>
      </c>
      <c r="H5" s="3712"/>
      <c r="I5" s="3711" t="s">
        <v>2533</v>
      </c>
      <c r="J5" s="3712"/>
      <c r="K5" s="609"/>
      <c r="L5" s="1113"/>
      <c r="M5" s="1114"/>
      <c r="N5" s="1114"/>
      <c r="O5" s="1114"/>
      <c r="P5" s="3661"/>
      <c r="Q5" s="3662"/>
      <c r="R5" s="3644"/>
      <c r="S5" s="3645"/>
      <c r="T5" s="3644"/>
      <c r="U5" s="3645"/>
      <c r="V5" s="3639"/>
      <c r="W5" s="3639"/>
      <c r="X5" s="1793"/>
      <c r="Y5" s="3644"/>
      <c r="Z5" s="3645"/>
      <c r="AA5" s="3637"/>
      <c r="AB5" s="3637"/>
      <c r="AC5" s="3637"/>
    </row>
    <row r="6" spans="1:29" ht="15.75" thickBot="1">
      <c r="A6" s="405"/>
      <c r="B6" s="406"/>
      <c r="C6" s="3650" t="s">
        <v>2534</v>
      </c>
      <c r="D6" s="3651"/>
      <c r="E6" s="3652" t="s">
        <v>2534</v>
      </c>
      <c r="F6" s="3653"/>
      <c r="G6" s="3650" t="s">
        <v>2534</v>
      </c>
      <c r="H6" s="3651"/>
      <c r="I6" s="3650" t="s">
        <v>2534</v>
      </c>
      <c r="J6" s="3651"/>
      <c r="K6" s="609" t="s">
        <v>2535</v>
      </c>
      <c r="L6" s="1113"/>
      <c r="M6" s="1114"/>
      <c r="N6" s="1114"/>
      <c r="O6" s="1114"/>
      <c r="P6" s="3663"/>
      <c r="Q6" s="3664"/>
      <c r="R6" s="3644"/>
      <c r="S6" s="3645"/>
      <c r="T6" s="3665"/>
      <c r="U6" s="3666"/>
      <c r="V6" s="3639"/>
      <c r="W6" s="3639"/>
      <c r="X6" s="1793"/>
      <c r="Y6" s="3665"/>
      <c r="Z6" s="3666"/>
      <c r="AA6" s="3638"/>
      <c r="AB6" s="3638"/>
      <c r="AC6" s="3638"/>
    </row>
    <row r="7" spans="1:29" s="117" customFormat="1" ht="15.75" thickBot="1">
      <c r="A7" s="407" t="s">
        <v>2536</v>
      </c>
      <c r="B7" s="408"/>
      <c r="C7" s="409">
        <f>'数据-取费表'!B2</f>
        <v>43983</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40" t="s">
        <v>2537</v>
      </c>
      <c r="Q7" s="3667"/>
      <c r="R7" s="766" t="s">
        <v>17</v>
      </c>
      <c r="S7" s="767">
        <f t="shared" ref="S7:S15" si="0">F7</f>
        <v>0</v>
      </c>
      <c r="T7" s="766" t="s">
        <v>17</v>
      </c>
      <c r="U7" s="767">
        <f t="shared" ref="U7:U15" si="1">H7</f>
        <v>0</v>
      </c>
      <c r="V7" s="766" t="s">
        <v>17</v>
      </c>
      <c r="W7" s="767">
        <f t="shared" ref="W7:W15" si="2">J7</f>
        <v>0</v>
      </c>
      <c r="X7" s="768"/>
      <c r="Y7" s="3640" t="s">
        <v>2537</v>
      </c>
      <c r="Z7" s="3641"/>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40" t="s">
        <v>2540</v>
      </c>
      <c r="Q8" s="3641"/>
      <c r="R8" s="766" t="s">
        <v>17</v>
      </c>
      <c r="S8" s="767">
        <f t="shared" si="0"/>
        <v>0</v>
      </c>
      <c r="T8" s="766" t="s">
        <v>17</v>
      </c>
      <c r="U8" s="767">
        <f t="shared" si="1"/>
        <v>0</v>
      </c>
      <c r="V8" s="766" t="s">
        <v>17</v>
      </c>
      <c r="W8" s="767">
        <f t="shared" si="2"/>
        <v>0</v>
      </c>
      <c r="X8" s="768"/>
      <c r="Y8" s="3640" t="s">
        <v>2540</v>
      </c>
      <c r="Z8" s="3641"/>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77" t="s">
        <v>2543</v>
      </c>
      <c r="Q9" s="1775" t="str">
        <f t="shared" ref="Q9:Q15" si="6">B9</f>
        <v>用途</v>
      </c>
      <c r="R9" s="766" t="s">
        <v>17</v>
      </c>
      <c r="S9" s="767">
        <f t="shared" si="0"/>
        <v>100</v>
      </c>
      <c r="T9" s="766" t="s">
        <v>17</v>
      </c>
      <c r="U9" s="767">
        <f t="shared" si="1"/>
        <v>100</v>
      </c>
      <c r="V9" s="766" t="s">
        <v>17</v>
      </c>
      <c r="W9" s="767">
        <f t="shared" si="2"/>
        <v>100</v>
      </c>
      <c r="X9" s="768"/>
      <c r="Y9" s="3504"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77"/>
      <c r="Q10" s="1775" t="str">
        <f t="shared" si="6"/>
        <v>土地使用年限（年）</v>
      </c>
      <c r="R10" s="766" t="s">
        <v>17</v>
      </c>
      <c r="S10" s="767">
        <f t="shared" si="0"/>
        <v>100</v>
      </c>
      <c r="T10" s="766" t="s">
        <v>17</v>
      </c>
      <c r="U10" s="767">
        <f t="shared" si="1"/>
        <v>100</v>
      </c>
      <c r="V10" s="766" t="s">
        <v>17</v>
      </c>
      <c r="W10" s="767">
        <f t="shared" si="2"/>
        <v>100</v>
      </c>
      <c r="X10" s="768"/>
      <c r="Y10" s="3504"/>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77"/>
      <c r="Q11" s="1775" t="str">
        <f t="shared" si="6"/>
        <v>容积率</v>
      </c>
      <c r="R11" s="766" t="s">
        <v>17</v>
      </c>
      <c r="S11" s="767" t="e">
        <f t="shared" si="0"/>
        <v>#N/A</v>
      </c>
      <c r="T11" s="766" t="s">
        <v>17</v>
      </c>
      <c r="U11" s="767" t="e">
        <f t="shared" si="1"/>
        <v>#N/A</v>
      </c>
      <c r="V11" s="766" t="s">
        <v>17</v>
      </c>
      <c r="W11" s="767" t="e">
        <f t="shared" si="2"/>
        <v>#N/A</v>
      </c>
      <c r="X11" s="768"/>
      <c r="Y11" s="3504"/>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677"/>
      <c r="Q12" s="1775">
        <f t="shared" si="6"/>
        <v>111</v>
      </c>
      <c r="R12" s="766" t="s">
        <v>17</v>
      </c>
      <c r="S12" s="767">
        <f t="shared" si="0"/>
        <v>100</v>
      </c>
      <c r="T12" s="766" t="s">
        <v>17</v>
      </c>
      <c r="U12" s="767">
        <f t="shared" si="1"/>
        <v>100</v>
      </c>
      <c r="V12" s="766" t="s">
        <v>17</v>
      </c>
      <c r="W12" s="767">
        <f t="shared" si="2"/>
        <v>100</v>
      </c>
      <c r="X12" s="768"/>
      <c r="Y12" s="3504"/>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677"/>
      <c r="Q13" s="1775">
        <f t="shared" si="6"/>
        <v>111</v>
      </c>
      <c r="R13" s="766" t="s">
        <v>17</v>
      </c>
      <c r="S13" s="767">
        <f t="shared" si="0"/>
        <v>100</v>
      </c>
      <c r="T13" s="766" t="s">
        <v>17</v>
      </c>
      <c r="U13" s="767">
        <f t="shared" si="1"/>
        <v>100</v>
      </c>
      <c r="V13" s="766" t="s">
        <v>17</v>
      </c>
      <c r="W13" s="767">
        <f t="shared" si="2"/>
        <v>100</v>
      </c>
      <c r="X13" s="768"/>
      <c r="Y13" s="3504"/>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677"/>
      <c r="Q14" s="1775">
        <f t="shared" si="6"/>
        <v>111</v>
      </c>
      <c r="R14" s="766" t="s">
        <v>17</v>
      </c>
      <c r="S14" s="767">
        <f t="shared" si="0"/>
        <v>100</v>
      </c>
      <c r="T14" s="766" t="s">
        <v>17</v>
      </c>
      <c r="U14" s="767">
        <f t="shared" si="1"/>
        <v>100</v>
      </c>
      <c r="V14" s="766" t="s">
        <v>17</v>
      </c>
      <c r="W14" s="767">
        <f t="shared" si="2"/>
        <v>100</v>
      </c>
      <c r="X14" s="768"/>
      <c r="Y14" s="3504"/>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70" t="s">
        <v>2548</v>
      </c>
      <c r="Q15" s="1790" t="str">
        <f t="shared" si="6"/>
        <v>产业集聚程度</v>
      </c>
      <c r="R15" s="770" t="s">
        <v>17</v>
      </c>
      <c r="S15" s="771">
        <f t="shared" si="0"/>
        <v>100</v>
      </c>
      <c r="T15" s="770" t="s">
        <v>17</v>
      </c>
      <c r="U15" s="771">
        <f t="shared" si="1"/>
        <v>100</v>
      </c>
      <c r="V15" s="770" t="s">
        <v>17</v>
      </c>
      <c r="W15" s="771">
        <f t="shared" si="2"/>
        <v>100</v>
      </c>
      <c r="X15" s="1793"/>
      <c r="Y15" s="3670"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71"/>
      <c r="Q16" s="1790"/>
      <c r="R16" s="770"/>
      <c r="S16" s="771"/>
      <c r="T16" s="770"/>
      <c r="U16" s="771"/>
      <c r="V16" s="770"/>
      <c r="W16" s="771"/>
      <c r="X16" s="1793"/>
      <c r="Y16" s="3671"/>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71"/>
      <c r="Q17" s="1790" t="str">
        <f>B17</f>
        <v>交通便捷度</v>
      </c>
      <c r="R17" s="770" t="s">
        <v>17</v>
      </c>
      <c r="S17" s="771">
        <f>F17</f>
        <v>100</v>
      </c>
      <c r="T17" s="770" t="s">
        <v>17</v>
      </c>
      <c r="U17" s="771">
        <f>H17</f>
        <v>100</v>
      </c>
      <c r="V17" s="770" t="s">
        <v>17</v>
      </c>
      <c r="W17" s="771">
        <f>J17</f>
        <v>100</v>
      </c>
      <c r="X17" s="1793"/>
      <c r="Y17" s="3671"/>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671"/>
      <c r="Q18" s="1790"/>
      <c r="R18" s="770"/>
      <c r="S18" s="771"/>
      <c r="T18" s="770"/>
      <c r="U18" s="771"/>
      <c r="V18" s="770"/>
      <c r="W18" s="771"/>
      <c r="X18" s="1793"/>
      <c r="Y18" s="3671"/>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71"/>
      <c r="Q19" s="1790" t="str">
        <f>B19</f>
        <v>公共配套设施</v>
      </c>
      <c r="R19" s="770" t="s">
        <v>17</v>
      </c>
      <c r="S19" s="771">
        <f>F19</f>
        <v>100</v>
      </c>
      <c r="T19" s="770" t="s">
        <v>17</v>
      </c>
      <c r="U19" s="771">
        <f>H19</f>
        <v>100</v>
      </c>
      <c r="V19" s="770" t="s">
        <v>17</v>
      </c>
      <c r="W19" s="771">
        <f>J19</f>
        <v>100</v>
      </c>
      <c r="X19" s="1793"/>
      <c r="Y19" s="3671"/>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671"/>
      <c r="Q20" s="1790"/>
      <c r="R20" s="770"/>
      <c r="S20" s="771"/>
      <c r="T20" s="770"/>
      <c r="U20" s="771"/>
      <c r="V20" s="770"/>
      <c r="W20" s="771"/>
      <c r="X20" s="1793"/>
      <c r="Y20" s="3671"/>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71"/>
      <c r="Q21" s="1790" t="str">
        <f>B21</f>
        <v>基础设施水平</v>
      </c>
      <c r="R21" s="770" t="s">
        <v>17</v>
      </c>
      <c r="S21" s="771">
        <f>F21</f>
        <v>100</v>
      </c>
      <c r="T21" s="770" t="s">
        <v>17</v>
      </c>
      <c r="U21" s="771">
        <f>H21</f>
        <v>100</v>
      </c>
      <c r="V21" s="770" t="s">
        <v>17</v>
      </c>
      <c r="W21" s="771">
        <f>J21</f>
        <v>100</v>
      </c>
      <c r="X21" s="1793"/>
      <c r="Y21" s="367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671"/>
      <c r="Q22" s="1790"/>
      <c r="R22" s="770"/>
      <c r="S22" s="771"/>
      <c r="T22" s="770"/>
      <c r="U22" s="771"/>
      <c r="V22" s="770"/>
      <c r="W22" s="771"/>
      <c r="X22" s="1793"/>
      <c r="Y22" s="3671"/>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71"/>
      <c r="Q23" s="1790" t="str">
        <f>B23</f>
        <v>环境质量</v>
      </c>
      <c r="R23" s="770" t="s">
        <v>17</v>
      </c>
      <c r="S23" s="771">
        <f>F23</f>
        <v>100</v>
      </c>
      <c r="T23" s="770" t="s">
        <v>17</v>
      </c>
      <c r="U23" s="771">
        <f>H23</f>
        <v>100</v>
      </c>
      <c r="V23" s="770" t="s">
        <v>17</v>
      </c>
      <c r="W23" s="771">
        <f>J23</f>
        <v>100</v>
      </c>
      <c r="X23" s="1793"/>
      <c r="Y23" s="3671"/>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671"/>
      <c r="Q24" s="1790"/>
      <c r="R24" s="770"/>
      <c r="S24" s="771"/>
      <c r="T24" s="770"/>
      <c r="U24" s="771"/>
      <c r="V24" s="770"/>
      <c r="W24" s="771"/>
      <c r="X24" s="1793"/>
      <c r="Y24" s="3671"/>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71"/>
      <c r="Q25" s="1790">
        <f>B25</f>
        <v>111</v>
      </c>
      <c r="R25" s="770" t="s">
        <v>17</v>
      </c>
      <c r="S25" s="771">
        <f>F25</f>
        <v>100</v>
      </c>
      <c r="T25" s="770" t="s">
        <v>17</v>
      </c>
      <c r="U25" s="771">
        <f>H25</f>
        <v>100</v>
      </c>
      <c r="V25" s="770" t="s">
        <v>17</v>
      </c>
      <c r="W25" s="771">
        <f>J25</f>
        <v>100</v>
      </c>
      <c r="X25" s="1793"/>
      <c r="Y25" s="3671"/>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71"/>
      <c r="Q26" s="1790">
        <f t="shared" ref="Q26:Q40" si="11">B26</f>
        <v>111</v>
      </c>
      <c r="R26" s="770" t="s">
        <v>17</v>
      </c>
      <c r="S26" s="771">
        <f>F26</f>
        <v>100</v>
      </c>
      <c r="T26" s="770" t="s">
        <v>17</v>
      </c>
      <c r="U26" s="771">
        <f>H26</f>
        <v>100</v>
      </c>
      <c r="V26" s="770" t="s">
        <v>17</v>
      </c>
      <c r="W26" s="771">
        <f>J26</f>
        <v>100</v>
      </c>
      <c r="X26" s="1793"/>
      <c r="Y26" s="3671"/>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71"/>
      <c r="Q27" s="1775">
        <f t="shared" si="11"/>
        <v>111</v>
      </c>
      <c r="R27" s="766" t="s">
        <v>17</v>
      </c>
      <c r="S27" s="767">
        <f>F27</f>
        <v>100</v>
      </c>
      <c r="T27" s="766" t="s">
        <v>17</v>
      </c>
      <c r="U27" s="767">
        <f>H27</f>
        <v>100</v>
      </c>
      <c r="V27" s="766" t="s">
        <v>17</v>
      </c>
      <c r="W27" s="767">
        <f>J27</f>
        <v>100</v>
      </c>
      <c r="X27" s="768"/>
      <c r="Y27" s="3671"/>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71"/>
      <c r="Q28" s="1790">
        <f t="shared" si="11"/>
        <v>111</v>
      </c>
      <c r="R28" s="770" t="s">
        <v>17</v>
      </c>
      <c r="S28" s="771">
        <f t="shared" ref="S28:S40" si="12">F28</f>
        <v>100</v>
      </c>
      <c r="T28" s="770" t="s">
        <v>17</v>
      </c>
      <c r="U28" s="771">
        <f t="shared" ref="U28:U40" si="13">H28</f>
        <v>100</v>
      </c>
      <c r="V28" s="770" t="s">
        <v>17</v>
      </c>
      <c r="W28" s="771">
        <f t="shared" ref="W28:W40" si="14">J28</f>
        <v>100</v>
      </c>
      <c r="X28" s="1793"/>
      <c r="Y28" s="3671"/>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13" t="s">
        <v>2553</v>
      </c>
      <c r="Q29" s="1790" t="str">
        <f t="shared" si="11"/>
        <v>建筑类型</v>
      </c>
      <c r="R29" s="770" t="s">
        <v>17</v>
      </c>
      <c r="S29" s="771">
        <f t="shared" si="12"/>
        <v>100</v>
      </c>
      <c r="T29" s="770" t="s">
        <v>17</v>
      </c>
      <c r="U29" s="771">
        <f t="shared" si="13"/>
        <v>100</v>
      </c>
      <c r="V29" s="770" t="s">
        <v>17</v>
      </c>
      <c r="W29" s="771">
        <f t="shared" si="14"/>
        <v>100</v>
      </c>
      <c r="X29" s="1793"/>
      <c r="Y29" s="3675"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75"/>
      <c r="Q30" s="772" t="str">
        <f t="shared" si="11"/>
        <v>项目建筑规模</v>
      </c>
      <c r="R30" s="773" t="s">
        <v>17</v>
      </c>
      <c r="S30" s="774" t="e">
        <f t="shared" si="12"/>
        <v>#N/A</v>
      </c>
      <c r="T30" s="773" t="s">
        <v>17</v>
      </c>
      <c r="U30" s="774" t="e">
        <f t="shared" si="13"/>
        <v>#N/A</v>
      </c>
      <c r="V30" s="773" t="s">
        <v>17</v>
      </c>
      <c r="W30" s="774" t="e">
        <f t="shared" si="14"/>
        <v>#N/A</v>
      </c>
      <c r="X30" s="775"/>
      <c r="Y30" s="3675"/>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75"/>
      <c r="Q31" s="1790" t="str">
        <f t="shared" si="11"/>
        <v>建筑结构</v>
      </c>
      <c r="R31" s="770" t="s">
        <v>17</v>
      </c>
      <c r="S31" s="771">
        <f t="shared" si="12"/>
        <v>100</v>
      </c>
      <c r="T31" s="770" t="s">
        <v>17</v>
      </c>
      <c r="U31" s="771">
        <f t="shared" si="13"/>
        <v>100</v>
      </c>
      <c r="V31" s="770" t="s">
        <v>17</v>
      </c>
      <c r="W31" s="771">
        <f t="shared" si="14"/>
        <v>100</v>
      </c>
      <c r="X31" s="1793"/>
      <c r="Y31" s="3675"/>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75"/>
      <c r="Q32" s="1790" t="str">
        <f t="shared" si="11"/>
        <v>公共部分装修</v>
      </c>
      <c r="R32" s="770" t="s">
        <v>17</v>
      </c>
      <c r="S32" s="771">
        <f t="shared" si="12"/>
        <v>100</v>
      </c>
      <c r="T32" s="770" t="s">
        <v>17</v>
      </c>
      <c r="U32" s="771">
        <f t="shared" si="13"/>
        <v>100</v>
      </c>
      <c r="V32" s="770" t="s">
        <v>17</v>
      </c>
      <c r="W32" s="771">
        <f t="shared" si="14"/>
        <v>100</v>
      </c>
      <c r="X32" s="1793"/>
      <c r="Y32" s="3675"/>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75"/>
      <c r="Q33" s="1790" t="str">
        <f t="shared" si="11"/>
        <v>成新度</v>
      </c>
      <c r="R33" s="770" t="s">
        <v>17</v>
      </c>
      <c r="S33" s="771" t="e">
        <f t="shared" si="12"/>
        <v>#N/A</v>
      </c>
      <c r="T33" s="770" t="s">
        <v>17</v>
      </c>
      <c r="U33" s="771" t="e">
        <f t="shared" si="13"/>
        <v>#N/A</v>
      </c>
      <c r="V33" s="770" t="s">
        <v>17</v>
      </c>
      <c r="W33" s="771" t="e">
        <f t="shared" si="14"/>
        <v>#N/A</v>
      </c>
      <c r="X33" s="1793"/>
      <c r="Y33" s="3675"/>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75"/>
      <c r="Q34" s="1775" t="str">
        <f t="shared" si="11"/>
        <v>物业管理</v>
      </c>
      <c r="R34" s="766" t="s">
        <v>17</v>
      </c>
      <c r="S34" s="767">
        <f t="shared" si="12"/>
        <v>100</v>
      </c>
      <c r="T34" s="766" t="s">
        <v>17</v>
      </c>
      <c r="U34" s="767">
        <f t="shared" si="13"/>
        <v>100</v>
      </c>
      <c r="V34" s="766" t="s">
        <v>17</v>
      </c>
      <c r="W34" s="767">
        <f t="shared" si="14"/>
        <v>100</v>
      </c>
      <c r="X34" s="768"/>
      <c r="Y34" s="3675"/>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75" t="s">
        <v>2553</v>
      </c>
      <c r="Q35" s="1790" t="str">
        <f t="shared" si="11"/>
        <v>市政基础设施</v>
      </c>
      <c r="R35" s="770" t="s">
        <v>17</v>
      </c>
      <c r="S35" s="771">
        <f t="shared" si="12"/>
        <v>100</v>
      </c>
      <c r="T35" s="770" t="s">
        <v>17</v>
      </c>
      <c r="U35" s="771">
        <f t="shared" si="13"/>
        <v>100</v>
      </c>
      <c r="V35" s="770" t="s">
        <v>17</v>
      </c>
      <c r="W35" s="771">
        <f t="shared" si="14"/>
        <v>100</v>
      </c>
      <c r="X35" s="1793"/>
      <c r="Y35" s="3675"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75"/>
      <c r="Q36" s="1790" t="str">
        <f t="shared" si="11"/>
        <v>内部装修</v>
      </c>
      <c r="R36" s="770" t="s">
        <v>17</v>
      </c>
      <c r="S36" s="771">
        <f t="shared" si="12"/>
        <v>100</v>
      </c>
      <c r="T36" s="770" t="s">
        <v>17</v>
      </c>
      <c r="U36" s="771">
        <f t="shared" si="13"/>
        <v>100</v>
      </c>
      <c r="V36" s="770" t="s">
        <v>17</v>
      </c>
      <c r="W36" s="771">
        <f t="shared" si="14"/>
        <v>100</v>
      </c>
      <c r="X36" s="1793"/>
      <c r="Y36" s="3675"/>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75"/>
      <c r="Q37" s="1790" t="str">
        <f t="shared" si="11"/>
        <v>内部装修状况</v>
      </c>
      <c r="R37" s="770" t="s">
        <v>17</v>
      </c>
      <c r="S37" s="771">
        <f t="shared" si="12"/>
        <v>100</v>
      </c>
      <c r="T37" s="770" t="s">
        <v>17</v>
      </c>
      <c r="U37" s="771">
        <f t="shared" si="13"/>
        <v>100</v>
      </c>
      <c r="V37" s="770" t="s">
        <v>17</v>
      </c>
      <c r="W37" s="771">
        <f t="shared" si="14"/>
        <v>100</v>
      </c>
      <c r="X37" s="1793"/>
      <c r="Y37" s="3675"/>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75"/>
      <c r="Q38" s="772">
        <f t="shared" si="11"/>
        <v>111</v>
      </c>
      <c r="R38" s="773" t="s">
        <v>17</v>
      </c>
      <c r="S38" s="774">
        <f t="shared" si="12"/>
        <v>100</v>
      </c>
      <c r="T38" s="773" t="s">
        <v>17</v>
      </c>
      <c r="U38" s="774">
        <f t="shared" si="13"/>
        <v>100</v>
      </c>
      <c r="V38" s="773" t="s">
        <v>17</v>
      </c>
      <c r="W38" s="774">
        <f t="shared" si="14"/>
        <v>100</v>
      </c>
      <c r="X38" s="775"/>
      <c r="Y38" s="3675"/>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75"/>
      <c r="Q39" s="1790">
        <f t="shared" si="11"/>
        <v>111</v>
      </c>
      <c r="R39" s="770" t="s">
        <v>17</v>
      </c>
      <c r="S39" s="771">
        <f t="shared" si="12"/>
        <v>100</v>
      </c>
      <c r="T39" s="770" t="s">
        <v>17</v>
      </c>
      <c r="U39" s="771">
        <f t="shared" si="13"/>
        <v>100</v>
      </c>
      <c r="V39" s="770" t="s">
        <v>17</v>
      </c>
      <c r="W39" s="771">
        <f t="shared" si="14"/>
        <v>100</v>
      </c>
      <c r="X39" s="1793"/>
      <c r="Y39" s="3675"/>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76"/>
      <c r="Q40" s="1790">
        <f t="shared" si="11"/>
        <v>111</v>
      </c>
      <c r="R40" s="770" t="s">
        <v>17</v>
      </c>
      <c r="S40" s="771">
        <f t="shared" si="12"/>
        <v>100</v>
      </c>
      <c r="T40" s="770" t="s">
        <v>17</v>
      </c>
      <c r="U40" s="771">
        <f t="shared" si="13"/>
        <v>100</v>
      </c>
      <c r="V40" s="770" t="s">
        <v>17</v>
      </c>
      <c r="W40" s="771">
        <f t="shared" si="14"/>
        <v>100</v>
      </c>
      <c r="X40" s="1793"/>
      <c r="Y40" s="3676"/>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77" t="str">
        <f>A41</f>
        <v>成交单价（元/平方米）</v>
      </c>
      <c r="Q41" s="3677"/>
      <c r="R41" s="3678">
        <f>E41</f>
        <v>0</v>
      </c>
      <c r="S41" s="3678"/>
      <c r="T41" s="3678">
        <f>G41</f>
        <v>0</v>
      </c>
      <c r="U41" s="3678"/>
      <c r="V41" s="3678">
        <f>I41</f>
        <v>0</v>
      </c>
      <c r="W41" s="3678"/>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79" t="str">
        <f>A43</f>
        <v>估价对象XX用房的比较价值（楼面单价，元/平方米）</v>
      </c>
      <c r="Q43" s="3680"/>
      <c r="R43" s="3681" t="e">
        <f>IF(F1="售价",ROUND(AVERAGE(R42:V42),0),ROUND(AVERAGE(R42:V42),1))</f>
        <v>#DIV/0!</v>
      </c>
      <c r="S43" s="3681"/>
      <c r="T43" s="3681"/>
      <c r="U43" s="3681"/>
      <c r="V43" s="3681"/>
      <c r="W43" s="3681"/>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2020-6</v>
      </c>
      <c r="D52" s="1555">
        <f>EDATE(C52,-1)</f>
        <v>43952</v>
      </c>
      <c r="E52" s="1555">
        <f t="shared" ref="E52:O52" si="16">EDATE(D52,-1)</f>
        <v>43922</v>
      </c>
      <c r="F52" s="1555">
        <f t="shared" si="16"/>
        <v>43891</v>
      </c>
      <c r="G52" s="1555">
        <f t="shared" si="16"/>
        <v>43862</v>
      </c>
      <c r="H52" s="1555">
        <f t="shared" si="16"/>
        <v>43831</v>
      </c>
      <c r="I52" s="1555">
        <f t="shared" si="16"/>
        <v>43800</v>
      </c>
      <c r="J52" s="1555">
        <f t="shared" si="16"/>
        <v>43770</v>
      </c>
      <c r="K52" s="1555">
        <f t="shared" si="16"/>
        <v>43739</v>
      </c>
      <c r="L52" s="1555">
        <f t="shared" si="16"/>
        <v>43709</v>
      </c>
      <c r="M52" s="1555">
        <f t="shared" si="16"/>
        <v>43678</v>
      </c>
      <c r="N52" s="1555">
        <f t="shared" si="16"/>
        <v>43647</v>
      </c>
      <c r="O52" s="1555">
        <f t="shared" si="16"/>
        <v>43617</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47066</v>
      </c>
      <c r="C2" s="2539" t="s">
        <v>2507</v>
      </c>
      <c r="D2" s="2540" t="s">
        <v>2508</v>
      </c>
      <c r="E2" s="2541">
        <f>SUM(E6:E13)</f>
        <v>16840.21</v>
      </c>
    </row>
    <row r="3" spans="1:6" ht="15.75">
      <c r="A3" s="2537" t="s">
        <v>1383</v>
      </c>
      <c r="B3" s="2538">
        <f ca="1">ROUND(B2*10000/E2,0)</f>
        <v>27949</v>
      </c>
      <c r="C3" s="2539" t="s">
        <v>2515</v>
      </c>
      <c r="D3" s="2542"/>
      <c r="E3" s="2543"/>
    </row>
    <row r="4" spans="1:6" ht="15.75">
      <c r="A4" s="2544"/>
      <c r="B4" s="2542"/>
      <c r="C4" s="2542"/>
      <c r="D4" s="2542"/>
      <c r="E4" s="2543"/>
    </row>
    <row r="5" spans="1:6" ht="15">
      <c r="A5" s="2545" t="s">
        <v>2509</v>
      </c>
      <c r="B5" s="3691" t="s">
        <v>2510</v>
      </c>
      <c r="C5" s="3691"/>
      <c r="D5" s="2546"/>
      <c r="E5" s="2547" t="s">
        <v>2511</v>
      </c>
      <c r="F5" s="2548" t="s">
        <v>2512</v>
      </c>
    </row>
    <row r="6" spans="1:6">
      <c r="A6" s="2549">
        <f>'数据-取费表'!AN6</f>
        <v>0</v>
      </c>
      <c r="B6" s="2548">
        <f>IF(F6="是",'数据-取费表'!AO6,0)</f>
        <v>0</v>
      </c>
      <c r="C6" s="2539" t="s">
        <v>2507</v>
      </c>
      <c r="D6" s="2542"/>
      <c r="E6" s="2550">
        <f>IF(OR(A6=0,F6="否"),0,'数据-取费表'!K6+'数据-取费表'!S6)</f>
        <v>0</v>
      </c>
      <c r="F6" s="2551" t="s">
        <v>3094</v>
      </c>
    </row>
    <row r="7" spans="1:6">
      <c r="A7" s="2549">
        <f>'数据-取费表'!AN7</f>
        <v>0</v>
      </c>
      <c r="B7" s="2548">
        <f>IF(F7="是",'数据-取费表'!AO7,0)</f>
        <v>0</v>
      </c>
      <c r="C7" s="2539" t="s">
        <v>2507</v>
      </c>
      <c r="D7" s="2542"/>
      <c r="E7" s="2550">
        <f>IF(OR(A7=0,F7="否"),0,'数据-取费表'!K7+'数据-取费表'!S7)</f>
        <v>0</v>
      </c>
      <c r="F7" s="2551" t="s">
        <v>3094</v>
      </c>
    </row>
    <row r="8" spans="1:6">
      <c r="A8" s="2549" t="str">
        <f>'数据-取费表'!AN8</f>
        <v>收益法办租</v>
      </c>
      <c r="B8" s="2548">
        <f ca="1">IF(F8="是",'数据-取费表'!AO8,0)</f>
        <v>12056</v>
      </c>
      <c r="C8" s="2539" t="s">
        <v>2507</v>
      </c>
      <c r="D8" s="2542"/>
      <c r="E8" s="2550">
        <f>IF(OR(A8=0,F8="否"),0,'数据-取费表'!K8+'数据-取费表'!S8)</f>
        <v>4241.46</v>
      </c>
      <c r="F8" s="2551" t="s">
        <v>2513</v>
      </c>
    </row>
    <row r="9" spans="1:6">
      <c r="A9" s="2549" t="str">
        <f>'数据-取费表'!AN9</f>
        <v>收益法办自</v>
      </c>
      <c r="B9" s="2548">
        <f ca="1">IF(F9="是",'数据-取费表'!AO9,0)</f>
        <v>35010</v>
      </c>
      <c r="C9" s="2539" t="s">
        <v>2507</v>
      </c>
      <c r="D9" s="2542"/>
      <c r="E9" s="2550">
        <f>IF(OR(A9=0,F9="否"),0,'数据-取费表'!K9+'数据-取费表'!S9)</f>
        <v>12598.749999999998</v>
      </c>
      <c r="F9" s="2551" t="s">
        <v>2513</v>
      </c>
    </row>
    <row r="10" spans="1:6">
      <c r="A10" s="2549" t="str">
        <f>'数据-取费表'!AN10</f>
        <v>收益法车库</v>
      </c>
      <c r="B10" s="2548">
        <f>IF(F10="是",'数据-取费表'!AO10,0)</f>
        <v>0</v>
      </c>
      <c r="C10" s="2539" t="s">
        <v>2507</v>
      </c>
      <c r="D10" s="2542"/>
      <c r="E10" s="2550">
        <f>IF(OR(A10=0,F10="否"),0,'数据-取费表'!K10+'数据-取费表'!S10)</f>
        <v>0</v>
      </c>
      <c r="F10" s="2551" t="s">
        <v>3094</v>
      </c>
    </row>
    <row r="11" spans="1:6">
      <c r="A11" s="2549" t="str">
        <f>'数据-取费表'!AN11</f>
        <v>收益法酒店</v>
      </c>
      <c r="B11" s="2548">
        <f>IF(F11="是",'数据-取费表'!AO11,0)</f>
        <v>0</v>
      </c>
      <c r="C11" s="2539" t="s">
        <v>2507</v>
      </c>
      <c r="D11" s="2542"/>
      <c r="E11" s="2550">
        <f>IF(OR(A11=0,F11="否"),0,'数据-取费表'!K11+'数据-取费表'!S11)</f>
        <v>0</v>
      </c>
      <c r="F11" s="2551" t="s">
        <v>3094</v>
      </c>
    </row>
    <row r="12" spans="1:6">
      <c r="A12" s="2549">
        <f>'数据-取费表'!AN12</f>
        <v>0</v>
      </c>
      <c r="B12" s="2548">
        <f>IF(F12="是",'数据-取费表'!AO12,0)</f>
        <v>0</v>
      </c>
      <c r="C12" s="2539" t="s">
        <v>2507</v>
      </c>
      <c r="D12" s="2542"/>
      <c r="E12" s="2550">
        <f>IF(OR(A12=0,F12="否"),0,'数据-取费表'!K12+'数据-取费表'!S12)</f>
        <v>0</v>
      </c>
      <c r="F12" s="2551" t="s">
        <v>3094</v>
      </c>
    </row>
    <row r="13" spans="1:6" ht="15" thickBot="1">
      <c r="A13" s="2552">
        <f>'数据-取费表'!AN13</f>
        <v>0</v>
      </c>
      <c r="B13" s="2548">
        <f>IF(F13="是",'数据-取费表'!AO13,0)</f>
        <v>0</v>
      </c>
      <c r="C13" s="2553" t="s">
        <v>2507</v>
      </c>
      <c r="D13" s="2554"/>
      <c r="E13" s="2550">
        <f>IF(OR(A13=0,F13="否"),0,'数据-取费表'!K13+'数据-取费表'!S13)</f>
        <v>0</v>
      </c>
      <c r="F13" s="2551"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H118" sqref="H118"/>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3050</v>
      </c>
      <c r="H1" s="2392" t="str">
        <f>IF(G1="现房","——","估价对象范围")</f>
        <v>——</v>
      </c>
      <c r="I1" s="2393"/>
    </row>
    <row r="2" spans="1:12" ht="21.75" customHeight="1" thickBot="1">
      <c r="A2" s="3612" t="str">
        <f>项目基本情况!S2</f>
        <v>北京市朝阳区广顺北大街16号院1、2、3号楼房地产</v>
      </c>
      <c r="B2" s="3613"/>
      <c r="C2" s="3613"/>
      <c r="D2" s="3613"/>
      <c r="E2" s="3613"/>
      <c r="F2" s="3613"/>
      <c r="G2" s="3613"/>
      <c r="H2" s="3613"/>
      <c r="I2" s="3614"/>
    </row>
    <row r="3" spans="1:12" ht="12.75">
      <c r="A3" s="3615" t="s">
        <v>2107</v>
      </c>
      <c r="B3" s="3616"/>
      <c r="C3" s="3616"/>
      <c r="D3" s="3616"/>
      <c r="E3" s="3616"/>
      <c r="F3" s="3616"/>
      <c r="G3" s="3616"/>
      <c r="H3" s="3616"/>
      <c r="I3" s="3616"/>
    </row>
    <row r="4" spans="1:12" ht="14.25">
      <c r="A4" s="2396" t="s">
        <v>2108</v>
      </c>
      <c r="B4" s="2397" t="s">
        <v>2109</v>
      </c>
      <c r="C4" s="2398" t="s">
        <v>3654</v>
      </c>
      <c r="D4" s="2398" t="s">
        <v>3650</v>
      </c>
      <c r="E4" s="3596" t="s">
        <v>2110</v>
      </c>
      <c r="F4" s="3609"/>
      <c r="G4" s="3609"/>
      <c r="H4" s="3609"/>
      <c r="I4" s="3597"/>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87" t="s">
        <v>2111</v>
      </c>
      <c r="B5" s="3504">
        <v>25</v>
      </c>
      <c r="C5" s="3617"/>
      <c r="D5" s="3605"/>
      <c r="E5" s="140" t="s">
        <v>2112</v>
      </c>
      <c r="F5" s="2400"/>
      <c r="G5" s="2400"/>
      <c r="H5" s="2400"/>
      <c r="I5" s="1811"/>
    </row>
    <row r="6" spans="1:12" ht="12.75">
      <c r="A6" s="3587"/>
      <c r="B6" s="3504"/>
      <c r="C6" s="3619"/>
      <c r="D6" s="3605"/>
      <c r="E6" s="140" t="s">
        <v>2113</v>
      </c>
      <c r="F6" s="2400"/>
      <c r="G6" s="2400"/>
      <c r="H6" s="2400"/>
      <c r="I6" s="1811"/>
    </row>
    <row r="7" spans="1:12" ht="12.75">
      <c r="A7" s="3587"/>
      <c r="B7" s="3504"/>
      <c r="C7" s="3618"/>
      <c r="D7" s="3605"/>
      <c r="E7" s="140" t="s">
        <v>2114</v>
      </c>
      <c r="F7" s="2400"/>
      <c r="G7" s="2400"/>
      <c r="H7" s="2400"/>
      <c r="I7" s="1811"/>
    </row>
    <row r="8" spans="1:12" ht="12.75">
      <c r="A8" s="3587" t="s">
        <v>2115</v>
      </c>
      <c r="B8" s="3504">
        <v>15</v>
      </c>
      <c r="C8" s="3617"/>
      <c r="D8" s="3605"/>
      <c r="E8" s="140" t="s">
        <v>2116</v>
      </c>
      <c r="F8" s="2400"/>
      <c r="G8" s="2400"/>
      <c r="H8" s="2400"/>
      <c r="I8" s="1811"/>
    </row>
    <row r="9" spans="1:12" ht="12.75">
      <c r="A9" s="3587"/>
      <c r="B9" s="3504"/>
      <c r="C9" s="3618"/>
      <c r="D9" s="3605"/>
      <c r="E9" s="140" t="s">
        <v>2117</v>
      </c>
      <c r="F9" s="2400"/>
      <c r="G9" s="2400"/>
      <c r="H9" s="2400"/>
      <c r="I9" s="1811"/>
    </row>
    <row r="10" spans="1:12" ht="12.75">
      <c r="A10" s="3587" t="s">
        <v>2118</v>
      </c>
      <c r="B10" s="3504">
        <v>15</v>
      </c>
      <c r="C10" s="3617"/>
      <c r="D10" s="3605"/>
      <c r="E10" s="140" t="s">
        <v>2119</v>
      </c>
      <c r="F10" s="2400"/>
      <c r="G10" s="2400"/>
      <c r="H10" s="2400"/>
      <c r="I10" s="1811"/>
    </row>
    <row r="11" spans="1:12" ht="12.75">
      <c r="A11" s="3587"/>
      <c r="B11" s="3504"/>
      <c r="C11" s="3618"/>
      <c r="D11" s="3605"/>
      <c r="E11" s="140" t="s">
        <v>2120</v>
      </c>
      <c r="F11" s="2400"/>
      <c r="G11" s="2400"/>
      <c r="H11" s="2400"/>
      <c r="I11" s="1811"/>
    </row>
    <row r="12" spans="1:12" ht="12.75">
      <c r="A12" s="3587" t="s">
        <v>2121</v>
      </c>
      <c r="B12" s="3504">
        <v>15</v>
      </c>
      <c r="C12" s="3617"/>
      <c r="D12" s="3605"/>
      <c r="E12" s="140" t="s">
        <v>2122</v>
      </c>
      <c r="F12" s="2400"/>
      <c r="G12" s="2400"/>
      <c r="H12" s="2400"/>
      <c r="I12" s="1811"/>
    </row>
    <row r="13" spans="1:12" ht="12.75">
      <c r="A13" s="3587"/>
      <c r="B13" s="3504"/>
      <c r="C13" s="3618"/>
      <c r="D13" s="3605"/>
      <c r="E13" s="140" t="s">
        <v>2123</v>
      </c>
      <c r="F13" s="2400"/>
      <c r="G13" s="2400"/>
      <c r="H13" s="2400"/>
      <c r="I13" s="1811"/>
    </row>
    <row r="14" spans="1:12" ht="12.75">
      <c r="A14" s="3587" t="s">
        <v>2124</v>
      </c>
      <c r="B14" s="3504">
        <v>30</v>
      </c>
      <c r="C14" s="3617">
        <v>6</v>
      </c>
      <c r="D14" s="3605">
        <v>4</v>
      </c>
      <c r="E14" s="140" t="s">
        <v>2125</v>
      </c>
      <c r="F14" s="2400"/>
      <c r="G14" s="2400"/>
      <c r="H14" s="2400"/>
      <c r="I14" s="1811"/>
    </row>
    <row r="15" spans="1:12" ht="12.75">
      <c r="A15" s="3587"/>
      <c r="B15" s="3504"/>
      <c r="C15" s="3619"/>
      <c r="D15" s="3605"/>
      <c r="E15" s="140" t="s">
        <v>2126</v>
      </c>
      <c r="F15" s="2400"/>
      <c r="G15" s="2400"/>
      <c r="H15" s="2400"/>
      <c r="I15" s="1811"/>
    </row>
    <row r="16" spans="1:12" ht="12.75">
      <c r="A16" s="3587"/>
      <c r="B16" s="3504"/>
      <c r="C16" s="3618"/>
      <c r="D16" s="3605"/>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13713.319999999996</v>
      </c>
      <c r="M18" s="2399">
        <f>IF(C1="",'数据-汇总表'!E3,SUMIF(项目类型,C1,'数据-汇总表'!E17:E26))</f>
        <v>13156.989999999996</v>
      </c>
    </row>
    <row r="19" spans="1:35" ht="15">
      <c r="A19" s="2405" t="s">
        <v>2133</v>
      </c>
      <c r="B19" s="2406" t="s">
        <v>2134</v>
      </c>
      <c r="C19" s="143">
        <f ca="1">SUMIF(INDIRECT("'"&amp;C4&amp;"'"&amp;"!A:A"),结果表车!B19,INDIRECT("'"&amp;C4&amp;"'"&amp;"!B:B"))</f>
        <v>13416</v>
      </c>
      <c r="D19" s="144">
        <f ca="1">SUMIF(INDIRECT("'"&amp;D4&amp;"'"&amp;"!A:A"),结果表车!B19,INDIRECT("'"&amp;D4&amp;"'"&amp;"!B:B"))</f>
        <v>6776</v>
      </c>
      <c r="E19" s="2405" t="s">
        <v>2135</v>
      </c>
      <c r="F19" s="2406" t="s">
        <v>2134</v>
      </c>
      <c r="G19" s="145">
        <f ca="1">ROUND(C19*$C$18+D19*$D$18,0)</f>
        <v>10760</v>
      </c>
      <c r="H19" s="2407" t="s">
        <v>2136</v>
      </c>
      <c r="I19" s="138"/>
      <c r="K19" s="2399" t="s">
        <v>2137</v>
      </c>
      <c r="L19" s="2399">
        <f>IF(C1="",'数据-汇总表'!D3,SUMIF(项目类型,C1,'数据-汇总表'!D17:D26)+SUMIF(项目类型,C1,'数据-汇总表'!H17:H27))</f>
        <v>3148.52</v>
      </c>
      <c r="M19" s="2399">
        <f>IF(C1="",'数据-汇总表'!D3,SUMIF(项目类型,C1,'数据-汇总表'!D17:D26))</f>
        <v>3020.79</v>
      </c>
    </row>
    <row r="20" spans="1:35" ht="15">
      <c r="A20" s="2408"/>
      <c r="B20" s="1229" t="s">
        <v>2138</v>
      </c>
      <c r="C20" s="146">
        <f ca="1">SUMIF(INDIRECT("'"&amp;C4&amp;"'"&amp;"!A:A"),结果表车!B20,INDIRECT("'"&amp;C4&amp;"'"&amp;"!B:B"))</f>
        <v>10197</v>
      </c>
      <c r="D20" s="147">
        <f ca="1">SUMIF(INDIRECT("'"&amp;D4&amp;"'"&amp;"!A:A"),结果表车!B20,INDIRECT("'"&amp;D4&amp;"'"&amp;"!B:B"))</f>
        <v>5150</v>
      </c>
      <c r="E20" s="2408"/>
      <c r="F20" s="1229" t="s">
        <v>2138</v>
      </c>
      <c r="G20" s="148">
        <f ca="1">ROUND(C20*$C$18+D20*$D$18,0)</f>
        <v>8178</v>
      </c>
      <c r="H20" s="970" t="s">
        <v>2139</v>
      </c>
      <c r="I20" s="138"/>
    </row>
    <row r="21" spans="1:35" ht="15" customHeight="1" thickBot="1">
      <c r="A21" s="990"/>
      <c r="B21" s="2409" t="s">
        <v>2140</v>
      </c>
      <c r="C21" s="784">
        <f ca="1">ROUND(C19*10000/L19,0)</f>
        <v>42610</v>
      </c>
      <c r="D21" s="785">
        <f ca="1">ROUND(D19*10000/L19,0)</f>
        <v>21521</v>
      </c>
      <c r="E21" s="990"/>
      <c r="F21" s="2409" t="s">
        <v>2140</v>
      </c>
      <c r="G21" s="149">
        <f ca="1">ROUND(G19*10000/L19,0)</f>
        <v>34175</v>
      </c>
      <c r="H21" s="2410" t="s">
        <v>2139</v>
      </c>
      <c r="I21" s="138"/>
    </row>
    <row r="22" spans="1:35" ht="15" thickBot="1">
      <c r="A22" s="2255" t="s">
        <v>2141</v>
      </c>
      <c r="B22" s="2411"/>
      <c r="C22" s="2412"/>
      <c r="D22" s="786">
        <f ca="1">IF(C19&lt;D19,D19/C19-1,C19/D19-1)</f>
        <v>0.97992916174734357</v>
      </c>
      <c r="E22" s="138"/>
      <c r="F22" s="138"/>
      <c r="G22" s="138"/>
      <c r="H22" s="138"/>
      <c r="I22" s="138"/>
    </row>
    <row r="23" spans="1:35" ht="13.5" thickBot="1">
      <c r="A23" s="2389"/>
      <c r="B23" s="2389"/>
      <c r="C23" s="2389"/>
      <c r="D23" s="2389"/>
      <c r="E23" s="138"/>
      <c r="F23" s="138"/>
      <c r="G23" s="138"/>
      <c r="H23" s="138"/>
      <c r="I23" s="138"/>
    </row>
    <row r="24" spans="1:35" ht="14.25">
      <c r="A24" s="3626" t="s">
        <v>2142</v>
      </c>
      <c r="B24" s="2406" t="s">
        <v>2134</v>
      </c>
      <c r="C24" s="145">
        <f>IF(B30=0,0,D30)</f>
        <v>0</v>
      </c>
      <c r="D24" s="2413"/>
      <c r="E24" s="138"/>
      <c r="F24" s="138"/>
      <c r="G24" s="138"/>
      <c r="H24" s="138"/>
      <c r="I24" s="138"/>
    </row>
    <row r="25" spans="1:35" ht="14.25">
      <c r="A25" s="3627"/>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10760</v>
      </c>
      <c r="D32" s="2420" t="s">
        <v>2149</v>
      </c>
      <c r="E32" s="138"/>
      <c r="F32" s="138"/>
      <c r="G32" s="138"/>
      <c r="H32" s="138"/>
      <c r="I32" s="138"/>
    </row>
    <row r="33" spans="1:15" ht="15">
      <c r="A33" s="947" t="s">
        <v>2150</v>
      </c>
      <c r="B33" s="2421"/>
      <c r="C33" s="2422" t="s">
        <v>3672</v>
      </c>
      <c r="D33" s="2423" t="s">
        <v>3650</v>
      </c>
      <c r="E33" s="2424" t="s">
        <v>2151</v>
      </c>
      <c r="F33" s="3008" t="str">
        <f>IF(D32="楼面单价","取值（单价）","取值（总价）")</f>
        <v>取值（总价）</v>
      </c>
      <c r="G33" s="138"/>
      <c r="H33" s="138"/>
      <c r="I33" s="138"/>
    </row>
    <row r="34" spans="1:15" ht="15">
      <c r="A34" s="2426"/>
      <c r="B34" s="2427" t="s">
        <v>2152</v>
      </c>
      <c r="C34" s="157">
        <f ca="1">IF(C33="自定义",F34,C32-C35)</f>
        <v>-3788</v>
      </c>
      <c r="D34" s="1045">
        <f ca="1">IF(C33="自定义",ROUND(C34/C32,3),IF(C33="收益比率",SUMIF(INDIRECT("'"&amp;D33&amp;"'"&amp;"!b:b"),"土地收益比率",INDIRECT("'"&amp;D33&amp;"'"&amp;"!c:c")),SUMIF(INDIRECT("'"&amp;D33&amp;"'"&amp;"!b:b"),"土地成本比率",INDIRECT("'"&amp;D33&amp;"'"&amp;"!c:c"))))</f>
        <v>-0.35200000000000009</v>
      </c>
      <c r="E34" s="2428" t="s">
        <v>2153</v>
      </c>
      <c r="F34" s="1716"/>
      <c r="G34" s="138"/>
      <c r="H34" s="138"/>
      <c r="I34" s="138"/>
    </row>
    <row r="35" spans="1:15" ht="15.75" thickBot="1">
      <c r="A35" s="2429"/>
      <c r="B35" s="2430" t="s">
        <v>2154</v>
      </c>
      <c r="C35" s="1422">
        <f ca="1">IF(C33="自定义",F35,ROUND(C32*D35,0))</f>
        <v>14548</v>
      </c>
      <c r="D35" s="1423">
        <f ca="1">IF(C33="自定义",ROUND(C35/C32,3),IF(C33="收益比率",SUMIF(INDIRECT("'"&amp;D33&amp;"'"&amp;"!b:b"),"建筑物收益比率",INDIRECT("'"&amp;D33&amp;"'"&amp;"!c:c")),SUMIF(INDIRECT("'"&amp;D33&amp;"'"&amp;"!b:b"),"建筑物成本比率",INDIRECT("'"&amp;D33&amp;"'"&amp;"!c:c"))))</f>
        <v>1.3520000000000001</v>
      </c>
      <c r="E35" s="2431" t="s">
        <v>2155</v>
      </c>
      <c r="F35" s="163"/>
      <c r="G35" s="138"/>
      <c r="H35" s="138"/>
      <c r="I35" s="138"/>
    </row>
    <row r="36" spans="1:15" ht="15.75" thickBot="1">
      <c r="A36" s="3606" t="s">
        <v>2156</v>
      </c>
      <c r="B36" s="2432" t="s">
        <v>2157</v>
      </c>
      <c r="C36" s="154"/>
      <c r="D36" s="2433"/>
      <c r="E36" s="2434"/>
      <c r="F36" s="2435"/>
      <c r="G36" s="138"/>
      <c r="H36" s="138"/>
      <c r="I36" s="138"/>
    </row>
    <row r="37" spans="1:15" ht="15.75" thickBot="1">
      <c r="A37" s="3607"/>
      <c r="B37" s="2241" t="s">
        <v>2158</v>
      </c>
      <c r="C37" s="156"/>
      <c r="D37" s="1373"/>
      <c r="E37" s="1373"/>
      <c r="F37" s="2435"/>
      <c r="G37" s="138"/>
      <c r="H37" s="138"/>
      <c r="I37" s="138"/>
    </row>
    <row r="38" spans="1:15" ht="15.75" thickBot="1">
      <c r="A38" s="3608"/>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23" t="s">
        <v>2170</v>
      </c>
      <c r="B45" s="3624"/>
      <c r="C45" s="3625"/>
      <c r="D45" s="164">
        <f ca="1">ROUND(H101*F45,0)</f>
        <v>10760</v>
      </c>
      <c r="E45" s="165" t="s">
        <v>2171</v>
      </c>
      <c r="F45" s="166">
        <v>1</v>
      </c>
      <c r="G45" s="167" t="s">
        <v>2172</v>
      </c>
      <c r="H45" s="138"/>
      <c r="I45" s="138"/>
      <c r="J45" s="3542" t="s">
        <v>2173</v>
      </c>
      <c r="K45" s="3542"/>
      <c r="L45" s="3542"/>
      <c r="M45" s="3542"/>
      <c r="N45" s="3542"/>
      <c r="O45" s="3542"/>
    </row>
    <row r="46" spans="1:15" ht="14.25" customHeight="1">
      <c r="A46" s="3620" t="s">
        <v>2174</v>
      </c>
      <c r="B46" s="3621"/>
      <c r="C46" s="3621"/>
      <c r="D46" s="3621"/>
      <c r="E46" s="3621"/>
      <c r="F46" s="3621"/>
      <c r="G46" s="3622"/>
      <c r="H46" s="2451"/>
      <c r="I46" s="168"/>
      <c r="J46" s="3017">
        <v>1</v>
      </c>
      <c r="K46" s="3542" t="s">
        <v>2175</v>
      </c>
      <c r="L46" s="3542"/>
      <c r="M46" s="3543"/>
      <c r="N46" s="3543"/>
      <c r="O46" s="3543"/>
    </row>
    <row r="47" spans="1:15" ht="12" customHeight="1">
      <c r="A47" s="169" t="s">
        <v>2176</v>
      </c>
      <c r="B47" s="170"/>
      <c r="C47" s="171"/>
      <c r="D47" s="172" t="s">
        <v>2177</v>
      </c>
      <c r="E47" s="24" t="s">
        <v>2178</v>
      </c>
      <c r="F47" s="173" t="s">
        <v>2179</v>
      </c>
      <c r="G47" s="174" t="s">
        <v>2180</v>
      </c>
      <c r="H47" s="2451"/>
      <c r="I47" s="168"/>
      <c r="J47" s="3017">
        <v>2</v>
      </c>
      <c r="K47" s="3542" t="s">
        <v>2181</v>
      </c>
      <c r="L47" s="3542"/>
      <c r="M47" s="3544">
        <f>'数据-取费表'!B2</f>
        <v>43983</v>
      </c>
      <c r="N47" s="3544"/>
      <c r="O47" s="3544"/>
    </row>
    <row r="48" spans="1:15" ht="25.5">
      <c r="A48" s="3610" t="s">
        <v>2182</v>
      </c>
      <c r="B48" s="3611"/>
      <c r="C48" s="3611"/>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42" t="s">
        <v>2185</v>
      </c>
      <c r="L48" s="3542"/>
      <c r="M48" s="3545">
        <f ca="1">H101</f>
        <v>10760</v>
      </c>
      <c r="N48" s="3545"/>
      <c r="O48" s="3545"/>
    </row>
    <row r="49" spans="1:35" ht="25.5" customHeight="1">
      <c r="A49" s="176" t="s">
        <v>2186</v>
      </c>
      <c r="B49" s="3590" t="s">
        <v>2187</v>
      </c>
      <c r="C49" s="3590"/>
      <c r="D49" s="177">
        <v>0</v>
      </c>
      <c r="E49" s="23" t="s">
        <v>2188</v>
      </c>
      <c r="F49" s="28" t="s">
        <v>34</v>
      </c>
      <c r="G49" s="3571"/>
      <c r="H49" s="138"/>
      <c r="I49" s="2454"/>
      <c r="J49" s="3017">
        <v>4</v>
      </c>
      <c r="K49" s="3542" t="str">
        <f>IF(项目基本情况!E8="房地产抵押价值","房地产抵押价值","抵押担保权已注销时的房地产抵押价值")</f>
        <v>房地产抵押价值</v>
      </c>
      <c r="L49" s="3542"/>
      <c r="M49" s="3545">
        <f ca="1">IF(项目基本情况!E8="房地产抵押价值",H107,H109)</f>
        <v>10760</v>
      </c>
      <c r="N49" s="3545"/>
      <c r="O49" s="3545"/>
    </row>
    <row r="50" spans="1:35" ht="25.5" customHeight="1">
      <c r="A50" s="178"/>
      <c r="B50" s="3590" t="s">
        <v>2189</v>
      </c>
      <c r="C50" s="3590"/>
      <c r="D50" s="179"/>
      <c r="E50" s="31"/>
      <c r="F50" s="180"/>
      <c r="G50" s="3572"/>
      <c r="H50" s="138"/>
      <c r="I50" s="2454"/>
      <c r="J50" s="3542" t="s">
        <v>2190</v>
      </c>
      <c r="K50" s="3542"/>
      <c r="L50" s="3542"/>
      <c r="M50" s="3542"/>
      <c r="N50" s="3542"/>
      <c r="O50" s="3542"/>
    </row>
    <row r="51" spans="1:35" ht="12" customHeight="1">
      <c r="A51" s="181"/>
      <c r="B51" s="3590" t="s">
        <v>2191</v>
      </c>
      <c r="C51" s="3590"/>
      <c r="D51" s="182"/>
      <c r="E51" s="30"/>
      <c r="F51" s="180"/>
      <c r="G51" s="3573"/>
      <c r="H51" s="138"/>
      <c r="I51" s="2454"/>
      <c r="J51" s="3010" t="s">
        <v>2192</v>
      </c>
      <c r="K51" s="3542" t="s">
        <v>2193</v>
      </c>
      <c r="L51" s="3542"/>
      <c r="M51" s="3010" t="s">
        <v>2194</v>
      </c>
      <c r="N51" s="3010" t="s">
        <v>2195</v>
      </c>
      <c r="O51" s="3010" t="s">
        <v>2196</v>
      </c>
    </row>
    <row r="52" spans="1:35" ht="24" customHeight="1">
      <c r="A52" s="183" t="s">
        <v>2197</v>
      </c>
      <c r="B52" s="3590" t="s">
        <v>2198</v>
      </c>
      <c r="C52" s="3590"/>
      <c r="D52" s="182">
        <f ca="1">ROUND(D45*'数据-取费表'!B41/(1+'数据-取费表'!C42),0)</f>
        <v>574</v>
      </c>
      <c r="E52" s="11" t="s">
        <v>2199</v>
      </c>
      <c r="F52" s="184">
        <f>'数据-取费表'!B41</f>
        <v>5.6000000000000001E-2</v>
      </c>
      <c r="G52" s="2456"/>
      <c r="H52" s="138"/>
      <c r="I52" s="2454"/>
      <c r="J52" s="3017">
        <v>1</v>
      </c>
      <c r="K52" s="3565" t="s">
        <v>2200</v>
      </c>
      <c r="L52" s="3565"/>
      <c r="M52" s="1731">
        <f>D48</f>
        <v>0</v>
      </c>
      <c r="N52" s="3017" t="str">
        <f>E48</f>
        <v>销售额×税（费）率</v>
      </c>
      <c r="O52" s="1732" t="str">
        <f>F48</f>
        <v>免征</v>
      </c>
    </row>
    <row r="53" spans="1:35" ht="12" customHeight="1">
      <c r="A53" s="183" t="s">
        <v>2201</v>
      </c>
      <c r="B53" s="3591" t="s">
        <v>2202</v>
      </c>
      <c r="C53" s="3592"/>
      <c r="D53" s="182">
        <f ca="1">ROUND(D45*'数据-取费表'!B41/(1+'数据-取费表'!C42),0)</f>
        <v>574</v>
      </c>
      <c r="E53" s="11" t="s">
        <v>2199</v>
      </c>
      <c r="F53" s="184">
        <f>'数据-取费表'!B41</f>
        <v>5.6000000000000001E-2</v>
      </c>
      <c r="G53" s="2456"/>
      <c r="H53" s="138"/>
      <c r="I53" s="2454"/>
      <c r="J53" s="3017">
        <v>2</v>
      </c>
      <c r="K53" s="3565" t="s">
        <v>2203</v>
      </c>
      <c r="L53" s="3565"/>
      <c r="M53" s="1731">
        <f t="shared" ref="M53:O54" ca="1" si="0">D55</f>
        <v>5</v>
      </c>
      <c r="N53" s="3017" t="str">
        <f t="shared" si="0"/>
        <v>销售额×税（费）率</v>
      </c>
      <c r="O53" s="1732">
        <f t="shared" si="0"/>
        <v>5.0000000000000001E-4</v>
      </c>
    </row>
    <row r="54" spans="1:35" ht="12" customHeight="1">
      <c r="A54" s="183" t="s">
        <v>2204</v>
      </c>
      <c r="B54" s="3591" t="s">
        <v>2205</v>
      </c>
      <c r="C54" s="3592"/>
      <c r="D54" s="182">
        <f ca="1">C68</f>
        <v>574</v>
      </c>
      <c r="E54" s="30" t="s">
        <v>2206</v>
      </c>
      <c r="F54" s="184">
        <f>'数据-取费表'!B41</f>
        <v>5.6000000000000001E-2</v>
      </c>
      <c r="G54" s="2456"/>
      <c r="H54" s="2457"/>
      <c r="I54" s="2454"/>
      <c r="J54" s="3017">
        <v>3</v>
      </c>
      <c r="K54" s="3565" t="s">
        <v>2207</v>
      </c>
      <c r="L54" s="3565"/>
      <c r="M54" s="1731">
        <f t="shared" ca="1" si="0"/>
        <v>6091</v>
      </c>
      <c r="N54" s="3017" t="str">
        <f t="shared" si="0"/>
        <v>增值额×税（费）率</v>
      </c>
      <c r="O54" s="1733" t="str">
        <f t="shared" si="0"/>
        <v>——</v>
      </c>
    </row>
    <row r="55" spans="1:35" ht="24" customHeight="1">
      <c r="A55" s="3629" t="s">
        <v>2208</v>
      </c>
      <c r="B55" s="3611"/>
      <c r="C55" s="3611"/>
      <c r="D55" s="185">
        <f ca="1">IF(H55="个人住宅",0,ROUND(D45*I55,0))</f>
        <v>5</v>
      </c>
      <c r="E55" s="11" t="s">
        <v>2209</v>
      </c>
      <c r="F55" s="184">
        <f>IF(H55="正常",I55,"免征")</f>
        <v>5.0000000000000001E-4</v>
      </c>
      <c r="G55" s="2456"/>
      <c r="H55" s="2453" t="s">
        <v>2210</v>
      </c>
      <c r="I55" s="186">
        <f>'数据-取费表'!B49</f>
        <v>5.0000000000000001E-4</v>
      </c>
      <c r="J55" s="3017" t="str">
        <f>IF(H59="非个人房产","",4)</f>
        <v/>
      </c>
      <c r="K55" s="3565" t="str">
        <f>IF(H59="非个人房产","——","个人所得税")</f>
        <v>——</v>
      </c>
      <c r="L55" s="3565"/>
      <c r="M55" s="1734" t="str">
        <f>D59</f>
        <v>——</v>
      </c>
      <c r="N55" s="3018" t="str">
        <f>E59</f>
        <v>——</v>
      </c>
      <c r="O55" s="1735" t="str">
        <f>F59</f>
        <v>——</v>
      </c>
    </row>
    <row r="56" spans="1:35" ht="24.75">
      <c r="A56" s="3629" t="s">
        <v>2211</v>
      </c>
      <c r="B56" s="3611"/>
      <c r="C56" s="3611"/>
      <c r="D56" s="185">
        <f ca="1">IF(H56="个人住宅",D57,D58)</f>
        <v>6091</v>
      </c>
      <c r="E56" s="11" t="s">
        <v>2212</v>
      </c>
      <c r="F56" s="184" t="str">
        <f>IF(H56="正常",F58,"免征")</f>
        <v>——</v>
      </c>
      <c r="G56" s="2458" t="s">
        <v>2213</v>
      </c>
      <c r="H56" s="2459" t="s">
        <v>2210</v>
      </c>
      <c r="I56" s="2460"/>
      <c r="J56" s="3017" t="str">
        <f>IF(项目基本情况!K6="上海银行",IF(J55="",4,J55+1),"")</f>
        <v/>
      </c>
      <c r="K56" s="3548" t="str">
        <f>IF(项目基本情况!K6="上海银行","其他处置费用","")</f>
        <v/>
      </c>
      <c r="L56" s="3549"/>
      <c r="M56" s="1731" t="str">
        <f>IF(项目基本情况!K6="上海银行",M69,"")</f>
        <v/>
      </c>
      <c r="N56" s="3551" t="str">
        <f>IF(项目基本情况!K6="上海银行","包含处置中涉及的律师、诉讼、拍卖、评估等费用","")</f>
        <v/>
      </c>
      <c r="O56" s="3552"/>
    </row>
    <row r="57" spans="1:35" ht="12.75">
      <c r="A57" s="183" t="s">
        <v>2186</v>
      </c>
      <c r="B57" s="3596" t="s">
        <v>2214</v>
      </c>
      <c r="C57" s="3597"/>
      <c r="D57" s="187">
        <v>0</v>
      </c>
      <c r="E57" s="23" t="s">
        <v>2188</v>
      </c>
      <c r="F57" s="155"/>
      <c r="G57" s="2456"/>
      <c r="H57" s="2460"/>
      <c r="I57" s="2460"/>
      <c r="J57" s="3565">
        <f>IF(AND(J55="",J56=""),4,IF(项目基本情况!K6="上海银行",结果表车!J56+1,结果表车!J55+1))</f>
        <v>4</v>
      </c>
      <c r="K57" s="3565" t="s">
        <v>2215</v>
      </c>
      <c r="L57" s="2461" t="s">
        <v>2216</v>
      </c>
      <c r="M57" s="1736"/>
      <c r="N57" s="1737">
        <f ca="1">SUMIF(M52:M56,"&lt;9e307")</f>
        <v>6096</v>
      </c>
      <c r="O57" s="2462"/>
      <c r="P57" s="1730">
        <f ca="1">N57/M49</f>
        <v>0.56654275092936801</v>
      </c>
    </row>
    <row r="58" spans="1:35" ht="24.75">
      <c r="A58" s="183" t="s">
        <v>2197</v>
      </c>
      <c r="B58" s="3596" t="s">
        <v>2217</v>
      </c>
      <c r="C58" s="3609"/>
      <c r="D58" s="185">
        <f ca="1">IF(H58="转让取得",C81,C97)</f>
        <v>6091</v>
      </c>
      <c r="E58" s="11" t="s">
        <v>2212</v>
      </c>
      <c r="F58" s="24" t="s">
        <v>34</v>
      </c>
      <c r="G58" s="2456"/>
      <c r="H58" s="2459" t="s">
        <v>2218</v>
      </c>
      <c r="I58" s="2460"/>
      <c r="J58" s="3565"/>
      <c r="K58" s="3565"/>
      <c r="L58" s="2461" t="s">
        <v>2219</v>
      </c>
      <c r="M58" s="1738"/>
      <c r="N58" s="2463" t="str">
        <f ca="1">NUMBERSTRING(INT(N57*10000),2)&amp;"元整"</f>
        <v>陆仟零玖拾陆万元整</v>
      </c>
      <c r="O58" s="2464"/>
    </row>
    <row r="59" spans="1:35" ht="24.75" thickBot="1">
      <c r="A59" s="3569" t="s">
        <v>2220</v>
      </c>
      <c r="B59" s="3570"/>
      <c r="C59" s="357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67">
        <f>J57+1</f>
        <v>5</v>
      </c>
      <c r="K59" s="3565" t="s">
        <v>2222</v>
      </c>
      <c r="L59" s="3017" t="s">
        <v>2216</v>
      </c>
      <c r="M59" s="1739"/>
      <c r="N59" s="1740">
        <f ca="1">M49-N57</f>
        <v>4664</v>
      </c>
      <c r="O59" s="2466"/>
    </row>
    <row r="60" spans="1:35" ht="12" customHeight="1">
      <c r="A60" s="2467"/>
      <c r="B60" s="2389"/>
      <c r="C60" s="2389"/>
      <c r="D60" s="2389"/>
      <c r="E60" s="2141"/>
      <c r="F60" s="2460"/>
      <c r="G60" s="2460"/>
      <c r="H60" s="2468"/>
      <c r="I60" s="138"/>
      <c r="J60" s="3568"/>
      <c r="K60" s="3565"/>
      <c r="L60" s="2461" t="s">
        <v>2219</v>
      </c>
      <c r="M60" s="1738"/>
      <c r="N60" s="2463" t="str">
        <f ca="1">NUMBERSTRING(INT(N59*10000),2)&amp;"元整"</f>
        <v>肆仟陆佰陆拾肆万元整</v>
      </c>
      <c r="O60" s="2464"/>
    </row>
    <row r="61" spans="1:35" ht="13.5" thickBot="1">
      <c r="A61" s="3628" t="s">
        <v>2223</v>
      </c>
      <c r="B61" s="3628"/>
      <c r="C61" s="3628"/>
      <c r="D61" s="3628"/>
      <c r="E61" s="3628"/>
      <c r="F61" s="2460"/>
      <c r="G61" s="2460"/>
      <c r="H61" s="2468"/>
      <c r="I61" s="138"/>
      <c r="J61" s="3017">
        <f>J59+1</f>
        <v>6</v>
      </c>
      <c r="K61" s="3565" t="s">
        <v>2224</v>
      </c>
      <c r="L61" s="3565"/>
      <c r="M61" s="1741"/>
      <c r="N61" s="1742">
        <f ca="1">ROUND(N59*10000/'数据-汇总表'!E3,0)</f>
        <v>975</v>
      </c>
      <c r="O61" s="2469"/>
    </row>
    <row r="62" spans="1:35" ht="12.75">
      <c r="A62" s="3585" t="s">
        <v>2225</v>
      </c>
      <c r="B62" s="3586"/>
      <c r="C62" s="3022"/>
      <c r="D62" s="3022" t="s">
        <v>2226</v>
      </c>
      <c r="E62" s="192" t="s">
        <v>2227</v>
      </c>
      <c r="F62" s="2460"/>
      <c r="G62" s="2460"/>
      <c r="H62" s="2468"/>
      <c r="I62" s="138"/>
    </row>
    <row r="63" spans="1:35" ht="12.75">
      <c r="A63" s="203" t="s">
        <v>775</v>
      </c>
      <c r="B63" s="193" t="s">
        <v>2228</v>
      </c>
      <c r="C63" s="194">
        <f ca="1">ROUND((C64+C65)/(1+'数据-取费表'!C42),0)</f>
        <v>10248</v>
      </c>
      <c r="D63" s="195"/>
      <c r="E63" s="196"/>
      <c r="F63" s="2460"/>
      <c r="G63" s="2460"/>
      <c r="H63" s="2468"/>
      <c r="I63" s="138"/>
      <c r="J63" s="3550" t="s">
        <v>2229</v>
      </c>
      <c r="K63" s="3013" t="s">
        <v>2230</v>
      </c>
      <c r="L63" s="1729">
        <f ca="1">IF(M49&gt;10000,M49*0.5%,IF(AND(M49&gt;1000,M49&lt;=10000),M49*1%,IF(AND(M49&gt;100,M49&lt;=1000),M49*3%,IF(AND(M49&gt;10,M49&lt;=100),M49*5%,M49*8%))))</f>
        <v>53.800000000000004</v>
      </c>
      <c r="M63" s="24">
        <f ca="1">ROUND(L63,1)</f>
        <v>53.8</v>
      </c>
      <c r="Z63" s="2394"/>
      <c r="AI63" s="2395"/>
    </row>
    <row r="64" spans="1:35" ht="14.25" customHeight="1">
      <c r="A64" s="197" t="s">
        <v>770</v>
      </c>
      <c r="B64" s="198" t="s">
        <v>2231</v>
      </c>
      <c r="C64" s="199">
        <f ca="1">D45</f>
        <v>10760</v>
      </c>
      <c r="D64" s="200" t="s">
        <v>32</v>
      </c>
      <c r="E64" s="201"/>
      <c r="F64" s="2460"/>
      <c r="G64" s="2460"/>
      <c r="H64" s="2468"/>
      <c r="I64" s="138"/>
      <c r="J64" s="3550"/>
      <c r="K64" s="3013" t="s">
        <v>2232</v>
      </c>
      <c r="L64" s="1729">
        <f ca="1">IF(M49&gt;2000,M49*0.5%,IF(AND(M49&gt;1000,M49&lt;=2000),M49*0.6%,IF(AND(M49&gt;500,M49&lt;=1000),M49*0.7%,IF(AND(M49&gt;200,M49&lt;=500),M49*0.8%,IF(AND(M49&gt;100,M49&lt;=200),M49*0.9%,IF(AND(M49&gt;50,M49&lt;=100),M49*1%,IF(AND(M49&gt;20,M49&lt;=50),M49*1.5%,IF(AND(M49&gt;10,M49&lt;=20),M49*2%,IF(AND(M49&gt;1,M49&lt;=10),M49*2.5%)))))))))</f>
        <v>53.800000000000004</v>
      </c>
      <c r="M64" s="24">
        <f t="shared" ref="M64:M65" ca="1" si="1">ROUND(L64,1)</f>
        <v>53.8</v>
      </c>
      <c r="N64" s="138" t="s">
        <v>2233</v>
      </c>
      <c r="Z64" s="2394"/>
      <c r="AI64" s="2395"/>
    </row>
    <row r="65" spans="1:35" ht="14.25" customHeight="1">
      <c r="A65" s="197" t="s">
        <v>771</v>
      </c>
      <c r="B65" s="198" t="s">
        <v>2234</v>
      </c>
      <c r="C65" s="202"/>
      <c r="D65" s="200"/>
      <c r="E65" s="201"/>
      <c r="F65" s="2460"/>
      <c r="G65" s="2460"/>
      <c r="H65" s="2468"/>
      <c r="I65" s="138"/>
      <c r="J65" s="3550"/>
      <c r="K65" s="3013" t="s">
        <v>2235</v>
      </c>
      <c r="L65" s="1729">
        <f ca="1">IF(M49&gt;1000,M49*0.1%,IF(AND(M49&gt;500,M49&lt;=1000),M49*0.5%,IF(AND(M49&gt;50,M49&lt;=500),M49*1%,IF(AND(M49&gt;1,M49&lt;=50),M49*1.5%))))</f>
        <v>10.76</v>
      </c>
      <c r="M65" s="24">
        <f t="shared" ca="1" si="1"/>
        <v>10.8</v>
      </c>
      <c r="N65" s="138" t="s">
        <v>2233</v>
      </c>
      <c r="Z65" s="2394"/>
      <c r="AI65" s="2395"/>
    </row>
    <row r="66" spans="1:35" ht="14.25" customHeight="1">
      <c r="A66" s="203" t="s">
        <v>772</v>
      </c>
      <c r="B66" s="204" t="s">
        <v>2236</v>
      </c>
      <c r="C66" s="205"/>
      <c r="D66" s="206" t="s">
        <v>32</v>
      </c>
      <c r="E66" s="1753" t="s">
        <v>1360</v>
      </c>
      <c r="F66" s="2460"/>
      <c r="G66" s="2460"/>
      <c r="H66" s="2468"/>
      <c r="I66" s="138"/>
      <c r="J66" s="3550"/>
      <c r="K66" s="3013" t="s">
        <v>2237</v>
      </c>
      <c r="L66" s="1729">
        <f ca="1">M49*0.5%</f>
        <v>53.800000000000004</v>
      </c>
      <c r="M66" s="24">
        <f ca="1">IF(L66&gt;0.5,0.5,ROUND(L66,0))</f>
        <v>0.5</v>
      </c>
      <c r="N66" s="138" t="s">
        <v>2238</v>
      </c>
      <c r="Z66" s="2394"/>
      <c r="AI66" s="2395"/>
    </row>
    <row r="67" spans="1:35" ht="14.25" customHeight="1">
      <c r="A67" s="203" t="s">
        <v>773</v>
      </c>
      <c r="B67" s="204" t="s">
        <v>2239</v>
      </c>
      <c r="C67" s="207">
        <f ca="1">C63-C66</f>
        <v>10248</v>
      </c>
      <c r="D67" s="200" t="s">
        <v>32</v>
      </c>
      <c r="E67" s="201"/>
      <c r="F67" s="2460"/>
      <c r="G67" s="2460"/>
      <c r="H67" s="2468"/>
      <c r="I67" s="138"/>
      <c r="J67" s="3550"/>
      <c r="K67" s="3013" t="s">
        <v>2240</v>
      </c>
      <c r="L67" s="1729">
        <f ca="1">IF(M49&gt;=10000,(8.25+(M49-10000)*0.01%),IF(AND(M49&gt;=8000,M49&lt;10000),(7.85+(M49-8000)*0.02%),IF(AND(M49&gt;=5000,M49&lt;8000),(6.65+(M49-5000)*0.04%),IF(AND(M49&gt;=2000,M49&lt;5000),(4.25+(PM49-2000)*0.08%),IF(AND(M49&gt;=1000,M49&lt;2000),(2.75+(M49-1000)*0.15%),IF(AND(M49&gt;=100,M49&lt;1000),(0.5+(M49-100)*0.25%),IF(AND(M49&gt;0,M49&lt;100),M49*0.5%)))))))</f>
        <v>8.3260000000000005</v>
      </c>
      <c r="M67" s="24">
        <f ca="1">ROUND(L67*0.9,1)</f>
        <v>7.5</v>
      </c>
      <c r="Z67" s="2394"/>
      <c r="AI67" s="2395"/>
    </row>
    <row r="68" spans="1:35" ht="14.25" customHeight="1" thickBot="1">
      <c r="A68" s="208" t="s">
        <v>774</v>
      </c>
      <c r="B68" s="209" t="s">
        <v>2241</v>
      </c>
      <c r="C68" s="210">
        <f ca="1">IF(C67&lt;=0,0,ROUND(C67*D68,0))</f>
        <v>574</v>
      </c>
      <c r="D68" s="211">
        <f>'数据-取费表'!B41</f>
        <v>5.6000000000000001E-2</v>
      </c>
      <c r="E68" s="212"/>
      <c r="F68" s="2460"/>
      <c r="G68" s="2460"/>
      <c r="H68" s="2468"/>
      <c r="I68" s="138"/>
      <c r="J68" s="3550"/>
      <c r="K68" s="3013" t="s">
        <v>2242</v>
      </c>
      <c r="L68" s="1729">
        <f ca="1">IF(M49&gt;10000,M49*0.5%,IF(AND(M49&gt;5000,M49&lt;=10000),M49*1%,IF(AND(M49&gt;1000,M49&lt;=5000),M49*2%,IF(AND(M49&gt;200,M49&lt;=1000),M49*3%,M49*5%))))</f>
        <v>53.800000000000004</v>
      </c>
      <c r="M68" s="24">
        <f ca="1">ROUND(L68,1)</f>
        <v>53.8</v>
      </c>
      <c r="Z68" s="2394"/>
      <c r="AI68" s="2395"/>
    </row>
    <row r="69" spans="1:35" s="2417" customFormat="1" ht="16.5" customHeight="1">
      <c r="A69" s="2471"/>
      <c r="B69" s="2472"/>
      <c r="C69" s="2473"/>
      <c r="D69" s="2474"/>
      <c r="E69" s="2475"/>
      <c r="F69" s="2141"/>
      <c r="G69" s="2141"/>
      <c r="H69" s="2140"/>
      <c r="I69" s="2389"/>
      <c r="J69" s="3550"/>
      <c r="K69" s="3013" t="s">
        <v>2243</v>
      </c>
      <c r="L69" s="2476"/>
      <c r="M69" s="24">
        <f ca="1">ROUND(SUM(M63:M68),0)</f>
        <v>180</v>
      </c>
      <c r="N69" s="1730">
        <f ca="1">M69/M49</f>
        <v>1.6728624535315983E-2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4" t="s">
        <v>2244</v>
      </c>
      <c r="B70" s="3595"/>
      <c r="C70" s="3595"/>
      <c r="D70" s="3595"/>
      <c r="E70" s="3595"/>
      <c r="F70" s="3595"/>
      <c r="G70" s="3595"/>
      <c r="H70" s="359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85" t="s">
        <v>2225</v>
      </c>
      <c r="B71" s="3586"/>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10248</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61</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91" t="s">
        <v>2253</v>
      </c>
      <c r="F76" s="3590"/>
      <c r="G76" s="3590"/>
      <c r="H76" s="359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61</v>
      </c>
      <c r="D78" s="226">
        <f>'数据-取费表'!B43</f>
        <v>6.000000000000001E-3</v>
      </c>
      <c r="E78" s="3582" t="s">
        <v>2258</v>
      </c>
      <c r="F78" s="3583"/>
      <c r="G78" s="3583"/>
      <c r="H78" s="358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10187</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167</v>
      </c>
      <c r="D80" s="200" t="s">
        <v>32</v>
      </c>
      <c r="E80" s="3014" t="str">
        <f ca="1">IF(C80&gt;=200%,"增值额超过扣除项目金额200%",IF(C80&gt;=100%,"增值额超过扣除项目金额100%，未超过200%",IF(C80&gt;=50%,"增值额超过扣除项目金额50%，未超过100%",IF(C80&lt;50%,"增值额未超过扣除项目金额50%"))))</f>
        <v>增值额超过扣除项目金额200%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6091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4" t="s">
        <v>2262</v>
      </c>
      <c r="B83" s="3595"/>
      <c r="C83" s="3595"/>
      <c r="D83" s="3595"/>
      <c r="E83" s="3595"/>
      <c r="F83" s="3595"/>
      <c r="G83" s="3595"/>
      <c r="H83" s="359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85" t="s">
        <v>2225</v>
      </c>
      <c r="B84" s="3586"/>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10248</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61</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82" t="s">
        <v>2271</v>
      </c>
      <c r="F91" s="3583"/>
      <c r="G91" s="3583"/>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82" t="s">
        <v>2275</v>
      </c>
      <c r="F92" s="3583"/>
      <c r="G92" s="3583"/>
      <c r="H92" s="358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61</v>
      </c>
      <c r="D93" s="226">
        <f>'数据-取费表'!B43</f>
        <v>6.000000000000001E-3</v>
      </c>
      <c r="E93" s="3582" t="s">
        <v>2258</v>
      </c>
      <c r="F93" s="3583"/>
      <c r="G93" s="3583"/>
      <c r="H93" s="358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30" t="s">
        <v>2279</v>
      </c>
      <c r="F94" s="3631"/>
      <c r="G94" s="3631"/>
      <c r="H94" s="363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10187</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167</v>
      </c>
      <c r="D96" s="200" t="s">
        <v>32</v>
      </c>
      <c r="E96" s="3014" t="str">
        <f ca="1">IF(C96&gt;=200%,"增值额超过扣除项目金额200%",IF(C96&gt;=100%,"增值额超过扣除项目金额100%，未超过200%",IF(C96&gt;=50%,"增值额超过扣除项目金额50%，未超过100%",IF(C96&lt;50%,"增值额未超过扣除项目金额50%"))))</f>
        <v>增值额超过扣除项目金额200%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6091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66"/>
      <c r="E100" s="3527" t="s">
        <v>2282</v>
      </c>
      <c r="F100" s="3527"/>
      <c r="G100" s="3527"/>
      <c r="H100" s="3566"/>
      <c r="I100" s="138"/>
    </row>
    <row r="101" spans="1:35" ht="18.75" customHeight="1">
      <c r="A101" s="3574" t="s">
        <v>2283</v>
      </c>
      <c r="B101" s="3575"/>
      <c r="C101" s="732" t="str">
        <f>C4</f>
        <v>比较法-车位</v>
      </c>
      <c r="D101" s="733" t="str">
        <f>D4</f>
        <v>收益法车库</v>
      </c>
      <c r="E101" s="3546" t="s">
        <v>2284</v>
      </c>
      <c r="F101" s="3547"/>
      <c r="G101" s="2491" t="s">
        <v>2285</v>
      </c>
      <c r="H101" s="1035">
        <f ca="1">H118</f>
        <v>10760</v>
      </c>
      <c r="I101" s="138"/>
    </row>
    <row r="102" spans="1:35" ht="18.75" customHeight="1">
      <c r="A102" s="3576" t="s">
        <v>2286</v>
      </c>
      <c r="B102" s="2491" t="s">
        <v>2285</v>
      </c>
      <c r="C102" s="732">
        <f ca="1">C19</f>
        <v>13416</v>
      </c>
      <c r="D102" s="733">
        <f ca="1">D19</f>
        <v>6776</v>
      </c>
      <c r="E102" s="3546"/>
      <c r="F102" s="3547"/>
      <c r="G102" s="2491" t="s">
        <v>2287</v>
      </c>
      <c r="H102" s="371">
        <f ca="1">I118</f>
        <v>8178</v>
      </c>
      <c r="I102" s="138"/>
    </row>
    <row r="103" spans="1:35" ht="42.75" customHeight="1">
      <c r="A103" s="3576"/>
      <c r="B103" s="2491" t="s">
        <v>2287</v>
      </c>
      <c r="C103" s="734">
        <f ca="1">C20</f>
        <v>10197</v>
      </c>
      <c r="D103" s="735">
        <f ca="1">D20</f>
        <v>5150</v>
      </c>
      <c r="E103" s="3540" t="s">
        <v>2288</v>
      </c>
      <c r="F103" s="3541"/>
      <c r="G103" s="2492" t="s">
        <v>2289</v>
      </c>
      <c r="H103" s="1035">
        <f>IF(D36="正常操作",H104+H105+H106,H105+H106)</f>
        <v>0</v>
      </c>
      <c r="I103" s="138"/>
    </row>
    <row r="104" spans="1:35" ht="18.75" customHeight="1">
      <c r="A104" s="3576" t="s">
        <v>2290</v>
      </c>
      <c r="B104" s="2493" t="s">
        <v>2285</v>
      </c>
      <c r="C104" s="736">
        <f ca="1">H118</f>
        <v>10760</v>
      </c>
      <c r="D104" s="737"/>
      <c r="E104" s="2241" t="s">
        <v>2291</v>
      </c>
      <c r="F104" s="2233"/>
      <c r="G104" s="2492" t="s">
        <v>2289</v>
      </c>
      <c r="H104" s="1036">
        <f>IF(D36="同一抵押权人同一抵押物续贷",C36&amp;"（未扣减，详见特别提示）",C36)</f>
        <v>0</v>
      </c>
      <c r="I104" s="138"/>
    </row>
    <row r="105" spans="1:35" ht="18.75" customHeight="1" thickBot="1">
      <c r="A105" s="3588"/>
      <c r="B105" s="2494" t="s">
        <v>2287</v>
      </c>
      <c r="C105" s="738">
        <f ca="1">I118</f>
        <v>8178</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7" t="str">
        <f>IF(项目基本情况!E8="已注销","——","3.房地产抵押价值")</f>
        <v>3.房地产抵押价值</v>
      </c>
      <c r="F107" s="3547"/>
      <c r="G107" s="2491" t="s">
        <v>2285</v>
      </c>
      <c r="H107" s="1035">
        <f ca="1">IF(E107="——","——",H101-H103)</f>
        <v>10760</v>
      </c>
      <c r="I107" s="138"/>
    </row>
    <row r="108" spans="1:35" ht="18.75" customHeight="1">
      <c r="A108" s="138"/>
      <c r="B108" s="138"/>
      <c r="C108" s="138"/>
      <c r="D108" s="138"/>
      <c r="E108" s="3577"/>
      <c r="F108" s="3547"/>
      <c r="G108" s="2491" t="s">
        <v>2287</v>
      </c>
      <c r="H108" s="371">
        <f ca="1">ROUND(H107*10000/'数据-汇总表'!E3,0)</f>
        <v>2250</v>
      </c>
      <c r="I108" s="138"/>
    </row>
    <row r="109" spans="1:35" ht="18.75" customHeight="1">
      <c r="A109" s="138"/>
      <c r="B109" s="138"/>
      <c r="C109" s="138"/>
      <c r="D109" s="138"/>
      <c r="E109" s="3577" t="str">
        <f>IF(项目基本情况!E8="已注销及未注销","4.抵押担保权已注销时的房地产抵押价值",IF(项目基本情况!E8="已注销","3.抵押担保权已注销时的房地产抵押价值","——"))</f>
        <v>——</v>
      </c>
      <c r="F109" s="3547"/>
      <c r="G109" s="2491" t="s">
        <v>2285</v>
      </c>
      <c r="H109" s="348" t="str">
        <f>IF(E109="——","——",H101-H105-H106)</f>
        <v>——</v>
      </c>
      <c r="I109" s="138"/>
    </row>
    <row r="110" spans="1:35" ht="18.75" customHeight="1">
      <c r="A110" s="138"/>
      <c r="B110" s="138"/>
      <c r="C110" s="138"/>
      <c r="D110" s="138"/>
      <c r="E110" s="3577"/>
      <c r="F110" s="3547"/>
      <c r="G110" s="2491" t="s">
        <v>2287</v>
      </c>
      <c r="H110" s="371" t="str">
        <f>IF(H109="——","——",ROUND(H109*10000/'数据-汇总表'!E3,0))</f>
        <v>——</v>
      </c>
      <c r="I110" s="138"/>
    </row>
    <row r="111" spans="1:35" ht="18.75" customHeight="1">
      <c r="A111" s="138"/>
      <c r="B111" s="138"/>
      <c r="C111" s="138"/>
      <c r="D111" s="138"/>
      <c r="E111" s="3578" t="str">
        <f>IF(项目基本情况!E9="抵押净值",IF(OR(项目基本情况!E8="已注销",项目基本情况!E8="房地产抵押价值"),"4.抵押净值","5.抵押净值"),"——")</f>
        <v>——</v>
      </c>
      <c r="F111" s="3579"/>
      <c r="G111" s="2491" t="s">
        <v>2285</v>
      </c>
      <c r="H111" s="1035" t="str">
        <f>IF(E111="——","——",N59)</f>
        <v>——</v>
      </c>
      <c r="I111" s="138"/>
    </row>
    <row r="112" spans="1:35" ht="18.75" customHeight="1" thickBot="1">
      <c r="A112" s="138"/>
      <c r="B112" s="138"/>
      <c r="C112" s="138"/>
      <c r="D112" s="138"/>
      <c r="E112" s="3580"/>
      <c r="F112" s="3581"/>
      <c r="G112" s="2496" t="s">
        <v>2287</v>
      </c>
      <c r="H112" s="785" t="str">
        <f>IF(E111="——","——",N61)</f>
        <v>——</v>
      </c>
      <c r="I112" s="138"/>
    </row>
    <row r="113" spans="1:11" ht="18.75" customHeight="1">
      <c r="A113" s="138"/>
      <c r="B113" s="138"/>
      <c r="C113" s="138"/>
      <c r="D113" s="138"/>
      <c r="E113" s="3589" t="s">
        <v>2293</v>
      </c>
      <c r="F113" s="3589"/>
      <c r="G113" s="3589"/>
      <c r="H113" s="3589"/>
      <c r="I113" s="138"/>
    </row>
    <row r="114" spans="1:11" ht="3.75" customHeight="1">
      <c r="A114" s="2389"/>
      <c r="B114" s="2389"/>
      <c r="C114" s="2389"/>
      <c r="D114" s="2389"/>
      <c r="E114" s="2467"/>
      <c r="F114" s="2467"/>
      <c r="G114" s="2467"/>
      <c r="H114" s="2467"/>
      <c r="I114" s="2389"/>
    </row>
    <row r="115" spans="1:11" ht="18.75" customHeight="1">
      <c r="A115" s="3602" t="s">
        <v>2295</v>
      </c>
      <c r="B115" s="3603"/>
      <c r="C115" s="3603"/>
      <c r="D115" s="3603"/>
      <c r="E115" s="3603"/>
      <c r="F115" s="3603"/>
      <c r="G115" s="3603"/>
      <c r="H115" s="3603"/>
      <c r="I115" s="3604"/>
    </row>
    <row r="116" spans="1:11" ht="27" customHeight="1">
      <c r="A116" s="3504" t="s">
        <v>2296</v>
      </c>
      <c r="B116" s="3556" t="s">
        <v>2297</v>
      </c>
      <c r="C116" s="3556" t="s">
        <v>2298</v>
      </c>
      <c r="D116" s="3562" t="s">
        <v>2299</v>
      </c>
      <c r="E116" s="3563"/>
      <c r="F116" s="3598" t="s">
        <v>2300</v>
      </c>
      <c r="G116" s="3598"/>
      <c r="H116" s="3504" t="s">
        <v>2301</v>
      </c>
      <c r="I116" s="3504"/>
    </row>
    <row r="117" spans="1:11" ht="18.75" customHeight="1">
      <c r="A117" s="3504"/>
      <c r="B117" s="3557"/>
      <c r="C117" s="3557"/>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13156.989999999996</v>
      </c>
      <c r="C118" s="3009">
        <f>M19</f>
        <v>3020.79</v>
      </c>
      <c r="D118" s="3009">
        <f ca="1">ROUND(IF(D32="总价",C34,E118*B118/10000),0)</f>
        <v>-3788</v>
      </c>
      <c r="E118" s="3009">
        <f ca="1">ROUND(IF(C33="自定义",IF(D32="楼面单价",C34,D118*10000/B118),I118-G118),0)</f>
        <v>-2879</v>
      </c>
      <c r="F118" s="3009">
        <f ca="1">ROUND(IF(D32="总价",C35,G118*B118/10000),0)</f>
        <v>14548</v>
      </c>
      <c r="G118" s="3009">
        <f ca="1">ROUND(IF(D32="楼面单价",C35,F118*10000/B118),0)</f>
        <v>11057</v>
      </c>
      <c r="H118" s="3009">
        <f ca="1">ROUND(IF(D32="总价",C32,I118*B118/10000),0)</f>
        <v>10760</v>
      </c>
      <c r="I118" s="3009">
        <f ca="1">ROUND(IF(D32="楼面单价",C32,H118*10000/B118),0)</f>
        <v>8178</v>
      </c>
    </row>
    <row r="119" spans="1:11" ht="18.75" customHeight="1">
      <c r="A119" s="3504" t="s">
        <v>2305</v>
      </c>
      <c r="B119" s="3504"/>
      <c r="C119" s="3504"/>
      <c r="D119" s="3558" t="e">
        <f ca="1">NUMBERSTRING(INT(D118*10000),2)&amp;"元整"</f>
        <v>#NUM!</v>
      </c>
      <c r="E119" s="3559"/>
      <c r="F119" s="3558" t="str">
        <f ca="1">NUMBERSTRING(INT(F118*10000),2)&amp;"元整"</f>
        <v>壹亿肆仟伍佰肆拾捌万元整</v>
      </c>
      <c r="G119" s="3559"/>
      <c r="H119" s="3558" t="str">
        <f ca="1">NUMBERSTRING(INT(H118*10000),2)&amp;"元整"</f>
        <v>壹亿零柒佰陆拾万元整</v>
      </c>
      <c r="I119" s="3559"/>
    </row>
    <row r="120" spans="1:11" ht="18.75" customHeight="1">
      <c r="A120" s="3553" t="str">
        <f>IF(项目基本情况!B9="房地产市场价值","",MID(E103,3,LEN(E103)-2))</f>
        <v>估价师知悉的法定优先受偿款</v>
      </c>
      <c r="B120" s="3554"/>
      <c r="C120" s="3555"/>
      <c r="D120" s="3553">
        <f>H103</f>
        <v>0</v>
      </c>
      <c r="E120" s="3554"/>
      <c r="F120" s="3554"/>
      <c r="G120" s="3554"/>
      <c r="H120" s="3554"/>
      <c r="I120" s="3555"/>
      <c r="K120" s="2394" t="str">
        <f>IF(D120=0,"故，本次评估不存在"&amp;A120,"故，本次评估"&amp;A120&amp;"为人民币"&amp;D120&amp;"万元整。")</f>
        <v>故，本次评估不存在估价师知悉的法定优先受偿款</v>
      </c>
    </row>
    <row r="121" spans="1:11" ht="18.75" customHeight="1">
      <c r="A121" s="3599" t="s">
        <v>2305</v>
      </c>
      <c r="B121" s="3600"/>
      <c r="C121" s="3601"/>
      <c r="D121" s="3558" t="str">
        <f>IF(D120=0,"零元整",NUMBERSTRING(INT(D120*10000),2)&amp;"元整")</f>
        <v>零元整</v>
      </c>
      <c r="E121" s="3560"/>
      <c r="F121" s="3560"/>
      <c r="G121" s="3560"/>
      <c r="H121" s="3560"/>
      <c r="I121" s="3559"/>
    </row>
    <row r="122" spans="1:11" ht="18.75" customHeight="1">
      <c r="A122" s="3564" t="str">
        <f>IF(项目基本情况!B9="房地产市场价值","",MID(E107,3,LEN(E107)-2))</f>
        <v>房地产抵押价值</v>
      </c>
      <c r="B122" s="3564"/>
      <c r="C122" s="3564"/>
      <c r="D122" s="3553">
        <f ca="1">H107</f>
        <v>10760</v>
      </c>
      <c r="E122" s="3554"/>
      <c r="F122" s="3554"/>
      <c r="G122" s="3554"/>
      <c r="H122" s="3554"/>
      <c r="I122" s="3555"/>
    </row>
    <row r="123" spans="1:11" ht="18.75" customHeight="1">
      <c r="A123" s="3504" t="s">
        <v>2305</v>
      </c>
      <c r="B123" s="3504"/>
      <c r="C123" s="3504"/>
      <c r="D123" s="3558" t="str">
        <f ca="1">NUMBERSTRING(INT(D122*10000),2)&amp;"元整"</f>
        <v>壹亿零柒佰陆拾万元整</v>
      </c>
      <c r="E123" s="3560"/>
      <c r="F123" s="3560"/>
      <c r="G123" s="3560"/>
      <c r="H123" s="3560"/>
      <c r="I123" s="3559"/>
    </row>
    <row r="124" spans="1:11" ht="18.75" customHeight="1">
      <c r="A124" s="3564" t="str">
        <f>IF(项目基本情况!B9="房地产市场价值","",MID(E109,3,LEN(E109)-2))</f>
        <v/>
      </c>
      <c r="B124" s="3564"/>
      <c r="C124" s="3564"/>
      <c r="D124" s="3553" t="str">
        <f>H109</f>
        <v>——</v>
      </c>
      <c r="E124" s="3554"/>
      <c r="F124" s="3554"/>
      <c r="G124" s="3554"/>
      <c r="H124" s="3554"/>
      <c r="I124" s="3555"/>
    </row>
    <row r="125" spans="1:11" ht="18.75" customHeight="1">
      <c r="A125" s="3504" t="s">
        <v>2305</v>
      </c>
      <c r="B125" s="3504"/>
      <c r="C125" s="3504"/>
      <c r="D125" s="3558" t="e">
        <f>NUMBERSTRING(INT(D124*10000),2)&amp;"元整"</f>
        <v>#VALUE!</v>
      </c>
      <c r="E125" s="3560"/>
      <c r="F125" s="3560"/>
      <c r="G125" s="3560"/>
      <c r="H125" s="3560"/>
      <c r="I125" s="3559"/>
    </row>
    <row r="126" spans="1:11" ht="18.75" customHeight="1">
      <c r="A126" s="3564" t="str">
        <f>IF(项目基本情况!B9="房地产市场价值","",MID(E111,3,LEN(E111)-2))</f>
        <v/>
      </c>
      <c r="B126" s="3564"/>
      <c r="C126" s="3564"/>
      <c r="D126" s="3553" t="str">
        <f>H111</f>
        <v>——</v>
      </c>
      <c r="E126" s="3554"/>
      <c r="F126" s="3554"/>
      <c r="G126" s="3554"/>
      <c r="H126" s="3554"/>
      <c r="I126" s="3555"/>
    </row>
    <row r="127" spans="1:11" ht="18.75" customHeight="1">
      <c r="A127" s="3504" t="s">
        <v>2305</v>
      </c>
      <c r="B127" s="3504"/>
      <c r="C127" s="3504"/>
      <c r="D127" s="3558" t="e">
        <f>NUMBERSTRING(INT(D126*10000),2)&amp;"元整"</f>
        <v>#VALUE!</v>
      </c>
      <c r="E127" s="3560"/>
      <c r="F127" s="3560"/>
      <c r="G127" s="3560"/>
      <c r="H127" s="3560"/>
      <c r="I127" s="3559"/>
    </row>
    <row r="128" spans="1:11" ht="21.75" customHeight="1">
      <c r="A128" s="3561" t="s">
        <v>2306</v>
      </c>
      <c r="B128" s="3561"/>
      <c r="C128" s="3561"/>
      <c r="D128" s="3561"/>
      <c r="E128" s="3561"/>
      <c r="F128" s="3561"/>
      <c r="G128" s="3561"/>
      <c r="H128" s="3561"/>
      <c r="I128" s="356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C10:D13">
    <cfRule type="cellIs" dxfId="85" priority="5" stopIfTrue="1" operator="equal">
      <formula>15</formula>
    </cfRule>
  </conditionalFormatting>
  <conditionalFormatting sqref="D14:D16">
    <cfRule type="cellIs" dxfId="84" priority="4" stopIfTrue="1" operator="equal">
      <formula>30</formula>
    </cfRule>
  </conditionalFormatting>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E36">
    <cfRule type="expression" dxfId="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5" zoomScale="85" zoomScaleNormal="85" workbookViewId="0">
      <selection activeCell="E38" sqref="E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3418</v>
      </c>
      <c r="C1" s="1600" t="s">
        <v>2518</v>
      </c>
      <c r="D1" s="1601" t="s">
        <v>48</v>
      </c>
      <c r="E1" s="1602"/>
      <c r="F1" s="2557" t="s">
        <v>3049</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13416</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10197</v>
      </c>
      <c r="C3" s="399" t="s">
        <v>2632</v>
      </c>
      <c r="D3" s="398">
        <f>SUMIF('数据-汇总表'!$C19:$C33,D1,'数据-汇总表'!$E19:$E33)</f>
        <v>13156.989999999996</v>
      </c>
      <c r="E3" s="399" t="s">
        <v>2696</v>
      </c>
      <c r="F3" s="398">
        <f>SUMIF('数据-取费表'!A5:A15,D1,'数据-取费表'!AH5:AH15)</f>
        <v>13156.989999999996</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42" t="s">
        <v>2635</v>
      </c>
      <c r="S4" s="3643"/>
      <c r="T4" s="3642" t="s">
        <v>2636</v>
      </c>
      <c r="U4" s="3643"/>
      <c r="V4" s="3639" t="s">
        <v>2637</v>
      </c>
      <c r="W4" s="3639"/>
      <c r="X4" s="1793"/>
      <c r="Y4" s="3642" t="s">
        <v>2639</v>
      </c>
      <c r="Z4" s="3643"/>
      <c r="AA4" s="3636" t="s">
        <v>2635</v>
      </c>
      <c r="AB4" s="3637" t="s">
        <v>2636</v>
      </c>
      <c r="AC4" s="3636" t="s">
        <v>2637</v>
      </c>
    </row>
    <row r="5" spans="1:29" ht="15">
      <c r="A5" s="403"/>
      <c r="B5" s="404"/>
      <c r="C5" s="3715" t="s">
        <v>3657</v>
      </c>
      <c r="D5" s="3712"/>
      <c r="E5" s="3714" t="s">
        <v>3786</v>
      </c>
      <c r="F5" s="3710"/>
      <c r="G5" s="3715" t="s">
        <v>3659</v>
      </c>
      <c r="H5" s="3712"/>
      <c r="I5" s="3715" t="s">
        <v>3660</v>
      </c>
      <c r="J5" s="3712"/>
      <c r="K5" s="609"/>
      <c r="L5" s="1113"/>
      <c r="M5" s="1114"/>
      <c r="N5" s="1114"/>
      <c r="O5" s="1114"/>
      <c r="P5" s="3661"/>
      <c r="Q5" s="3662"/>
      <c r="R5" s="3644"/>
      <c r="S5" s="3645"/>
      <c r="T5" s="3644"/>
      <c r="U5" s="3645"/>
      <c r="V5" s="3639"/>
      <c r="W5" s="3639"/>
      <c r="X5" s="1793"/>
      <c r="Y5" s="3644"/>
      <c r="Z5" s="3645"/>
      <c r="AA5" s="3637"/>
      <c r="AB5" s="3637"/>
      <c r="AC5" s="3637"/>
    </row>
    <row r="6" spans="1:29" ht="15.75" thickBot="1">
      <c r="A6" s="405"/>
      <c r="B6" s="406"/>
      <c r="C6" s="3650" t="s">
        <v>2534</v>
      </c>
      <c r="D6" s="3651"/>
      <c r="E6" s="3652" t="s">
        <v>2534</v>
      </c>
      <c r="F6" s="3653"/>
      <c r="G6" s="3650" t="s">
        <v>2534</v>
      </c>
      <c r="H6" s="3651"/>
      <c r="I6" s="3650" t="s">
        <v>2534</v>
      </c>
      <c r="J6" s="3651"/>
      <c r="K6" s="609" t="s">
        <v>2535</v>
      </c>
      <c r="L6" s="1113"/>
      <c r="M6" s="1114"/>
      <c r="N6" s="1114"/>
      <c r="O6" s="1114"/>
      <c r="P6" s="3663"/>
      <c r="Q6" s="3664"/>
      <c r="R6" s="3644"/>
      <c r="S6" s="3645"/>
      <c r="T6" s="3665"/>
      <c r="U6" s="3666"/>
      <c r="V6" s="3639"/>
      <c r="W6" s="3639"/>
      <c r="X6" s="1793"/>
      <c r="Y6" s="3665"/>
      <c r="Z6" s="3666"/>
      <c r="AA6" s="3638"/>
      <c r="AB6" s="3638"/>
      <c r="AC6" s="3638"/>
    </row>
    <row r="7" spans="1:29" s="117" customFormat="1" ht="15.75" thickBot="1">
      <c r="A7" s="407" t="s">
        <v>2536</v>
      </c>
      <c r="B7" s="408"/>
      <c r="C7" s="409">
        <f>'数据-取费表'!B2</f>
        <v>43983</v>
      </c>
      <c r="D7" s="410">
        <v>100</v>
      </c>
      <c r="E7" s="411">
        <v>43922</v>
      </c>
      <c r="F7" s="412">
        <f>SUMIF(48:48,YEAR(E7)&amp;"-"&amp;MONTH(E7),49:49)</f>
        <v>99.6</v>
      </c>
      <c r="G7" s="411">
        <v>43952</v>
      </c>
      <c r="H7" s="410">
        <f>SUMIF(48:48,YEAR(G7)&amp;"-"&amp;MONTH(G7),49:49)</f>
        <v>99.8</v>
      </c>
      <c r="I7" s="411">
        <v>43983</v>
      </c>
      <c r="J7" s="410">
        <f>SUMIF(48:48,YEAR(I7)&amp;"-"&amp;MONTH(I7),49:49)</f>
        <v>100</v>
      </c>
      <c r="K7" s="610"/>
      <c r="L7" s="1115"/>
      <c r="M7" s="1116"/>
      <c r="N7" s="1116"/>
      <c r="O7" s="1116"/>
      <c r="P7" s="3640" t="s">
        <v>2537</v>
      </c>
      <c r="Q7" s="3667"/>
      <c r="R7" s="766" t="s">
        <v>17</v>
      </c>
      <c r="S7" s="767">
        <f t="shared" ref="S7:S14" si="0">F7</f>
        <v>99.6</v>
      </c>
      <c r="T7" s="766" t="s">
        <v>17</v>
      </c>
      <c r="U7" s="767">
        <f t="shared" ref="U7:U14" si="1">H7</f>
        <v>99.8</v>
      </c>
      <c r="V7" s="766" t="s">
        <v>17</v>
      </c>
      <c r="W7" s="767">
        <f t="shared" ref="W7:W14" si="2">J7</f>
        <v>100</v>
      </c>
      <c r="X7" s="768"/>
      <c r="Y7" s="3640" t="s">
        <v>2537</v>
      </c>
      <c r="Z7" s="3641"/>
      <c r="AA7" s="769">
        <f>D7/F7</f>
        <v>1.0040160642570282</v>
      </c>
      <c r="AB7" s="769">
        <f>D7/H7</f>
        <v>1.0020040080160322</v>
      </c>
      <c r="AC7" s="769">
        <f>D7/J7</f>
        <v>1</v>
      </c>
    </row>
    <row r="8" spans="1:29" s="117" customFormat="1" ht="15.75" thickBot="1">
      <c r="A8" s="407" t="s">
        <v>2538</v>
      </c>
      <c r="B8" s="408"/>
      <c r="C8" s="413" t="s">
        <v>2640</v>
      </c>
      <c r="D8" s="410">
        <v>100</v>
      </c>
      <c r="E8" s="413" t="s">
        <v>3051</v>
      </c>
      <c r="F8" s="412">
        <f>SUMIF(51:51,E8,52:52)-SUMIF(51:51,C8,52:52)+100</f>
        <v>100</v>
      </c>
      <c r="G8" s="413" t="s">
        <v>3051</v>
      </c>
      <c r="H8" s="410">
        <f>SUMIF(51:51,G8,52:52)-SUMIF(51:51,C8,52:52)+100</f>
        <v>100</v>
      </c>
      <c r="I8" s="413" t="s">
        <v>3051</v>
      </c>
      <c r="J8" s="410">
        <f>SUMIF(51:51,I8,52:52)-SUMIF(51:51,C8,52:52)+100</f>
        <v>100</v>
      </c>
      <c r="K8" s="610"/>
      <c r="L8" s="1115"/>
      <c r="M8" s="1116"/>
      <c r="N8" s="1116"/>
      <c r="O8" s="1116"/>
      <c r="P8" s="3640" t="s">
        <v>2540</v>
      </c>
      <c r="Q8" s="3641"/>
      <c r="R8" s="766" t="s">
        <v>17</v>
      </c>
      <c r="S8" s="767">
        <f t="shared" si="0"/>
        <v>100</v>
      </c>
      <c r="T8" s="766" t="s">
        <v>17</v>
      </c>
      <c r="U8" s="767">
        <f t="shared" si="1"/>
        <v>100</v>
      </c>
      <c r="V8" s="766" t="s">
        <v>17</v>
      </c>
      <c r="W8" s="767">
        <f t="shared" si="2"/>
        <v>100</v>
      </c>
      <c r="X8" s="768"/>
      <c r="Y8" s="3640" t="s">
        <v>2540</v>
      </c>
      <c r="Z8" s="3641"/>
      <c r="AA8" s="769">
        <f t="shared" ref="AA8:AA36" si="3">D8/F8</f>
        <v>1</v>
      </c>
      <c r="AB8" s="769">
        <f t="shared" ref="AB8:AB36" si="4">D8/H8</f>
        <v>1</v>
      </c>
      <c r="AC8" s="769">
        <f t="shared" ref="AC8:AC36" si="5">D8/J8</f>
        <v>1</v>
      </c>
    </row>
    <row r="9" spans="1:29" s="117" customFormat="1">
      <c r="A9" s="68" t="s">
        <v>2541</v>
      </c>
      <c r="B9" s="639" t="s">
        <v>2542</v>
      </c>
      <c r="C9" s="2965" t="s">
        <v>3658</v>
      </c>
      <c r="D9" s="135">
        <v>100</v>
      </c>
      <c r="E9" s="418" t="s">
        <v>3418</v>
      </c>
      <c r="F9" s="135">
        <f>SUMIF(53:53,E9,54:54)-SUMIF(53:53,C9,54:54)+100</f>
        <v>100</v>
      </c>
      <c r="G9" s="418" t="s">
        <v>3418</v>
      </c>
      <c r="H9" s="135">
        <f>SUMIF(53:53,G9,54:54)-SUMIF(53:53,C9,54:54)+100</f>
        <v>100</v>
      </c>
      <c r="I9" s="418" t="s">
        <v>3418</v>
      </c>
      <c r="J9" s="135">
        <f>SUMIF(53:53,I9,54:54)-SUMIF(53:53,C9,54:54)+100</f>
        <v>100</v>
      </c>
      <c r="K9" s="610"/>
      <c r="L9" s="1115"/>
      <c r="M9" s="1116"/>
      <c r="N9" s="1116"/>
      <c r="O9" s="1116"/>
      <c r="P9" s="3677" t="s">
        <v>2543</v>
      </c>
      <c r="Q9" s="1775" t="str">
        <f t="shared" ref="Q9:Q14" si="6">B9</f>
        <v>用途</v>
      </c>
      <c r="R9" s="766" t="s">
        <v>17</v>
      </c>
      <c r="S9" s="767">
        <f t="shared" si="0"/>
        <v>100</v>
      </c>
      <c r="T9" s="766" t="s">
        <v>17</v>
      </c>
      <c r="U9" s="767">
        <f t="shared" si="1"/>
        <v>100</v>
      </c>
      <c r="V9" s="766" t="s">
        <v>17</v>
      </c>
      <c r="W9" s="767">
        <f t="shared" si="2"/>
        <v>100</v>
      </c>
      <c r="X9" s="768"/>
      <c r="Y9" s="3504" t="s">
        <v>2544</v>
      </c>
      <c r="Z9" s="55" t="str">
        <f t="shared" ref="Z9:Z14" si="7">Q9</f>
        <v>用途</v>
      </c>
      <c r="AA9" s="769">
        <f t="shared" si="3"/>
        <v>1</v>
      </c>
      <c r="AB9" s="769">
        <f t="shared" si="4"/>
        <v>1</v>
      </c>
      <c r="AC9" s="769">
        <f t="shared" si="5"/>
        <v>1</v>
      </c>
    </row>
    <row r="10" spans="1:29" s="426" customFormat="1" ht="27">
      <c r="A10" s="640"/>
      <c r="B10" s="641" t="s">
        <v>2545</v>
      </c>
      <c r="C10" s="422" t="s">
        <v>3661</v>
      </c>
      <c r="D10" s="136">
        <v>100</v>
      </c>
      <c r="E10" s="422" t="s">
        <v>3662</v>
      </c>
      <c r="F10" s="136">
        <f>SUMIF(55:55,E10,56:56)-SUMIF(55:55,C10,56:56)+100</f>
        <v>101</v>
      </c>
      <c r="G10" s="422" t="s">
        <v>3662</v>
      </c>
      <c r="H10" s="136">
        <f>SUMIF(55:55,G10,56:56)-SUMIF(55:55,C10,56:56)+100</f>
        <v>101</v>
      </c>
      <c r="I10" s="422" t="s">
        <v>3662</v>
      </c>
      <c r="J10" s="136">
        <f>SUMIF(55:55,I10,56:56)-SUMIF(55:55,C10,56:56)+100</f>
        <v>101</v>
      </c>
      <c r="K10" s="611">
        <v>1</v>
      </c>
      <c r="L10" s="1118"/>
      <c r="M10" s="1119"/>
      <c r="N10" s="1119"/>
      <c r="O10" s="1119"/>
      <c r="P10" s="3677"/>
      <c r="Q10" s="1775" t="str">
        <f t="shared" si="6"/>
        <v>土地使用年限（年）</v>
      </c>
      <c r="R10" s="766" t="s">
        <v>17</v>
      </c>
      <c r="S10" s="767">
        <f t="shared" si="0"/>
        <v>101</v>
      </c>
      <c r="T10" s="766" t="s">
        <v>17</v>
      </c>
      <c r="U10" s="767">
        <f t="shared" si="1"/>
        <v>101</v>
      </c>
      <c r="V10" s="766" t="s">
        <v>17</v>
      </c>
      <c r="W10" s="767">
        <f t="shared" si="2"/>
        <v>101</v>
      </c>
      <c r="X10" s="768"/>
      <c r="Y10" s="3504"/>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77"/>
      <c r="Q11" s="1775">
        <f t="shared" si="6"/>
        <v>111</v>
      </c>
      <c r="R11" s="766" t="s">
        <v>17</v>
      </c>
      <c r="S11" s="767">
        <f t="shared" si="0"/>
        <v>100</v>
      </c>
      <c r="T11" s="766" t="s">
        <v>17</v>
      </c>
      <c r="U11" s="767">
        <f t="shared" si="1"/>
        <v>100</v>
      </c>
      <c r="V11" s="766" t="s">
        <v>17</v>
      </c>
      <c r="W11" s="767">
        <f t="shared" si="2"/>
        <v>100</v>
      </c>
      <c r="X11" s="768"/>
      <c r="Y11" s="3504"/>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77"/>
      <c r="Q12" s="1775">
        <f t="shared" si="6"/>
        <v>111</v>
      </c>
      <c r="R12" s="766" t="s">
        <v>17</v>
      </c>
      <c r="S12" s="767">
        <f t="shared" si="0"/>
        <v>100</v>
      </c>
      <c r="T12" s="766" t="s">
        <v>17</v>
      </c>
      <c r="U12" s="767">
        <f t="shared" si="1"/>
        <v>100</v>
      </c>
      <c r="V12" s="766" t="s">
        <v>17</v>
      </c>
      <c r="W12" s="767">
        <f t="shared" si="2"/>
        <v>100</v>
      </c>
      <c r="X12" s="768"/>
      <c r="Y12" s="3504"/>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77"/>
      <c r="Q13" s="1775">
        <f t="shared" si="6"/>
        <v>111</v>
      </c>
      <c r="R13" s="766" t="s">
        <v>17</v>
      </c>
      <c r="S13" s="767">
        <f t="shared" si="0"/>
        <v>100</v>
      </c>
      <c r="T13" s="766" t="s">
        <v>17</v>
      </c>
      <c r="U13" s="767">
        <f t="shared" si="1"/>
        <v>100</v>
      </c>
      <c r="V13" s="766" t="s">
        <v>17</v>
      </c>
      <c r="W13" s="767">
        <f t="shared" si="2"/>
        <v>100</v>
      </c>
      <c r="X13" s="768"/>
      <c r="Y13" s="3504"/>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70" t="s">
        <v>2548</v>
      </c>
      <c r="Q14" s="1790" t="str">
        <f t="shared" si="6"/>
        <v>交通便捷度</v>
      </c>
      <c r="R14" s="770" t="s">
        <v>17</v>
      </c>
      <c r="S14" s="771">
        <f t="shared" si="0"/>
        <v>98</v>
      </c>
      <c r="T14" s="770" t="s">
        <v>17</v>
      </c>
      <c r="U14" s="771">
        <f t="shared" si="1"/>
        <v>100</v>
      </c>
      <c r="V14" s="770" t="s">
        <v>17</v>
      </c>
      <c r="W14" s="771">
        <f t="shared" si="2"/>
        <v>98</v>
      </c>
      <c r="X14" s="1793"/>
      <c r="Y14" s="3670" t="s">
        <v>2548</v>
      </c>
      <c r="Z14" s="1794" t="str">
        <f t="shared" si="7"/>
        <v>交通便捷度</v>
      </c>
      <c r="AA14" s="1791">
        <f t="shared" si="3"/>
        <v>1.0204081632653061</v>
      </c>
      <c r="AB14" s="1791">
        <f t="shared" si="4"/>
        <v>1</v>
      </c>
      <c r="AC14" s="1791">
        <f t="shared" si="5"/>
        <v>1.0204081632653061</v>
      </c>
    </row>
    <row r="15" spans="1:29" ht="15">
      <c r="A15" s="403"/>
      <c r="B15" s="646"/>
      <c r="C15" s="446" t="s">
        <v>3057</v>
      </c>
      <c r="D15" s="447"/>
      <c r="E15" s="446" t="s">
        <v>3058</v>
      </c>
      <c r="F15" s="448"/>
      <c r="G15" s="446" t="s">
        <v>3057</v>
      </c>
      <c r="H15" s="449"/>
      <c r="I15" s="446" t="s">
        <v>3058</v>
      </c>
      <c r="J15" s="447"/>
      <c r="K15" s="614"/>
      <c r="L15" s="1123"/>
      <c r="M15" s="1114"/>
      <c r="N15" s="1114"/>
      <c r="O15" s="1114"/>
      <c r="P15" s="3671"/>
      <c r="Q15" s="1790"/>
      <c r="R15" s="770"/>
      <c r="S15" s="771"/>
      <c r="T15" s="770"/>
      <c r="U15" s="771"/>
      <c r="V15" s="770"/>
      <c r="W15" s="771"/>
      <c r="X15" s="1793"/>
      <c r="Y15" s="3671"/>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71"/>
      <c r="Q16" s="1790" t="str">
        <f>B16</f>
        <v>公共配套设施</v>
      </c>
      <c r="R16" s="770" t="s">
        <v>17</v>
      </c>
      <c r="S16" s="771">
        <f>F16</f>
        <v>98</v>
      </c>
      <c r="T16" s="770" t="s">
        <v>17</v>
      </c>
      <c r="U16" s="771">
        <f>H16</f>
        <v>100</v>
      </c>
      <c r="V16" s="770" t="s">
        <v>17</v>
      </c>
      <c r="W16" s="771">
        <f>J16</f>
        <v>98</v>
      </c>
      <c r="X16" s="1793"/>
      <c r="Y16" s="3671"/>
      <c r="Z16" s="1794" t="str">
        <f>Q16</f>
        <v>公共配套设施</v>
      </c>
      <c r="AA16" s="1791">
        <f t="shared" si="3"/>
        <v>1.0204081632653061</v>
      </c>
      <c r="AB16" s="1791">
        <f t="shared" si="4"/>
        <v>1</v>
      </c>
      <c r="AC16" s="1791">
        <f t="shared" si="5"/>
        <v>1.0204081632653061</v>
      </c>
    </row>
    <row r="17" spans="1:29" ht="15">
      <c r="A17" s="403"/>
      <c r="B17" s="631"/>
      <c r="C17" s="2581" t="s">
        <v>3057</v>
      </c>
      <c r="D17" s="447"/>
      <c r="E17" s="446" t="s">
        <v>3058</v>
      </c>
      <c r="F17" s="448"/>
      <c r="G17" s="2581" t="s">
        <v>3057</v>
      </c>
      <c r="H17" s="447"/>
      <c r="I17" s="446" t="s">
        <v>3058</v>
      </c>
      <c r="J17" s="447"/>
      <c r="K17" s="614"/>
      <c r="L17" s="1123"/>
      <c r="M17" s="1114"/>
      <c r="N17" s="1114"/>
      <c r="O17" s="1114"/>
      <c r="P17" s="3671"/>
      <c r="Q17" s="1790"/>
      <c r="R17" s="770"/>
      <c r="S17" s="771"/>
      <c r="T17" s="770"/>
      <c r="U17" s="771"/>
      <c r="V17" s="770"/>
      <c r="W17" s="771"/>
      <c r="X17" s="1793"/>
      <c r="Y17" s="3671"/>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71"/>
      <c r="Q18" s="1790" t="str">
        <f>B18</f>
        <v>基础设施水平</v>
      </c>
      <c r="R18" s="770" t="s">
        <v>17</v>
      </c>
      <c r="S18" s="771">
        <f>F18</f>
        <v>100</v>
      </c>
      <c r="T18" s="770" t="s">
        <v>17</v>
      </c>
      <c r="U18" s="771">
        <f>H18</f>
        <v>100</v>
      </c>
      <c r="V18" s="770" t="s">
        <v>17</v>
      </c>
      <c r="W18" s="771">
        <f>J18</f>
        <v>100</v>
      </c>
      <c r="X18" s="1793"/>
      <c r="Y18" s="3671"/>
      <c r="Z18" s="1794" t="str">
        <f>Q18</f>
        <v>基础设施水平</v>
      </c>
      <c r="AA18" s="1791">
        <f t="shared" ref="AA18" si="8">D18/F18</f>
        <v>1</v>
      </c>
      <c r="AB18" s="1791">
        <f t="shared" ref="AB18" si="9">D18/H18</f>
        <v>1</v>
      </c>
      <c r="AC18" s="1791">
        <f t="shared" ref="AC18" si="10">D18/J18</f>
        <v>1</v>
      </c>
    </row>
    <row r="19" spans="1:29" ht="15">
      <c r="A19" s="403"/>
      <c r="B19" s="632"/>
      <c r="C19" s="2581" t="s">
        <v>3096</v>
      </c>
      <c r="D19" s="449"/>
      <c r="E19" s="2581" t="s">
        <v>3096</v>
      </c>
      <c r="F19" s="452"/>
      <c r="G19" s="2581" t="s">
        <v>3096</v>
      </c>
      <c r="H19" s="447"/>
      <c r="I19" s="2581" t="s">
        <v>3096</v>
      </c>
      <c r="J19" s="447"/>
      <c r="K19" s="1365"/>
      <c r="L19" s="1123"/>
      <c r="M19" s="1114"/>
      <c r="N19" s="1114"/>
      <c r="O19" s="1114"/>
      <c r="P19" s="3671"/>
      <c r="Q19" s="1790"/>
      <c r="R19" s="770"/>
      <c r="S19" s="771"/>
      <c r="T19" s="770"/>
      <c r="U19" s="771"/>
      <c r="V19" s="770"/>
      <c r="W19" s="771"/>
      <c r="X19" s="1793"/>
      <c r="Y19" s="3671"/>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71"/>
      <c r="Q20" s="1790" t="str">
        <f>B20</f>
        <v>自然及人文环境</v>
      </c>
      <c r="R20" s="770" t="s">
        <v>17</v>
      </c>
      <c r="S20" s="771">
        <f>F20</f>
        <v>98</v>
      </c>
      <c r="T20" s="770" t="s">
        <v>17</v>
      </c>
      <c r="U20" s="771">
        <f>H20</f>
        <v>100</v>
      </c>
      <c r="V20" s="770" t="s">
        <v>17</v>
      </c>
      <c r="W20" s="771">
        <f>J20</f>
        <v>98</v>
      </c>
      <c r="X20" s="1793"/>
      <c r="Y20" s="3671"/>
      <c r="Z20" s="1794" t="str">
        <f>Q20</f>
        <v>自然及人文环境</v>
      </c>
      <c r="AA20" s="1791">
        <f t="shared" si="3"/>
        <v>1.0204081632653061</v>
      </c>
      <c r="AB20" s="1791">
        <f t="shared" si="4"/>
        <v>1</v>
      </c>
      <c r="AC20" s="1791">
        <f t="shared" si="5"/>
        <v>1.0204081632653061</v>
      </c>
    </row>
    <row r="21" spans="1:29" ht="15">
      <c r="A21" s="403"/>
      <c r="B21" s="631"/>
      <c r="C21" s="446" t="s">
        <v>3057</v>
      </c>
      <c r="D21" s="447"/>
      <c r="E21" s="446" t="s">
        <v>3058</v>
      </c>
      <c r="F21" s="448"/>
      <c r="G21" s="446" t="s">
        <v>3057</v>
      </c>
      <c r="H21" s="447"/>
      <c r="I21" s="446" t="s">
        <v>3058</v>
      </c>
      <c r="J21" s="447"/>
      <c r="K21" s="614"/>
      <c r="L21" s="1123"/>
      <c r="M21" s="1114"/>
      <c r="N21" s="1114"/>
      <c r="O21" s="1114"/>
      <c r="P21" s="3671"/>
      <c r="Q21" s="1790"/>
      <c r="R21" s="770"/>
      <c r="S21" s="771"/>
      <c r="T21" s="770"/>
      <c r="U21" s="771"/>
      <c r="V21" s="770"/>
      <c r="W21" s="771"/>
      <c r="X21" s="1793"/>
      <c r="Y21" s="3671"/>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71"/>
      <c r="Q22" s="1790" t="str">
        <f>B22</f>
        <v>楼层</v>
      </c>
      <c r="R22" s="770" t="s">
        <v>17</v>
      </c>
      <c r="S22" s="771">
        <f>F22</f>
        <v>100</v>
      </c>
      <c r="T22" s="770" t="s">
        <v>17</v>
      </c>
      <c r="U22" s="771">
        <f>H22</f>
        <v>100</v>
      </c>
      <c r="V22" s="770" t="s">
        <v>17</v>
      </c>
      <c r="W22" s="771">
        <f>J22</f>
        <v>100</v>
      </c>
      <c r="X22" s="1793"/>
      <c r="Y22" s="3671"/>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71"/>
      <c r="Q23" s="1790">
        <f>B23</f>
        <v>111</v>
      </c>
      <c r="R23" s="770" t="s">
        <v>17</v>
      </c>
      <c r="S23" s="771">
        <f>F23</f>
        <v>100</v>
      </c>
      <c r="T23" s="770" t="s">
        <v>17</v>
      </c>
      <c r="U23" s="771">
        <f>H23</f>
        <v>100</v>
      </c>
      <c r="V23" s="770" t="s">
        <v>17</v>
      </c>
      <c r="W23" s="771">
        <f>J23</f>
        <v>100</v>
      </c>
      <c r="X23" s="1793"/>
      <c r="Y23" s="3671"/>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71"/>
      <c r="Q24" s="1790">
        <f t="shared" ref="Q24:Q36" si="11">B24</f>
        <v>111</v>
      </c>
      <c r="R24" s="770" t="s">
        <v>17</v>
      </c>
      <c r="S24" s="771">
        <f>F24</f>
        <v>100</v>
      </c>
      <c r="T24" s="770" t="s">
        <v>17</v>
      </c>
      <c r="U24" s="771">
        <f>H24</f>
        <v>100</v>
      </c>
      <c r="V24" s="770" t="s">
        <v>17</v>
      </c>
      <c r="W24" s="771">
        <f>J24</f>
        <v>100</v>
      </c>
      <c r="X24" s="1793"/>
      <c r="Y24" s="3671"/>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71"/>
      <c r="Q25" s="1775">
        <f t="shared" si="11"/>
        <v>111</v>
      </c>
      <c r="R25" s="766" t="s">
        <v>17</v>
      </c>
      <c r="S25" s="767">
        <f>F25</f>
        <v>100</v>
      </c>
      <c r="T25" s="766" t="s">
        <v>17</v>
      </c>
      <c r="U25" s="767">
        <f>H25</f>
        <v>100</v>
      </c>
      <c r="V25" s="766" t="s">
        <v>17</v>
      </c>
      <c r="W25" s="767">
        <f>J25</f>
        <v>100</v>
      </c>
      <c r="X25" s="768"/>
      <c r="Y25" s="3671"/>
      <c r="Z25" s="55">
        <f>Q25</f>
        <v>111</v>
      </c>
      <c r="AA25" s="1791">
        <f>D25/F25</f>
        <v>1</v>
      </c>
      <c r="AB25" s="1791">
        <f>D25/H25</f>
        <v>1</v>
      </c>
      <c r="AC25" s="1791">
        <f>D25/J25</f>
        <v>1</v>
      </c>
    </row>
    <row r="26" spans="1:29" ht="28.5">
      <c r="A26" s="651" t="s">
        <v>2551</v>
      </c>
      <c r="B26" s="70" t="s">
        <v>2700</v>
      </c>
      <c r="C26" s="2667" t="str">
        <f>B1</f>
        <v>车库</v>
      </c>
      <c r="D26" s="447">
        <v>100</v>
      </c>
      <c r="E26" s="446" t="s">
        <v>3418</v>
      </c>
      <c r="F26" s="448">
        <f>SUMIF(79:79,E26,80:80)-SUMIF(79:79,C26,80:80)+100</f>
        <v>100</v>
      </c>
      <c r="G26" s="446" t="s">
        <v>3418</v>
      </c>
      <c r="H26" s="447">
        <f>SUMIF(79:79,G26,80:80)-SUMIF(79:79,C26,80:80)+100</f>
        <v>100</v>
      </c>
      <c r="I26" s="446" t="s">
        <v>3418</v>
      </c>
      <c r="J26" s="447">
        <f>SUMIF(79:79,I26,80:80)-SUMIF(79:79,C26,80:80)+100</f>
        <v>100</v>
      </c>
      <c r="K26" s="611">
        <v>2</v>
      </c>
      <c r="L26" s="1123"/>
      <c r="M26" s="1114"/>
      <c r="N26" s="1114"/>
      <c r="O26" s="1114"/>
      <c r="P26" s="3713"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75"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75"/>
      <c r="Q27" s="772" t="str">
        <f t="shared" si="11"/>
        <v>项目停车位配比</v>
      </c>
      <c r="R27" s="773" t="s">
        <v>17</v>
      </c>
      <c r="S27" s="774">
        <f t="shared" si="12"/>
        <v>100</v>
      </c>
      <c r="T27" s="773" t="s">
        <v>17</v>
      </c>
      <c r="U27" s="774">
        <f t="shared" si="13"/>
        <v>100</v>
      </c>
      <c r="V27" s="773" t="s">
        <v>17</v>
      </c>
      <c r="W27" s="774">
        <f t="shared" si="14"/>
        <v>100</v>
      </c>
      <c r="X27" s="775"/>
      <c r="Y27" s="3675"/>
      <c r="Z27" s="776" t="str">
        <f t="shared" si="15"/>
        <v>项目停车位配比</v>
      </c>
      <c r="AA27" s="1791">
        <f t="shared" si="3"/>
        <v>1</v>
      </c>
      <c r="AB27" s="1791">
        <f t="shared" si="4"/>
        <v>1</v>
      </c>
      <c r="AC27" s="1791">
        <f t="shared" si="5"/>
        <v>1</v>
      </c>
    </row>
    <row r="28" spans="1:29" ht="15">
      <c r="A28" s="655"/>
      <c r="B28" s="653" t="s">
        <v>2702</v>
      </c>
      <c r="C28" s="459" t="s">
        <v>3144</v>
      </c>
      <c r="D28" s="434">
        <v>100</v>
      </c>
      <c r="E28" s="459" t="s">
        <v>3144</v>
      </c>
      <c r="F28" s="460">
        <f>SUMIF(83:83,E28,84:84)-SUMIF(83:83,C28,84:84)+100</f>
        <v>100</v>
      </c>
      <c r="G28" s="459" t="s">
        <v>3144</v>
      </c>
      <c r="H28" s="434">
        <f>SUMIF(83:83,G28,84:84)-SUMIF(83:83,C28,84:84)+100</f>
        <v>100</v>
      </c>
      <c r="I28" s="459" t="s">
        <v>3144</v>
      </c>
      <c r="J28" s="434">
        <f>SUMIF(83:83,I28,84:84)-SUMIF(83:83,C28,84:84)+100</f>
        <v>100</v>
      </c>
      <c r="K28" s="611">
        <v>2</v>
      </c>
      <c r="L28" s="1123"/>
      <c r="M28" s="1114"/>
      <c r="N28" s="1114"/>
      <c r="O28" s="1114"/>
      <c r="P28" s="3675"/>
      <c r="Q28" s="1790" t="str">
        <f t="shared" si="11"/>
        <v>公共部分装修</v>
      </c>
      <c r="R28" s="770" t="s">
        <v>17</v>
      </c>
      <c r="S28" s="771">
        <f t="shared" si="12"/>
        <v>100</v>
      </c>
      <c r="T28" s="770" t="s">
        <v>17</v>
      </c>
      <c r="U28" s="771">
        <f t="shared" si="13"/>
        <v>100</v>
      </c>
      <c r="V28" s="770" t="s">
        <v>17</v>
      </c>
      <c r="W28" s="771">
        <f t="shared" si="14"/>
        <v>100</v>
      </c>
      <c r="X28" s="1793"/>
      <c r="Y28" s="3675"/>
      <c r="Z28" s="1794" t="str">
        <f t="shared" si="15"/>
        <v>公共部分装修</v>
      </c>
      <c r="AA28" s="1791">
        <f t="shared" si="3"/>
        <v>1</v>
      </c>
      <c r="AB28" s="1791">
        <f t="shared" si="4"/>
        <v>1</v>
      </c>
      <c r="AC28" s="1791">
        <f t="shared" si="5"/>
        <v>1</v>
      </c>
    </row>
    <row r="29" spans="1:29" ht="15">
      <c r="A29" s="655"/>
      <c r="B29" s="653" t="s">
        <v>2703</v>
      </c>
      <c r="C29" s="3426">
        <f>'数据-取费表'!N10</f>
        <v>0.8</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675"/>
      <c r="Q29" s="1790" t="str">
        <f t="shared" si="11"/>
        <v>成新率</v>
      </c>
      <c r="R29" s="770" t="s">
        <v>17</v>
      </c>
      <c r="S29" s="771">
        <f t="shared" si="12"/>
        <v>101</v>
      </c>
      <c r="T29" s="770" t="s">
        <v>17</v>
      </c>
      <c r="U29" s="771">
        <f t="shared" si="13"/>
        <v>101</v>
      </c>
      <c r="V29" s="770" t="s">
        <v>17</v>
      </c>
      <c r="W29" s="771">
        <f t="shared" si="14"/>
        <v>101</v>
      </c>
      <c r="X29" s="1793"/>
      <c r="Y29" s="3675"/>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3130</v>
      </c>
      <c r="D30" s="434">
        <v>100</v>
      </c>
      <c r="E30" s="656" t="s">
        <v>3130</v>
      </c>
      <c r="F30" s="460">
        <f>SUMIF(88:88,E30,89:89)-SUMIF(88:88,C30,89:89)+100</f>
        <v>100</v>
      </c>
      <c r="G30" s="656" t="s">
        <v>3130</v>
      </c>
      <c r="H30" s="434">
        <f>SUMIF(88:88,E30,89:89)-SUMIF(88:88,C30,89:89)+100</f>
        <v>100</v>
      </c>
      <c r="I30" s="656" t="s">
        <v>3130</v>
      </c>
      <c r="J30" s="434">
        <f>SUMIF(88:88,E30,89:89)-SUMIF(88:88,C30,89:89)+100</f>
        <v>100</v>
      </c>
      <c r="K30" s="611">
        <v>2</v>
      </c>
      <c r="L30" s="1123"/>
      <c r="M30" s="1114"/>
      <c r="N30" s="1114"/>
      <c r="O30" s="1114"/>
      <c r="P30" s="3675"/>
      <c r="Q30" s="1790" t="str">
        <f t="shared" si="11"/>
        <v>物业等级</v>
      </c>
      <c r="R30" s="770" t="s">
        <v>17</v>
      </c>
      <c r="S30" s="771">
        <f t="shared" si="12"/>
        <v>100</v>
      </c>
      <c r="T30" s="770" t="s">
        <v>17</v>
      </c>
      <c r="U30" s="771">
        <f t="shared" si="13"/>
        <v>100</v>
      </c>
      <c r="V30" s="770" t="s">
        <v>17</v>
      </c>
      <c r="W30" s="771">
        <f t="shared" si="14"/>
        <v>100</v>
      </c>
      <c r="X30" s="1793"/>
      <c r="Y30" s="3675"/>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75"/>
      <c r="Q31" s="1775" t="str">
        <f t="shared" si="11"/>
        <v>停车位面积</v>
      </c>
      <c r="R31" s="766" t="s">
        <v>17</v>
      </c>
      <c r="S31" s="767">
        <f t="shared" si="12"/>
        <v>100</v>
      </c>
      <c r="T31" s="766" t="s">
        <v>17</v>
      </c>
      <c r="U31" s="767">
        <f t="shared" si="13"/>
        <v>100</v>
      </c>
      <c r="V31" s="766" t="s">
        <v>17</v>
      </c>
      <c r="W31" s="767">
        <f t="shared" si="14"/>
        <v>100</v>
      </c>
      <c r="X31" s="768"/>
      <c r="Y31" s="3675"/>
      <c r="Z31" s="55" t="str">
        <f t="shared" si="15"/>
        <v>停车位面积</v>
      </c>
      <c r="AA31" s="769">
        <f t="shared" si="3"/>
        <v>1</v>
      </c>
      <c r="AB31" s="769">
        <f t="shared" si="4"/>
        <v>1</v>
      </c>
      <c r="AC31" s="769">
        <f t="shared" si="5"/>
        <v>1</v>
      </c>
    </row>
    <row r="32" spans="1:29" ht="15">
      <c r="A32" s="655"/>
      <c r="B32" s="653" t="s">
        <v>2706</v>
      </c>
      <c r="C32" s="459" t="s">
        <v>3665</v>
      </c>
      <c r="D32" s="434">
        <v>100</v>
      </c>
      <c r="E32" s="459" t="s">
        <v>3665</v>
      </c>
      <c r="F32" s="460">
        <f>SUMIF(93:93,E32,94:94)-SUMIF(93:93,C32,94:94)+100</f>
        <v>100</v>
      </c>
      <c r="G32" s="459" t="s">
        <v>3665</v>
      </c>
      <c r="H32" s="434">
        <f>SUMIF(93:93,G32,94:94)-SUMIF(93:93,C32,94:94)+100</f>
        <v>100</v>
      </c>
      <c r="I32" s="459" t="s">
        <v>3665</v>
      </c>
      <c r="J32" s="434">
        <f>SUMIF(93:93,I32,94:94)-SUMIF(93:93,C32,94:94)+100</f>
        <v>100</v>
      </c>
      <c r="K32" s="611">
        <v>2</v>
      </c>
      <c r="L32" s="1123"/>
      <c r="M32" s="1114"/>
      <c r="N32" s="1114"/>
      <c r="O32" s="1114"/>
      <c r="P32" s="3675" t="s">
        <v>2553</v>
      </c>
      <c r="Q32" s="1790" t="str">
        <f t="shared" si="11"/>
        <v>车位类型</v>
      </c>
      <c r="R32" s="770" t="s">
        <v>17</v>
      </c>
      <c r="S32" s="771">
        <f t="shared" si="12"/>
        <v>100</v>
      </c>
      <c r="T32" s="770" t="s">
        <v>17</v>
      </c>
      <c r="U32" s="771">
        <f t="shared" si="13"/>
        <v>100</v>
      </c>
      <c r="V32" s="770" t="s">
        <v>17</v>
      </c>
      <c r="W32" s="771">
        <f t="shared" si="14"/>
        <v>100</v>
      </c>
      <c r="X32" s="1793"/>
      <c r="Y32" s="3675"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75"/>
      <c r="Q33" s="1790" t="str">
        <f t="shared" si="11"/>
        <v>是否直接入户</v>
      </c>
      <c r="R33" s="770" t="s">
        <v>17</v>
      </c>
      <c r="S33" s="771">
        <f t="shared" si="12"/>
        <v>100</v>
      </c>
      <c r="T33" s="770" t="s">
        <v>17</v>
      </c>
      <c r="U33" s="771">
        <f t="shared" si="13"/>
        <v>100</v>
      </c>
      <c r="V33" s="770" t="s">
        <v>17</v>
      </c>
      <c r="W33" s="771">
        <f t="shared" si="14"/>
        <v>100</v>
      </c>
      <c r="X33" s="1793"/>
      <c r="Y33" s="3675"/>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75"/>
      <c r="Q34" s="1790">
        <f t="shared" si="11"/>
        <v>111</v>
      </c>
      <c r="R34" s="770" t="s">
        <v>17</v>
      </c>
      <c r="S34" s="771">
        <f t="shared" si="12"/>
        <v>100</v>
      </c>
      <c r="T34" s="770" t="s">
        <v>17</v>
      </c>
      <c r="U34" s="771">
        <f t="shared" si="13"/>
        <v>100</v>
      </c>
      <c r="V34" s="770" t="s">
        <v>17</v>
      </c>
      <c r="W34" s="771">
        <f t="shared" si="14"/>
        <v>100</v>
      </c>
      <c r="X34" s="1793"/>
      <c r="Y34" s="3675"/>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75"/>
      <c r="Q35" s="772">
        <f t="shared" si="11"/>
        <v>111</v>
      </c>
      <c r="R35" s="773" t="s">
        <v>17</v>
      </c>
      <c r="S35" s="774">
        <f t="shared" si="12"/>
        <v>100</v>
      </c>
      <c r="T35" s="773" t="s">
        <v>17</v>
      </c>
      <c r="U35" s="774">
        <f t="shared" si="13"/>
        <v>100</v>
      </c>
      <c r="V35" s="773" t="s">
        <v>17</v>
      </c>
      <c r="W35" s="774">
        <f t="shared" si="14"/>
        <v>100</v>
      </c>
      <c r="X35" s="775"/>
      <c r="Y35" s="3675"/>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75"/>
      <c r="Q36" s="1790">
        <f t="shared" si="11"/>
        <v>111</v>
      </c>
      <c r="R36" s="770" t="s">
        <v>17</v>
      </c>
      <c r="S36" s="771">
        <f t="shared" si="12"/>
        <v>100</v>
      </c>
      <c r="T36" s="770" t="s">
        <v>17</v>
      </c>
      <c r="U36" s="771">
        <f t="shared" si="13"/>
        <v>100</v>
      </c>
      <c r="V36" s="770" t="s">
        <v>17</v>
      </c>
      <c r="W36" s="771">
        <f t="shared" si="14"/>
        <v>100</v>
      </c>
      <c r="X36" s="1793"/>
      <c r="Y36" s="3675"/>
      <c r="Z36" s="1794">
        <f t="shared" si="15"/>
        <v>111</v>
      </c>
      <c r="AA36" s="1791">
        <f t="shared" si="3"/>
        <v>1</v>
      </c>
      <c r="AB36" s="1791">
        <f t="shared" si="4"/>
        <v>1</v>
      </c>
      <c r="AC36" s="1791">
        <f t="shared" si="5"/>
        <v>1</v>
      </c>
    </row>
    <row r="37" spans="1:29" ht="15">
      <c r="A37" s="478" t="s">
        <v>2708</v>
      </c>
      <c r="B37" s="2668" t="s">
        <v>3656</v>
      </c>
      <c r="C37" s="1388" t="s">
        <v>1</v>
      </c>
      <c r="D37" s="1389"/>
      <c r="E37" s="1390">
        <v>10392</v>
      </c>
      <c r="F37" s="1391"/>
      <c r="G37" s="1392">
        <v>9965</v>
      </c>
      <c r="H37" s="1393"/>
      <c r="I37" s="1390">
        <v>9540</v>
      </c>
      <c r="J37" s="1393"/>
      <c r="K37" s="618"/>
      <c r="L37" s="1126"/>
      <c r="M37" s="1127"/>
      <c r="N37" s="1114"/>
      <c r="O37" s="1127"/>
      <c r="P37" s="3677" t="str">
        <f>A37</f>
        <v>成交单价</v>
      </c>
      <c r="Q37" s="3677"/>
      <c r="R37" s="3678">
        <f>E37</f>
        <v>10392</v>
      </c>
      <c r="S37" s="3678"/>
      <c r="T37" s="3678">
        <f>G37</f>
        <v>9965</v>
      </c>
      <c r="U37" s="3678"/>
      <c r="V37" s="3678">
        <f>I37</f>
        <v>9540</v>
      </c>
      <c r="W37" s="3678"/>
      <c r="X37" s="755"/>
      <c r="Y37" s="777"/>
      <c r="Z37" s="755"/>
      <c r="AA37" s="755"/>
      <c r="AB37" s="755"/>
      <c r="AC37" s="755"/>
    </row>
    <row r="38" spans="1:29" ht="15.75" thickBot="1">
      <c r="A38" s="485" t="s">
        <v>2709</v>
      </c>
      <c r="B38" s="486" t="str">
        <f>B37</f>
        <v>元/平方米</v>
      </c>
      <c r="C38" s="1394">
        <f>R39</f>
        <v>10197</v>
      </c>
      <c r="D38" s="1395"/>
      <c r="E38" s="1396">
        <f>R38</f>
        <v>10867</v>
      </c>
      <c r="F38" s="1396"/>
      <c r="G38" s="1394">
        <f>T38</f>
        <v>9788</v>
      </c>
      <c r="H38" s="1395"/>
      <c r="I38" s="1396">
        <f>V38</f>
        <v>9936</v>
      </c>
      <c r="J38" s="1395"/>
      <c r="K38" s="619"/>
      <c r="L38" s="1126"/>
      <c r="M38" s="1127"/>
      <c r="N38" s="1127"/>
      <c r="O38" s="1127"/>
      <c r="P38" s="3677" t="str">
        <f>A38</f>
        <v>比较价值（元/平方米）</v>
      </c>
      <c r="Q38" s="3677"/>
      <c r="R38" s="3678">
        <f>IF(F1="售价",ROUND(PRODUCT(R37,AA7:AA36),0),ROUND(PRODUCT(R37,AA7:AA36),1))</f>
        <v>10867</v>
      </c>
      <c r="S38" s="3678"/>
      <c r="T38" s="3678">
        <f>IF(F1="售价",ROUND(PRODUCT(T37,AB7:AB36),0),ROUND(PRODUCT(T37,AB7:AB36),1))</f>
        <v>9788</v>
      </c>
      <c r="U38" s="3678"/>
      <c r="V38" s="3678">
        <f>IF(F1="售价",ROUND(PRODUCT(V37,AC7:AC36),0),ROUND(PRODUCT(V37,AC7:AC36),1))</f>
        <v>9936</v>
      </c>
      <c r="W38" s="3678"/>
      <c r="X38" s="755"/>
      <c r="Y38" s="755"/>
      <c r="Z38" s="755"/>
      <c r="AA38" s="755"/>
      <c r="AB38" s="755"/>
      <c r="AC38" s="755"/>
    </row>
    <row r="39" spans="1:29" ht="15.75" thickBot="1">
      <c r="A39" s="491" t="s">
        <v>2710</v>
      </c>
      <c r="B39" s="492"/>
      <c r="C39" s="1398">
        <f>R39</f>
        <v>10197</v>
      </c>
      <c r="D39" s="1398"/>
      <c r="E39" s="1398"/>
      <c r="F39" s="1398"/>
      <c r="G39" s="1398"/>
      <c r="H39" s="1398"/>
      <c r="I39" s="1398"/>
      <c r="J39" s="1398"/>
      <c r="K39" s="620"/>
      <c r="L39" s="1126"/>
      <c r="M39" s="1127"/>
      <c r="N39" s="1127"/>
      <c r="O39" s="1127"/>
      <c r="P39" s="3679" t="str">
        <f>A39</f>
        <v>估价对象XX用房的比较价值（楼面单价，元/平方米）</v>
      </c>
      <c r="Q39" s="3680"/>
      <c r="R39" s="3681">
        <f>IF(F1="售价",ROUND(AVERAGE(R38:V38),0),ROUND(AVERAGE(R38:V38),1))</f>
        <v>10197</v>
      </c>
      <c r="S39" s="3681"/>
      <c r="T39" s="3681"/>
      <c r="U39" s="3681"/>
      <c r="V39" s="3681"/>
      <c r="W39" s="3681"/>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4.5708237105465788E-2</v>
      </c>
      <c r="F42" s="499" t="str">
        <f>IF(OR(E42&gt;=0.3,E42&lt;=-0.3),"超过30%","")</f>
        <v/>
      </c>
      <c r="G42" s="498">
        <f>IF(G37&lt;G38,G38/G37-1,G37/G38-1)</f>
        <v>1.8083367388639138E-2</v>
      </c>
      <c r="H42" s="499" t="str">
        <f>IF(OR(G42&gt;=0.3,G42&lt;=-0.3),"超过30%","")</f>
        <v/>
      </c>
      <c r="I42" s="498">
        <f>IF(I37&lt;I38,I38/I37-1,I37/I38-1)</f>
        <v>4.1509433962264142E-2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0.11023702492848386</v>
      </c>
      <c r="F43" s="499" t="str">
        <f>IF(OR(E43&gt;=0.2,E43&lt;=-0.2),"超过20%","")</f>
        <v/>
      </c>
      <c r="G43" s="498">
        <f>IF(G38&lt;I38,I38/G38-1,G38/I38-1)</f>
        <v>1.5120555782590861E-2</v>
      </c>
      <c r="H43" s="499" t="str">
        <f>IF(OR(G43&gt;=0.2,G43&lt;=-0.2),"超过20%","")</f>
        <v/>
      </c>
      <c r="I43" s="498">
        <f>IF(I38&lt;E38,E38/I38-1,I38/E38-1)</f>
        <v>9.3699677938808401E-2</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4.2849974912192668E-2</v>
      </c>
      <c r="F44" s="499" t="str">
        <f>IF(OR(E44&gt;=0.3,E44&lt;=-0.3),"超过30%","")</f>
        <v/>
      </c>
      <c r="G44" s="498">
        <f>IF(G37&lt;I37,I37/G37-1,G37/I37-1)</f>
        <v>4.4549266247379427E-2</v>
      </c>
      <c r="H44" s="499" t="str">
        <f>IF(OR(G44&gt;=0.3,G44&lt;=-0.3),"超过30%","")</f>
        <v/>
      </c>
      <c r="I44" s="498">
        <f>IF(I37&lt;E37,E37/I37-1,I37/E37-1)</f>
        <v>8.9308176100628911E-2</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2020-6</v>
      </c>
      <c r="D48" s="1555">
        <f>EDATE(C48,-1)</f>
        <v>43952</v>
      </c>
      <c r="E48" s="1555">
        <f t="shared" ref="E48:O48" si="16">EDATE(D48,-1)</f>
        <v>43922</v>
      </c>
      <c r="F48" s="1555">
        <f t="shared" si="16"/>
        <v>43891</v>
      </c>
      <c r="G48" s="1555">
        <f t="shared" si="16"/>
        <v>43862</v>
      </c>
      <c r="H48" s="1555">
        <f t="shared" si="16"/>
        <v>43831</v>
      </c>
      <c r="I48" s="1555">
        <f t="shared" si="16"/>
        <v>43800</v>
      </c>
      <c r="J48" s="1555">
        <f t="shared" si="16"/>
        <v>43770</v>
      </c>
      <c r="K48" s="1555">
        <f t="shared" si="16"/>
        <v>43739</v>
      </c>
      <c r="L48" s="1555">
        <f t="shared" si="16"/>
        <v>43709</v>
      </c>
      <c r="M48" s="1555">
        <f t="shared" si="16"/>
        <v>43678</v>
      </c>
      <c r="N48" s="1555">
        <f t="shared" si="16"/>
        <v>43647</v>
      </c>
      <c r="O48" s="1555">
        <f t="shared" si="16"/>
        <v>43617</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3663</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3123</v>
      </c>
      <c r="D83" s="2969" t="s">
        <v>3080</v>
      </c>
      <c r="E83" s="2969" t="s">
        <v>3081</v>
      </c>
      <c r="F83" s="2972" t="s">
        <v>3082</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3664</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3666</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42" t="s">
        <v>2635</v>
      </c>
      <c r="S4" s="3643"/>
      <c r="T4" s="3642" t="s">
        <v>2636</v>
      </c>
      <c r="U4" s="3643"/>
      <c r="V4" s="3639" t="s">
        <v>2637</v>
      </c>
      <c r="W4" s="3639"/>
      <c r="X4" s="1793"/>
      <c r="Y4" s="3642" t="s">
        <v>2639</v>
      </c>
      <c r="Z4" s="3643"/>
      <c r="AA4" s="3636" t="s">
        <v>2635</v>
      </c>
      <c r="AB4" s="3637" t="s">
        <v>2636</v>
      </c>
      <c r="AC4" s="3636" t="s">
        <v>2637</v>
      </c>
    </row>
    <row r="5" spans="1:29" ht="15">
      <c r="A5" s="403"/>
      <c r="B5" s="404"/>
      <c r="C5" s="3711" t="s">
        <v>2530</v>
      </c>
      <c r="D5" s="3712"/>
      <c r="E5" s="3709" t="s">
        <v>2531</v>
      </c>
      <c r="F5" s="3710"/>
      <c r="G5" s="3711" t="s">
        <v>2532</v>
      </c>
      <c r="H5" s="3712"/>
      <c r="I5" s="3711" t="s">
        <v>2533</v>
      </c>
      <c r="J5" s="3712"/>
      <c r="K5" s="609"/>
      <c r="L5" s="1113"/>
      <c r="M5" s="1114"/>
      <c r="N5" s="1114"/>
      <c r="O5" s="1114"/>
      <c r="P5" s="3661"/>
      <c r="Q5" s="3662"/>
      <c r="R5" s="3644"/>
      <c r="S5" s="3645"/>
      <c r="T5" s="3644"/>
      <c r="U5" s="3645"/>
      <c r="V5" s="3639"/>
      <c r="W5" s="3639"/>
      <c r="X5" s="1793"/>
      <c r="Y5" s="3644"/>
      <c r="Z5" s="3645"/>
      <c r="AA5" s="3637"/>
      <c r="AB5" s="3637"/>
      <c r="AC5" s="3637"/>
    </row>
    <row r="6" spans="1:29" ht="15.75" thickBot="1">
      <c r="A6" s="405"/>
      <c r="B6" s="406"/>
      <c r="C6" s="3650" t="s">
        <v>2534</v>
      </c>
      <c r="D6" s="3651"/>
      <c r="E6" s="3652" t="s">
        <v>2534</v>
      </c>
      <c r="F6" s="3653"/>
      <c r="G6" s="3650" t="s">
        <v>2534</v>
      </c>
      <c r="H6" s="3651"/>
      <c r="I6" s="3650" t="s">
        <v>2534</v>
      </c>
      <c r="J6" s="3651"/>
      <c r="K6" s="609" t="s">
        <v>2535</v>
      </c>
      <c r="L6" s="1113"/>
      <c r="M6" s="1114"/>
      <c r="N6" s="1114"/>
      <c r="O6" s="1114"/>
      <c r="P6" s="3663"/>
      <c r="Q6" s="3664"/>
      <c r="R6" s="3644"/>
      <c r="S6" s="3645"/>
      <c r="T6" s="3665"/>
      <c r="U6" s="3666"/>
      <c r="V6" s="3639"/>
      <c r="W6" s="3639"/>
      <c r="X6" s="1793"/>
      <c r="Y6" s="3665"/>
      <c r="Z6" s="3666"/>
      <c r="AA6" s="3638"/>
      <c r="AB6" s="3638"/>
      <c r="AC6" s="3638"/>
    </row>
    <row r="7" spans="1:29" s="117" customFormat="1" ht="15.75" thickBot="1">
      <c r="A7" s="407" t="s">
        <v>2536</v>
      </c>
      <c r="B7" s="408"/>
      <c r="C7" s="409">
        <f>'数据-取费表'!B2</f>
        <v>43983</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640" t="s">
        <v>2537</v>
      </c>
      <c r="Q7" s="3667"/>
      <c r="R7" s="766" t="s">
        <v>17</v>
      </c>
      <c r="S7" s="767">
        <f t="shared" ref="S7:S14" si="0">F7</f>
        <v>0</v>
      </c>
      <c r="T7" s="766" t="s">
        <v>17</v>
      </c>
      <c r="U7" s="767">
        <f t="shared" ref="U7:U14" si="1">H7</f>
        <v>0</v>
      </c>
      <c r="V7" s="766" t="s">
        <v>17</v>
      </c>
      <c r="W7" s="767">
        <f t="shared" ref="W7:W14" si="2">J7</f>
        <v>0</v>
      </c>
      <c r="X7" s="768"/>
      <c r="Y7" s="3640" t="s">
        <v>2537</v>
      </c>
      <c r="Z7" s="3641"/>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40" t="s">
        <v>2540</v>
      </c>
      <c r="Q8" s="3641"/>
      <c r="R8" s="766" t="s">
        <v>17</v>
      </c>
      <c r="S8" s="767">
        <f t="shared" si="0"/>
        <v>0</v>
      </c>
      <c r="T8" s="766" t="s">
        <v>17</v>
      </c>
      <c r="U8" s="767">
        <f t="shared" si="1"/>
        <v>0</v>
      </c>
      <c r="V8" s="766" t="s">
        <v>17</v>
      </c>
      <c r="W8" s="767">
        <f t="shared" si="2"/>
        <v>0</v>
      </c>
      <c r="X8" s="768"/>
      <c r="Y8" s="3640" t="s">
        <v>2540</v>
      </c>
      <c r="Z8" s="3641"/>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77" t="s">
        <v>2543</v>
      </c>
      <c r="Q9" s="1775" t="str">
        <f t="shared" ref="Q9:Q14" si="6">B9</f>
        <v>用途</v>
      </c>
      <c r="R9" s="766" t="s">
        <v>17</v>
      </c>
      <c r="S9" s="767">
        <f t="shared" si="0"/>
        <v>100</v>
      </c>
      <c r="T9" s="766" t="s">
        <v>17</v>
      </c>
      <c r="U9" s="767">
        <f t="shared" si="1"/>
        <v>100</v>
      </c>
      <c r="V9" s="766" t="s">
        <v>17</v>
      </c>
      <c r="W9" s="767">
        <f t="shared" si="2"/>
        <v>100</v>
      </c>
      <c r="X9" s="768"/>
      <c r="Y9" s="3504"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77"/>
      <c r="Q10" s="1775" t="str">
        <f t="shared" si="6"/>
        <v>土地使用年限（年）</v>
      </c>
      <c r="R10" s="766" t="s">
        <v>17</v>
      </c>
      <c r="S10" s="767">
        <f t="shared" si="0"/>
        <v>100</v>
      </c>
      <c r="T10" s="766" t="s">
        <v>17</v>
      </c>
      <c r="U10" s="767">
        <f t="shared" si="1"/>
        <v>100</v>
      </c>
      <c r="V10" s="766" t="s">
        <v>17</v>
      </c>
      <c r="W10" s="767">
        <f t="shared" si="2"/>
        <v>100</v>
      </c>
      <c r="X10" s="768"/>
      <c r="Y10" s="3504"/>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77"/>
      <c r="Q11" s="1775">
        <f t="shared" si="6"/>
        <v>111</v>
      </c>
      <c r="R11" s="766" t="s">
        <v>17</v>
      </c>
      <c r="S11" s="767">
        <f t="shared" si="0"/>
        <v>100</v>
      </c>
      <c r="T11" s="766" t="s">
        <v>17</v>
      </c>
      <c r="U11" s="767">
        <f t="shared" si="1"/>
        <v>100</v>
      </c>
      <c r="V11" s="766" t="s">
        <v>17</v>
      </c>
      <c r="W11" s="767">
        <f t="shared" si="2"/>
        <v>100</v>
      </c>
      <c r="X11" s="768"/>
      <c r="Y11" s="3504"/>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77"/>
      <c r="Q12" s="1775">
        <f t="shared" si="6"/>
        <v>111</v>
      </c>
      <c r="R12" s="766" t="s">
        <v>17</v>
      </c>
      <c r="S12" s="767">
        <f t="shared" si="0"/>
        <v>100</v>
      </c>
      <c r="T12" s="766" t="s">
        <v>17</v>
      </c>
      <c r="U12" s="767">
        <f t="shared" si="1"/>
        <v>100</v>
      </c>
      <c r="V12" s="766" t="s">
        <v>17</v>
      </c>
      <c r="W12" s="767">
        <f t="shared" si="2"/>
        <v>100</v>
      </c>
      <c r="X12" s="768"/>
      <c r="Y12" s="3504"/>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677"/>
      <c r="Q13" s="1775">
        <f t="shared" si="6"/>
        <v>111</v>
      </c>
      <c r="R13" s="766" t="s">
        <v>17</v>
      </c>
      <c r="S13" s="767">
        <f t="shared" si="0"/>
        <v>100</v>
      </c>
      <c r="T13" s="766" t="s">
        <v>17</v>
      </c>
      <c r="U13" s="767">
        <f t="shared" si="1"/>
        <v>100</v>
      </c>
      <c r="V13" s="766" t="s">
        <v>17</v>
      </c>
      <c r="W13" s="767">
        <f t="shared" si="2"/>
        <v>100</v>
      </c>
      <c r="X13" s="768"/>
      <c r="Y13" s="3504"/>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70" t="s">
        <v>2548</v>
      </c>
      <c r="Q14" s="1790" t="str">
        <f t="shared" si="6"/>
        <v>交通便捷度</v>
      </c>
      <c r="R14" s="770" t="s">
        <v>17</v>
      </c>
      <c r="S14" s="771">
        <f t="shared" si="0"/>
        <v>100</v>
      </c>
      <c r="T14" s="770" t="s">
        <v>17</v>
      </c>
      <c r="U14" s="771">
        <f t="shared" si="1"/>
        <v>100</v>
      </c>
      <c r="V14" s="770" t="s">
        <v>17</v>
      </c>
      <c r="W14" s="771">
        <f t="shared" si="2"/>
        <v>100</v>
      </c>
      <c r="X14" s="1793"/>
      <c r="Y14" s="3670"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71"/>
      <c r="Q15" s="1790"/>
      <c r="R15" s="770"/>
      <c r="S15" s="771"/>
      <c r="T15" s="770"/>
      <c r="U15" s="771"/>
      <c r="V15" s="770"/>
      <c r="W15" s="771"/>
      <c r="X15" s="1793"/>
      <c r="Y15" s="3671"/>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71"/>
      <c r="Q16" s="1790" t="str">
        <f>B16</f>
        <v>公共配套设施</v>
      </c>
      <c r="R16" s="770" t="s">
        <v>17</v>
      </c>
      <c r="S16" s="771">
        <f>F16</f>
        <v>100</v>
      </c>
      <c r="T16" s="770" t="s">
        <v>17</v>
      </c>
      <c r="U16" s="771">
        <f>H16</f>
        <v>100</v>
      </c>
      <c r="V16" s="770" t="s">
        <v>17</v>
      </c>
      <c r="W16" s="771">
        <f>J16</f>
        <v>100</v>
      </c>
      <c r="X16" s="1793"/>
      <c r="Y16" s="3671"/>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671"/>
      <c r="Q17" s="1790"/>
      <c r="R17" s="770"/>
      <c r="S17" s="771"/>
      <c r="T17" s="770"/>
      <c r="U17" s="771"/>
      <c r="V17" s="770"/>
      <c r="W17" s="771"/>
      <c r="X17" s="1793"/>
      <c r="Y17" s="3671"/>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71"/>
      <c r="Q18" s="1790" t="str">
        <f>B18</f>
        <v>基础设施水平</v>
      </c>
      <c r="R18" s="770" t="s">
        <v>17</v>
      </c>
      <c r="S18" s="771">
        <f>F18</f>
        <v>100</v>
      </c>
      <c r="T18" s="770" t="s">
        <v>17</v>
      </c>
      <c r="U18" s="771">
        <f>H18</f>
        <v>100</v>
      </c>
      <c r="V18" s="770" t="s">
        <v>17</v>
      </c>
      <c r="W18" s="771">
        <f>J18</f>
        <v>100</v>
      </c>
      <c r="X18" s="1793"/>
      <c r="Y18" s="3671"/>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671"/>
      <c r="Q19" s="1790"/>
      <c r="R19" s="770"/>
      <c r="S19" s="771"/>
      <c r="T19" s="770"/>
      <c r="U19" s="771"/>
      <c r="V19" s="770"/>
      <c r="W19" s="771"/>
      <c r="X19" s="1793"/>
      <c r="Y19" s="3671"/>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71"/>
      <c r="Q20" s="1790" t="str">
        <f>B20</f>
        <v>自然及人文环境</v>
      </c>
      <c r="R20" s="770" t="s">
        <v>17</v>
      </c>
      <c r="S20" s="771">
        <f>F20</f>
        <v>100</v>
      </c>
      <c r="T20" s="770" t="s">
        <v>17</v>
      </c>
      <c r="U20" s="771">
        <f>H20</f>
        <v>100</v>
      </c>
      <c r="V20" s="770" t="s">
        <v>17</v>
      </c>
      <c r="W20" s="771">
        <f>J20</f>
        <v>100</v>
      </c>
      <c r="X20" s="1793"/>
      <c r="Y20" s="3671"/>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71"/>
      <c r="Q21" s="1790"/>
      <c r="R21" s="770"/>
      <c r="S21" s="771"/>
      <c r="T21" s="770"/>
      <c r="U21" s="771"/>
      <c r="V21" s="770"/>
      <c r="W21" s="771"/>
      <c r="X21" s="1793"/>
      <c r="Y21" s="3671"/>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71"/>
      <c r="Q22" s="1790" t="str">
        <f>B22</f>
        <v>楼层</v>
      </c>
      <c r="R22" s="770" t="s">
        <v>17</v>
      </c>
      <c r="S22" s="771">
        <f>F22</f>
        <v>100</v>
      </c>
      <c r="T22" s="770" t="s">
        <v>17</v>
      </c>
      <c r="U22" s="771">
        <f>H22</f>
        <v>100</v>
      </c>
      <c r="V22" s="770" t="s">
        <v>17</v>
      </c>
      <c r="W22" s="771">
        <f>J22</f>
        <v>100</v>
      </c>
      <c r="X22" s="1793"/>
      <c r="Y22" s="3671"/>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71"/>
      <c r="Q23" s="1790">
        <f>B23</f>
        <v>111</v>
      </c>
      <c r="R23" s="770" t="s">
        <v>17</v>
      </c>
      <c r="S23" s="771">
        <f>F23</f>
        <v>100</v>
      </c>
      <c r="T23" s="770" t="s">
        <v>17</v>
      </c>
      <c r="U23" s="771">
        <f>H23</f>
        <v>100</v>
      </c>
      <c r="V23" s="770" t="s">
        <v>17</v>
      </c>
      <c r="W23" s="771">
        <f>J23</f>
        <v>100</v>
      </c>
      <c r="X23" s="1793"/>
      <c r="Y23" s="3671"/>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71"/>
      <c r="Q24" s="1790">
        <f t="shared" ref="Q24:Q34" si="11">B24</f>
        <v>111</v>
      </c>
      <c r="R24" s="770" t="s">
        <v>17</v>
      </c>
      <c r="S24" s="771">
        <f>F24</f>
        <v>100</v>
      </c>
      <c r="T24" s="770" t="s">
        <v>17</v>
      </c>
      <c r="U24" s="771">
        <f>H24</f>
        <v>100</v>
      </c>
      <c r="V24" s="770" t="s">
        <v>17</v>
      </c>
      <c r="W24" s="771">
        <f>J24</f>
        <v>100</v>
      </c>
      <c r="X24" s="1793"/>
      <c r="Y24" s="3671"/>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671"/>
      <c r="Q25" s="1775">
        <f t="shared" si="11"/>
        <v>111</v>
      </c>
      <c r="R25" s="766" t="s">
        <v>17</v>
      </c>
      <c r="S25" s="767">
        <f>F25</f>
        <v>100</v>
      </c>
      <c r="T25" s="766" t="s">
        <v>17</v>
      </c>
      <c r="U25" s="767">
        <f>H25</f>
        <v>100</v>
      </c>
      <c r="V25" s="766" t="s">
        <v>17</v>
      </c>
      <c r="W25" s="767">
        <f>J25</f>
        <v>100</v>
      </c>
      <c r="X25" s="768"/>
      <c r="Y25" s="3671"/>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13"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75"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75"/>
      <c r="Q27" s="772" t="str">
        <f t="shared" si="11"/>
        <v>成新率</v>
      </c>
      <c r="R27" s="773" t="s">
        <v>17</v>
      </c>
      <c r="S27" s="774" t="e">
        <f t="shared" si="12"/>
        <v>#N/A</v>
      </c>
      <c r="T27" s="773" t="s">
        <v>17</v>
      </c>
      <c r="U27" s="774" t="e">
        <f t="shared" si="13"/>
        <v>#N/A</v>
      </c>
      <c r="V27" s="773" t="s">
        <v>17</v>
      </c>
      <c r="W27" s="774" t="e">
        <f t="shared" si="14"/>
        <v>#N/A</v>
      </c>
      <c r="X27" s="775"/>
      <c r="Y27" s="3675"/>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75"/>
      <c r="Q28" s="1790" t="str">
        <f t="shared" si="11"/>
        <v>物业等级</v>
      </c>
      <c r="R28" s="770" t="s">
        <v>17</v>
      </c>
      <c r="S28" s="771">
        <f t="shared" si="12"/>
        <v>100</v>
      </c>
      <c r="T28" s="770" t="s">
        <v>17</v>
      </c>
      <c r="U28" s="771">
        <f t="shared" si="13"/>
        <v>100</v>
      </c>
      <c r="V28" s="770" t="s">
        <v>17</v>
      </c>
      <c r="W28" s="771">
        <f t="shared" si="14"/>
        <v>100</v>
      </c>
      <c r="X28" s="1793"/>
      <c r="Y28" s="3675"/>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75"/>
      <c r="Q29" s="1790" t="str">
        <f t="shared" si="11"/>
        <v>有无电梯</v>
      </c>
      <c r="R29" s="770" t="s">
        <v>17</v>
      </c>
      <c r="S29" s="771">
        <f t="shared" si="12"/>
        <v>100</v>
      </c>
      <c r="T29" s="770" t="s">
        <v>17</v>
      </c>
      <c r="U29" s="771">
        <f t="shared" si="13"/>
        <v>100</v>
      </c>
      <c r="V29" s="770" t="s">
        <v>17</v>
      </c>
      <c r="W29" s="771">
        <f t="shared" si="14"/>
        <v>100</v>
      </c>
      <c r="X29" s="1793"/>
      <c r="Y29" s="3675"/>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75"/>
      <c r="Q30" s="1790" t="str">
        <f t="shared" si="11"/>
        <v>建筑面积</v>
      </c>
      <c r="R30" s="770" t="s">
        <v>17</v>
      </c>
      <c r="S30" s="771" t="e">
        <f t="shared" si="12"/>
        <v>#N/A</v>
      </c>
      <c r="T30" s="770" t="s">
        <v>17</v>
      </c>
      <c r="U30" s="771" t="e">
        <f t="shared" si="13"/>
        <v>#N/A</v>
      </c>
      <c r="V30" s="770" t="s">
        <v>17</v>
      </c>
      <c r="W30" s="771" t="e">
        <f t="shared" si="14"/>
        <v>#N/A</v>
      </c>
      <c r="X30" s="1793"/>
      <c r="Y30" s="3675"/>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75"/>
      <c r="Q31" s="1775" t="str">
        <f t="shared" si="11"/>
        <v>是否封闭</v>
      </c>
      <c r="R31" s="766" t="s">
        <v>17</v>
      </c>
      <c r="S31" s="767">
        <f t="shared" si="12"/>
        <v>100</v>
      </c>
      <c r="T31" s="766" t="s">
        <v>17</v>
      </c>
      <c r="U31" s="767">
        <f t="shared" si="13"/>
        <v>100</v>
      </c>
      <c r="V31" s="766" t="s">
        <v>17</v>
      </c>
      <c r="W31" s="767">
        <f t="shared" si="14"/>
        <v>100</v>
      </c>
      <c r="X31" s="768"/>
      <c r="Y31" s="3675"/>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75" t="s">
        <v>2553</v>
      </c>
      <c r="Q32" s="1790">
        <f t="shared" si="11"/>
        <v>111</v>
      </c>
      <c r="R32" s="770" t="s">
        <v>17</v>
      </c>
      <c r="S32" s="771">
        <f t="shared" si="12"/>
        <v>100</v>
      </c>
      <c r="T32" s="770" t="s">
        <v>17</v>
      </c>
      <c r="U32" s="771">
        <f t="shared" si="13"/>
        <v>100</v>
      </c>
      <c r="V32" s="770" t="s">
        <v>17</v>
      </c>
      <c r="W32" s="771">
        <f t="shared" si="14"/>
        <v>100</v>
      </c>
      <c r="X32" s="1793"/>
      <c r="Y32" s="3675"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75"/>
      <c r="Q33" s="1790">
        <f t="shared" si="11"/>
        <v>111</v>
      </c>
      <c r="R33" s="770" t="s">
        <v>17</v>
      </c>
      <c r="S33" s="771">
        <f t="shared" si="12"/>
        <v>100</v>
      </c>
      <c r="T33" s="770" t="s">
        <v>17</v>
      </c>
      <c r="U33" s="771">
        <f t="shared" si="13"/>
        <v>100</v>
      </c>
      <c r="V33" s="770" t="s">
        <v>17</v>
      </c>
      <c r="W33" s="771">
        <f t="shared" si="14"/>
        <v>100</v>
      </c>
      <c r="X33" s="1793"/>
      <c r="Y33" s="3675"/>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675"/>
      <c r="Q34" s="1790">
        <f t="shared" si="11"/>
        <v>111</v>
      </c>
      <c r="R34" s="770" t="s">
        <v>17</v>
      </c>
      <c r="S34" s="771">
        <f t="shared" si="12"/>
        <v>100</v>
      </c>
      <c r="T34" s="770" t="s">
        <v>17</v>
      </c>
      <c r="U34" s="771">
        <f t="shared" si="13"/>
        <v>100</v>
      </c>
      <c r="V34" s="770" t="s">
        <v>17</v>
      </c>
      <c r="W34" s="771">
        <f t="shared" si="14"/>
        <v>100</v>
      </c>
      <c r="X34" s="1793"/>
      <c r="Y34" s="3675"/>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77" t="str">
        <f>A35</f>
        <v>成交单价（元/平方米）</v>
      </c>
      <c r="Q35" s="3677"/>
      <c r="R35" s="3678">
        <f>E35</f>
        <v>0</v>
      </c>
      <c r="S35" s="3678"/>
      <c r="T35" s="3678">
        <f>G35</f>
        <v>0</v>
      </c>
      <c r="U35" s="3678"/>
      <c r="V35" s="3678">
        <f>I35</f>
        <v>0</v>
      </c>
      <c r="W35" s="3678"/>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79" t="str">
        <f>A37</f>
        <v>估价对象XX用房的比较价值（楼面单价，元/平方米）</v>
      </c>
      <c r="Q37" s="3680"/>
      <c r="R37" s="3681" t="e">
        <f>IF(F1="售价",ROUND(AVERAGE(R36:V36),0),ROUND(AVERAGE(R36:V36),1))</f>
        <v>#DIV/0!</v>
      </c>
      <c r="S37" s="3681"/>
      <c r="T37" s="3681"/>
      <c r="U37" s="3681"/>
      <c r="V37" s="3681"/>
      <c r="W37" s="3681"/>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2020-6</v>
      </c>
      <c r="D46" s="1555">
        <f>EDATE(C46,-1)</f>
        <v>43952</v>
      </c>
      <c r="E46" s="1555">
        <f t="shared" ref="E46:O46" si="16">EDATE(D46,-1)</f>
        <v>43922</v>
      </c>
      <c r="F46" s="1555">
        <f t="shared" si="16"/>
        <v>43891</v>
      </c>
      <c r="G46" s="1555">
        <f t="shared" si="16"/>
        <v>43862</v>
      </c>
      <c r="H46" s="1555">
        <f t="shared" si="16"/>
        <v>43831</v>
      </c>
      <c r="I46" s="1555">
        <f t="shared" si="16"/>
        <v>43800</v>
      </c>
      <c r="J46" s="1555">
        <f t="shared" si="16"/>
        <v>43770</v>
      </c>
      <c r="K46" s="1555">
        <f t="shared" si="16"/>
        <v>43739</v>
      </c>
      <c r="L46" s="1555">
        <f t="shared" si="16"/>
        <v>43709</v>
      </c>
      <c r="M46" s="1555">
        <f t="shared" si="16"/>
        <v>43678</v>
      </c>
      <c r="N46" s="1555">
        <f t="shared" si="16"/>
        <v>43647</v>
      </c>
      <c r="O46" s="1555">
        <f t="shared" si="16"/>
        <v>43617</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42" t="s">
        <v>2635</v>
      </c>
      <c r="S4" s="3643"/>
      <c r="T4" s="3642" t="s">
        <v>2636</v>
      </c>
      <c r="U4" s="3643"/>
      <c r="V4" s="3639" t="s">
        <v>2637</v>
      </c>
      <c r="W4" s="3639"/>
      <c r="X4" s="1793"/>
      <c r="Y4" s="3642" t="s">
        <v>2639</v>
      </c>
      <c r="Z4" s="3643"/>
      <c r="AA4" s="3636" t="s">
        <v>2635</v>
      </c>
      <c r="AB4" s="3637" t="s">
        <v>2636</v>
      </c>
      <c r="AC4" s="3636" t="s">
        <v>2637</v>
      </c>
    </row>
    <row r="5" spans="1:29" ht="15">
      <c r="A5" s="403"/>
      <c r="B5" s="404"/>
      <c r="C5" s="3711" t="s">
        <v>2530</v>
      </c>
      <c r="D5" s="3712"/>
      <c r="E5" s="3709" t="s">
        <v>2531</v>
      </c>
      <c r="F5" s="3710"/>
      <c r="G5" s="3711" t="s">
        <v>2532</v>
      </c>
      <c r="H5" s="3712"/>
      <c r="I5" s="3711" t="s">
        <v>2533</v>
      </c>
      <c r="J5" s="3712"/>
      <c r="K5" s="609"/>
      <c r="L5" s="1113"/>
      <c r="M5" s="1114"/>
      <c r="N5" s="1114"/>
      <c r="O5" s="1114"/>
      <c r="P5" s="3661"/>
      <c r="Q5" s="3662"/>
      <c r="R5" s="3644"/>
      <c r="S5" s="3645"/>
      <c r="T5" s="3644"/>
      <c r="U5" s="3645"/>
      <c r="V5" s="3639"/>
      <c r="W5" s="3639"/>
      <c r="X5" s="1793"/>
      <c r="Y5" s="3644"/>
      <c r="Z5" s="3645"/>
      <c r="AA5" s="3637"/>
      <c r="AB5" s="3637"/>
      <c r="AC5" s="3637"/>
    </row>
    <row r="6" spans="1:29" ht="15.75" thickBot="1">
      <c r="A6" s="405"/>
      <c r="B6" s="406"/>
      <c r="C6" s="3720" t="s">
        <v>2775</v>
      </c>
      <c r="D6" s="3721"/>
      <c r="E6" s="3722" t="s">
        <v>2775</v>
      </c>
      <c r="F6" s="3723"/>
      <c r="G6" s="3720" t="s">
        <v>2775</v>
      </c>
      <c r="H6" s="3721"/>
      <c r="I6" s="3720" t="s">
        <v>2775</v>
      </c>
      <c r="J6" s="3721"/>
      <c r="K6" s="609" t="s">
        <v>2535</v>
      </c>
      <c r="L6" s="1113"/>
      <c r="M6" s="1114"/>
      <c r="N6" s="1114"/>
      <c r="O6" s="1114"/>
      <c r="P6" s="3663"/>
      <c r="Q6" s="3664"/>
      <c r="R6" s="3644"/>
      <c r="S6" s="3645"/>
      <c r="T6" s="3665"/>
      <c r="U6" s="3666"/>
      <c r="V6" s="3639"/>
      <c r="W6" s="3639"/>
      <c r="X6" s="1793"/>
      <c r="Y6" s="3665"/>
      <c r="Z6" s="3666"/>
      <c r="AA6" s="3638"/>
      <c r="AB6" s="3638"/>
      <c r="AC6" s="3638"/>
    </row>
    <row r="7" spans="1:29" s="117" customFormat="1" ht="15.75" thickBot="1">
      <c r="A7" s="407" t="s">
        <v>2536</v>
      </c>
      <c r="B7" s="408"/>
      <c r="C7" s="409">
        <f>'数据-取费表'!B2</f>
        <v>43983</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640" t="s">
        <v>2537</v>
      </c>
      <c r="Q7" s="3667"/>
      <c r="R7" s="766" t="s">
        <v>17</v>
      </c>
      <c r="S7" s="767">
        <f t="shared" ref="S7:S15" si="0">F7</f>
        <v>0</v>
      </c>
      <c r="T7" s="766" t="s">
        <v>17</v>
      </c>
      <c r="U7" s="767">
        <f t="shared" ref="U7:U15" si="1">H7</f>
        <v>0</v>
      </c>
      <c r="V7" s="766" t="s">
        <v>17</v>
      </c>
      <c r="W7" s="767">
        <f t="shared" ref="W7:W15" si="2">J7</f>
        <v>0</v>
      </c>
      <c r="X7" s="768"/>
      <c r="Y7" s="3640" t="s">
        <v>2537</v>
      </c>
      <c r="Z7" s="3641"/>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40" t="s">
        <v>2540</v>
      </c>
      <c r="Q8" s="3641"/>
      <c r="R8" s="766" t="s">
        <v>17</v>
      </c>
      <c r="S8" s="767">
        <f t="shared" si="0"/>
        <v>0</v>
      </c>
      <c r="T8" s="766" t="s">
        <v>17</v>
      </c>
      <c r="U8" s="767">
        <f t="shared" si="1"/>
        <v>0</v>
      </c>
      <c r="V8" s="766" t="s">
        <v>17</v>
      </c>
      <c r="W8" s="767">
        <f t="shared" si="2"/>
        <v>0</v>
      </c>
      <c r="X8" s="768"/>
      <c r="Y8" s="3640" t="s">
        <v>2540</v>
      </c>
      <c r="Z8" s="3641"/>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677" t="s">
        <v>2543</v>
      </c>
      <c r="Q9" s="1775" t="str">
        <f t="shared" ref="Q9:Q15" si="6">B9</f>
        <v>用途</v>
      </c>
      <c r="R9" s="766" t="s">
        <v>17</v>
      </c>
      <c r="S9" s="767">
        <f t="shared" si="0"/>
        <v>100</v>
      </c>
      <c r="T9" s="766" t="s">
        <v>17</v>
      </c>
      <c r="U9" s="767">
        <f t="shared" si="1"/>
        <v>100</v>
      </c>
      <c r="V9" s="766" t="s">
        <v>17</v>
      </c>
      <c r="W9" s="767">
        <f t="shared" si="2"/>
        <v>100</v>
      </c>
      <c r="X9" s="768"/>
      <c r="Y9" s="3504"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677"/>
      <c r="Q10" s="1775" t="str">
        <f t="shared" si="6"/>
        <v>土地使用年限（年）</v>
      </c>
      <c r="R10" s="766" t="s">
        <v>17</v>
      </c>
      <c r="S10" s="767">
        <f t="shared" si="0"/>
        <v>124</v>
      </c>
      <c r="T10" s="766" t="s">
        <v>17</v>
      </c>
      <c r="U10" s="767">
        <f t="shared" si="1"/>
        <v>124</v>
      </c>
      <c r="V10" s="766" t="s">
        <v>17</v>
      </c>
      <c r="W10" s="767">
        <f t="shared" si="2"/>
        <v>124</v>
      </c>
      <c r="X10" s="768"/>
      <c r="Y10" s="3504"/>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77"/>
      <c r="Q11" s="1775" t="str">
        <f t="shared" si="6"/>
        <v>容积率</v>
      </c>
      <c r="R11" s="766" t="s">
        <v>17</v>
      </c>
      <c r="S11" s="767" t="e">
        <f t="shared" si="0"/>
        <v>#N/A</v>
      </c>
      <c r="T11" s="766" t="s">
        <v>17</v>
      </c>
      <c r="U11" s="767" t="e">
        <f t="shared" si="1"/>
        <v>#N/A</v>
      </c>
      <c r="V11" s="766" t="s">
        <v>17</v>
      </c>
      <c r="W11" s="767" t="e">
        <f t="shared" si="2"/>
        <v>#N/A</v>
      </c>
      <c r="X11" s="768"/>
      <c r="Y11" s="3504"/>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77"/>
      <c r="Q12" s="1775">
        <f t="shared" si="6"/>
        <v>111</v>
      </c>
      <c r="R12" s="766" t="s">
        <v>17</v>
      </c>
      <c r="S12" s="767">
        <f t="shared" si="0"/>
        <v>100</v>
      </c>
      <c r="T12" s="766" t="s">
        <v>17</v>
      </c>
      <c r="U12" s="767">
        <f t="shared" si="1"/>
        <v>100</v>
      </c>
      <c r="V12" s="766" t="s">
        <v>17</v>
      </c>
      <c r="W12" s="767">
        <f t="shared" si="2"/>
        <v>100</v>
      </c>
      <c r="X12" s="768"/>
      <c r="Y12" s="3504"/>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77"/>
      <c r="Q13" s="1775">
        <f t="shared" si="6"/>
        <v>111</v>
      </c>
      <c r="R13" s="766" t="s">
        <v>17</v>
      </c>
      <c r="S13" s="767">
        <f t="shared" si="0"/>
        <v>100</v>
      </c>
      <c r="T13" s="766" t="s">
        <v>17</v>
      </c>
      <c r="U13" s="767">
        <f t="shared" si="1"/>
        <v>100</v>
      </c>
      <c r="V13" s="766" t="s">
        <v>17</v>
      </c>
      <c r="W13" s="767">
        <f t="shared" si="2"/>
        <v>100</v>
      </c>
      <c r="X13" s="768"/>
      <c r="Y13" s="3504"/>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77"/>
      <c r="Q14" s="1775">
        <f t="shared" si="6"/>
        <v>111</v>
      </c>
      <c r="R14" s="766" t="s">
        <v>17</v>
      </c>
      <c r="S14" s="767">
        <f t="shared" si="0"/>
        <v>100</v>
      </c>
      <c r="T14" s="766" t="s">
        <v>17</v>
      </c>
      <c r="U14" s="767">
        <f t="shared" si="1"/>
        <v>100</v>
      </c>
      <c r="V14" s="766" t="s">
        <v>17</v>
      </c>
      <c r="W14" s="767">
        <f t="shared" si="2"/>
        <v>100</v>
      </c>
      <c r="X14" s="768"/>
      <c r="Y14" s="3504"/>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70" t="s">
        <v>2548</v>
      </c>
      <c r="Q15" s="1790" t="str">
        <f t="shared" si="6"/>
        <v>产业集聚程度</v>
      </c>
      <c r="R15" s="770" t="s">
        <v>17</v>
      </c>
      <c r="S15" s="771">
        <f t="shared" si="0"/>
        <v>100</v>
      </c>
      <c r="T15" s="770" t="s">
        <v>17</v>
      </c>
      <c r="U15" s="771">
        <f t="shared" si="1"/>
        <v>100</v>
      </c>
      <c r="V15" s="770" t="s">
        <v>17</v>
      </c>
      <c r="W15" s="771">
        <f t="shared" si="2"/>
        <v>100</v>
      </c>
      <c r="X15" s="1793"/>
      <c r="Y15" s="3670"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671"/>
      <c r="Q16" s="1790"/>
      <c r="R16" s="770"/>
      <c r="S16" s="771"/>
      <c r="T16" s="770"/>
      <c r="U16" s="771"/>
      <c r="V16" s="770"/>
      <c r="W16" s="771"/>
      <c r="X16" s="1793"/>
      <c r="Y16" s="3671"/>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71"/>
      <c r="Q17" s="1790" t="str">
        <f>B17</f>
        <v>交通便捷度</v>
      </c>
      <c r="R17" s="770" t="s">
        <v>17</v>
      </c>
      <c r="S17" s="771">
        <f>F17</f>
        <v>100</v>
      </c>
      <c r="T17" s="770" t="s">
        <v>17</v>
      </c>
      <c r="U17" s="771">
        <f>H17</f>
        <v>100</v>
      </c>
      <c r="V17" s="770" t="s">
        <v>17</v>
      </c>
      <c r="W17" s="771">
        <f>J17</f>
        <v>100</v>
      </c>
      <c r="X17" s="1793"/>
      <c r="Y17" s="3671"/>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671"/>
      <c r="Q18" s="1790"/>
      <c r="R18" s="770"/>
      <c r="S18" s="771"/>
      <c r="T18" s="770"/>
      <c r="U18" s="771"/>
      <c r="V18" s="770"/>
      <c r="W18" s="771"/>
      <c r="X18" s="1793"/>
      <c r="Y18" s="3671"/>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71"/>
      <c r="Q19" s="1790" t="str">
        <f t="shared" ref="Q19:Q33" si="8">B19</f>
        <v>区域土地利用方向</v>
      </c>
      <c r="R19" s="770" t="s">
        <v>17</v>
      </c>
      <c r="S19" s="771">
        <f>F19</f>
        <v>100</v>
      </c>
      <c r="T19" s="770" t="s">
        <v>17</v>
      </c>
      <c r="U19" s="771">
        <f>H19</f>
        <v>100</v>
      </c>
      <c r="V19" s="770" t="s">
        <v>17</v>
      </c>
      <c r="W19" s="771">
        <f>J19</f>
        <v>100</v>
      </c>
      <c r="X19" s="1793"/>
      <c r="Y19" s="3671"/>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671"/>
      <c r="Q20" s="1790"/>
      <c r="R20" s="770"/>
      <c r="S20" s="771"/>
      <c r="T20" s="770"/>
      <c r="U20" s="771"/>
      <c r="V20" s="770"/>
      <c r="W20" s="771"/>
      <c r="X20" s="1793"/>
      <c r="Y20" s="3671"/>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71"/>
      <c r="Q21" s="1790" t="str">
        <f t="shared" si="8"/>
        <v>环境状况</v>
      </c>
      <c r="R21" s="770" t="s">
        <v>17</v>
      </c>
      <c r="S21" s="771">
        <f>F21</f>
        <v>100</v>
      </c>
      <c r="T21" s="770" t="s">
        <v>17</v>
      </c>
      <c r="U21" s="771">
        <f>H21</f>
        <v>100</v>
      </c>
      <c r="V21" s="770" t="s">
        <v>17</v>
      </c>
      <c r="W21" s="771">
        <f>J21</f>
        <v>100</v>
      </c>
      <c r="X21" s="1793"/>
      <c r="Y21" s="3671"/>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671"/>
      <c r="Q22" s="1790"/>
      <c r="R22" s="770"/>
      <c r="S22" s="771"/>
      <c r="T22" s="770"/>
      <c r="U22" s="771"/>
      <c r="V22" s="770"/>
      <c r="W22" s="771"/>
      <c r="X22" s="1793"/>
      <c r="Y22" s="3671"/>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71"/>
      <c r="Q23" s="1775" t="str">
        <f t="shared" si="8"/>
        <v>公共配套设施</v>
      </c>
      <c r="R23" s="766" t="s">
        <v>17</v>
      </c>
      <c r="S23" s="767">
        <f>F23</f>
        <v>100</v>
      </c>
      <c r="T23" s="766" t="s">
        <v>17</v>
      </c>
      <c r="U23" s="767">
        <f>H23</f>
        <v>100</v>
      </c>
      <c r="V23" s="766" t="s">
        <v>17</v>
      </c>
      <c r="W23" s="767">
        <f>J23</f>
        <v>100</v>
      </c>
      <c r="X23" s="768"/>
      <c r="Y23" s="3671"/>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671"/>
      <c r="Q24" s="1775"/>
      <c r="R24" s="766"/>
      <c r="S24" s="767"/>
      <c r="T24" s="766"/>
      <c r="U24" s="767"/>
      <c r="V24" s="766"/>
      <c r="W24" s="767"/>
      <c r="X24" s="768"/>
      <c r="Y24" s="3671"/>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71"/>
      <c r="Q25" s="1775" t="str">
        <f t="shared" ref="Q25" si="9">B25</f>
        <v>基础设施水平</v>
      </c>
      <c r="R25" s="766" t="s">
        <v>17</v>
      </c>
      <c r="S25" s="767">
        <f>F25</f>
        <v>100</v>
      </c>
      <c r="T25" s="766" t="s">
        <v>17</v>
      </c>
      <c r="U25" s="767">
        <f>H25</f>
        <v>100</v>
      </c>
      <c r="V25" s="766" t="s">
        <v>17</v>
      </c>
      <c r="W25" s="767">
        <f>J25</f>
        <v>100</v>
      </c>
      <c r="X25" s="768"/>
      <c r="Y25" s="3671"/>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671"/>
      <c r="Q26" s="1775"/>
      <c r="R26" s="766"/>
      <c r="S26" s="767"/>
      <c r="T26" s="766"/>
      <c r="U26" s="767"/>
      <c r="V26" s="766"/>
      <c r="W26" s="767"/>
      <c r="X26" s="768"/>
      <c r="Y26" s="3671"/>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71"/>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71"/>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71"/>
      <c r="Q28" s="1790" t="str">
        <f t="shared" si="8"/>
        <v>毗邻道路的类型与等级</v>
      </c>
      <c r="R28" s="770" t="s">
        <v>17</v>
      </c>
      <c r="S28" s="771">
        <f t="shared" si="10"/>
        <v>100</v>
      </c>
      <c r="T28" s="770" t="s">
        <v>17</v>
      </c>
      <c r="U28" s="771">
        <f t="shared" si="11"/>
        <v>100</v>
      </c>
      <c r="V28" s="770" t="s">
        <v>17</v>
      </c>
      <c r="W28" s="771">
        <f t="shared" si="12"/>
        <v>100</v>
      </c>
      <c r="X28" s="1793"/>
      <c r="Y28" s="3671"/>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671"/>
      <c r="Q29" s="1790"/>
      <c r="R29" s="770"/>
      <c r="S29" s="771"/>
      <c r="T29" s="770"/>
      <c r="U29" s="771"/>
      <c r="V29" s="770"/>
      <c r="W29" s="771"/>
      <c r="X29" s="1793"/>
      <c r="Y29" s="3671"/>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71"/>
      <c r="Q30" s="1790" t="str">
        <f t="shared" si="8"/>
        <v>土地级别</v>
      </c>
      <c r="R30" s="770" t="s">
        <v>17</v>
      </c>
      <c r="S30" s="771">
        <f t="shared" si="10"/>
        <v>100</v>
      </c>
      <c r="T30" s="770" t="s">
        <v>17</v>
      </c>
      <c r="U30" s="771">
        <f t="shared" si="11"/>
        <v>100</v>
      </c>
      <c r="V30" s="770" t="s">
        <v>17</v>
      </c>
      <c r="W30" s="771">
        <f t="shared" si="12"/>
        <v>100</v>
      </c>
      <c r="X30" s="1793"/>
      <c r="Y30" s="3671"/>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71"/>
      <c r="Q31" s="1790">
        <f t="shared" si="8"/>
        <v>111</v>
      </c>
      <c r="R31" s="770" t="s">
        <v>17</v>
      </c>
      <c r="S31" s="771">
        <f t="shared" si="10"/>
        <v>100</v>
      </c>
      <c r="T31" s="770" t="s">
        <v>17</v>
      </c>
      <c r="U31" s="771">
        <f t="shared" si="11"/>
        <v>100</v>
      </c>
      <c r="V31" s="770" t="s">
        <v>17</v>
      </c>
      <c r="W31" s="771">
        <f t="shared" si="12"/>
        <v>100</v>
      </c>
      <c r="X31" s="1793"/>
      <c r="Y31" s="3671"/>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13" t="s">
        <v>2553</v>
      </c>
      <c r="Q32" s="1790">
        <f t="shared" si="8"/>
        <v>111</v>
      </c>
      <c r="R32" s="770" t="s">
        <v>17</v>
      </c>
      <c r="S32" s="771">
        <f t="shared" si="10"/>
        <v>100</v>
      </c>
      <c r="T32" s="770" t="s">
        <v>17</v>
      </c>
      <c r="U32" s="771">
        <f t="shared" si="11"/>
        <v>100</v>
      </c>
      <c r="V32" s="770" t="s">
        <v>17</v>
      </c>
      <c r="W32" s="771">
        <f t="shared" si="12"/>
        <v>100</v>
      </c>
      <c r="X32" s="1793"/>
      <c r="Y32" s="3675"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75"/>
      <c r="Q33" s="1790">
        <f t="shared" si="8"/>
        <v>111</v>
      </c>
      <c r="R33" s="773" t="s">
        <v>17</v>
      </c>
      <c r="S33" s="774">
        <f t="shared" si="10"/>
        <v>100</v>
      </c>
      <c r="T33" s="773" t="s">
        <v>17</v>
      </c>
      <c r="U33" s="774">
        <f t="shared" si="11"/>
        <v>100</v>
      </c>
      <c r="V33" s="773" t="s">
        <v>17</v>
      </c>
      <c r="W33" s="774">
        <f t="shared" si="12"/>
        <v>100</v>
      </c>
      <c r="X33" s="775"/>
      <c r="Y33" s="3675"/>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75"/>
      <c r="Q34" s="1790" t="str">
        <f>B34</f>
        <v>宗地面积</v>
      </c>
      <c r="R34" s="770" t="s">
        <v>17</v>
      </c>
      <c r="S34" s="771" t="e">
        <f t="shared" si="10"/>
        <v>#N/A</v>
      </c>
      <c r="T34" s="770" t="s">
        <v>17</v>
      </c>
      <c r="U34" s="771" t="e">
        <f t="shared" si="11"/>
        <v>#N/A</v>
      </c>
      <c r="V34" s="770" t="s">
        <v>17</v>
      </c>
      <c r="W34" s="771" t="e">
        <f t="shared" si="12"/>
        <v>#N/A</v>
      </c>
      <c r="X34" s="1793"/>
      <c r="Y34" s="3675"/>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675"/>
      <c r="Q35" s="1790" t="str">
        <f t="shared" ref="Q35:Q40" si="14">B35</f>
        <v>宗地形状</v>
      </c>
      <c r="R35" s="770" t="s">
        <v>17</v>
      </c>
      <c r="S35" s="771">
        <f t="shared" si="10"/>
        <v>100</v>
      </c>
      <c r="T35" s="770" t="s">
        <v>17</v>
      </c>
      <c r="U35" s="771">
        <f t="shared" si="11"/>
        <v>100</v>
      </c>
      <c r="V35" s="770" t="s">
        <v>17</v>
      </c>
      <c r="W35" s="771">
        <f t="shared" si="12"/>
        <v>100</v>
      </c>
      <c r="X35" s="1793"/>
      <c r="Y35" s="3675"/>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675"/>
      <c r="Q36" s="1790" t="str">
        <f t="shared" si="14"/>
        <v>宗地开发程度</v>
      </c>
      <c r="R36" s="766" t="s">
        <v>17</v>
      </c>
      <c r="S36" s="767">
        <f t="shared" si="10"/>
        <v>100</v>
      </c>
      <c r="T36" s="766" t="s">
        <v>17</v>
      </c>
      <c r="U36" s="767">
        <f t="shared" si="11"/>
        <v>100</v>
      </c>
      <c r="V36" s="766" t="s">
        <v>17</v>
      </c>
      <c r="W36" s="767">
        <f t="shared" si="12"/>
        <v>100</v>
      </c>
      <c r="X36" s="768"/>
      <c r="Y36" s="3675"/>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675" t="s">
        <v>2553</v>
      </c>
      <c r="Q37" s="1790" t="str">
        <f t="shared" si="14"/>
        <v>工程地质条件</v>
      </c>
      <c r="R37" s="770" t="s">
        <v>17</v>
      </c>
      <c r="S37" s="771">
        <f t="shared" si="10"/>
        <v>100</v>
      </c>
      <c r="T37" s="770" t="s">
        <v>17</v>
      </c>
      <c r="U37" s="771">
        <f t="shared" si="11"/>
        <v>100</v>
      </c>
      <c r="V37" s="770" t="s">
        <v>17</v>
      </c>
      <c r="W37" s="771">
        <f t="shared" si="12"/>
        <v>100</v>
      </c>
      <c r="X37" s="1793"/>
      <c r="Y37" s="3675"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75"/>
      <c r="Q38" s="1790">
        <f t="shared" si="14"/>
        <v>111</v>
      </c>
      <c r="R38" s="770" t="s">
        <v>17</v>
      </c>
      <c r="S38" s="771">
        <f t="shared" si="10"/>
        <v>100</v>
      </c>
      <c r="T38" s="770" t="s">
        <v>17</v>
      </c>
      <c r="U38" s="771">
        <f t="shared" si="11"/>
        <v>100</v>
      </c>
      <c r="V38" s="770" t="s">
        <v>17</v>
      </c>
      <c r="W38" s="771">
        <f t="shared" si="12"/>
        <v>100</v>
      </c>
      <c r="X38" s="1793"/>
      <c r="Y38" s="3675"/>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75"/>
      <c r="Q39" s="1790">
        <f t="shared" si="14"/>
        <v>111</v>
      </c>
      <c r="R39" s="770" t="s">
        <v>17</v>
      </c>
      <c r="S39" s="771">
        <f t="shared" si="10"/>
        <v>100</v>
      </c>
      <c r="T39" s="770" t="s">
        <v>17</v>
      </c>
      <c r="U39" s="771">
        <f t="shared" si="11"/>
        <v>100</v>
      </c>
      <c r="V39" s="770" t="s">
        <v>17</v>
      </c>
      <c r="W39" s="771">
        <f t="shared" si="12"/>
        <v>100</v>
      </c>
      <c r="X39" s="1793"/>
      <c r="Y39" s="3675"/>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75"/>
      <c r="Q40" s="1790">
        <f t="shared" si="14"/>
        <v>111</v>
      </c>
      <c r="R40" s="773" t="s">
        <v>17</v>
      </c>
      <c r="S40" s="774">
        <f t="shared" si="10"/>
        <v>100</v>
      </c>
      <c r="T40" s="773" t="s">
        <v>17</v>
      </c>
      <c r="U40" s="774">
        <f t="shared" si="11"/>
        <v>100</v>
      </c>
      <c r="V40" s="773" t="s">
        <v>17</v>
      </c>
      <c r="W40" s="774">
        <f t="shared" si="12"/>
        <v>100</v>
      </c>
      <c r="X40" s="775"/>
      <c r="Y40" s="3675"/>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677" t="str">
        <f>A41</f>
        <v>成交单价</v>
      </c>
      <c r="Q41" s="3677"/>
      <c r="R41" s="3639">
        <f>E41</f>
        <v>0</v>
      </c>
      <c r="S41" s="3639"/>
      <c r="T41" s="3639">
        <f>G41</f>
        <v>0</v>
      </c>
      <c r="U41" s="3639"/>
      <c r="V41" s="3639">
        <f>I41</f>
        <v>0</v>
      </c>
      <c r="W41" s="3639"/>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77" t="str">
        <f>A42</f>
        <v>比较价值（元/平方米）</v>
      </c>
      <c r="Q42" s="3677"/>
      <c r="R42" s="3717" t="e">
        <f>ROUND(PRODUCT(R41,AA7:AA40),0)</f>
        <v>#DIV/0!</v>
      </c>
      <c r="S42" s="3717"/>
      <c r="T42" s="3717" t="e">
        <f>ROUND(PRODUCT(T41,AB7:AB40),0)</f>
        <v>#DIV/0!</v>
      </c>
      <c r="U42" s="3717"/>
      <c r="V42" s="3717" t="e">
        <f>ROUND(PRODUCT(V41,AC7:AC40),0)</f>
        <v>#DIV/0!</v>
      </c>
      <c r="W42" s="3717"/>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79" t="str">
        <f>A43</f>
        <v>估价对象XX用房的比较价值（楼面单价，元/平方米）</v>
      </c>
      <c r="Q43" s="3680"/>
      <c r="R43" s="3716" t="e">
        <f>ROUND(AVERAGE(R42:V42),0)</f>
        <v>#DIV/0!</v>
      </c>
      <c r="S43" s="3716"/>
      <c r="T43" s="3716"/>
      <c r="U43" s="3716"/>
      <c r="V43" s="3716"/>
      <c r="W43" s="3716"/>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55" t="s">
        <v>2746</v>
      </c>
      <c r="H50" s="3718"/>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32726.840000000004</v>
      </c>
      <c r="F51" s="689" t="e">
        <f t="shared" ref="F51:F60" si="15">ROUND(B51*E51/10000,0)</f>
        <v>#DIV/0!</v>
      </c>
      <c r="G51" s="3654"/>
      <c r="H51" s="3677"/>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19"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19"/>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19"/>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19"/>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13156.989999999996</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10980.19</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2020-6-1</v>
      </c>
      <c r="D63" s="757">
        <f>EDATE(C63,-3)</f>
        <v>43891</v>
      </c>
      <c r="E63" s="757">
        <f>EDATE(D63,-3)</f>
        <v>43800</v>
      </c>
      <c r="F63" s="757">
        <f t="shared" ref="F63:O63" si="18">EDATE(E63,-3)</f>
        <v>43709</v>
      </c>
      <c r="G63" s="757">
        <f t="shared" si="18"/>
        <v>43617</v>
      </c>
      <c r="H63" s="757">
        <f t="shared" si="18"/>
        <v>43525</v>
      </c>
      <c r="I63" s="757">
        <f t="shared" si="18"/>
        <v>43435</v>
      </c>
      <c r="J63" s="757">
        <f t="shared" si="18"/>
        <v>43344</v>
      </c>
      <c r="K63" s="757">
        <f t="shared" si="18"/>
        <v>43252</v>
      </c>
      <c r="L63" s="757">
        <f t="shared" si="18"/>
        <v>43160</v>
      </c>
      <c r="M63" s="757">
        <f t="shared" si="18"/>
        <v>43070</v>
      </c>
      <c r="N63" s="757">
        <f t="shared" si="18"/>
        <v>42979</v>
      </c>
      <c r="O63" s="757">
        <f t="shared" si="18"/>
        <v>42887</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2020-2</v>
      </c>
      <c r="D65" s="1552" t="str">
        <f t="shared" ref="D65:O65" si="19">YEAR(D63)&amp;"-"&amp;ROUNDUP(MONTH(D63)/3,0)</f>
        <v>2020-1</v>
      </c>
      <c r="E65" s="1552" t="str">
        <f t="shared" si="19"/>
        <v>2019-4</v>
      </c>
      <c r="F65" s="1552" t="str">
        <f t="shared" si="19"/>
        <v>2019-3</v>
      </c>
      <c r="G65" s="1552" t="str">
        <f t="shared" si="19"/>
        <v>2019-2</v>
      </c>
      <c r="H65" s="1552" t="str">
        <f t="shared" si="19"/>
        <v>2019-1</v>
      </c>
      <c r="I65" s="1552" t="str">
        <f t="shared" si="19"/>
        <v>2018-4</v>
      </c>
      <c r="J65" s="1552" t="str">
        <f t="shared" si="19"/>
        <v>2018-3</v>
      </c>
      <c r="K65" s="1552" t="str">
        <f t="shared" si="19"/>
        <v>2018-2</v>
      </c>
      <c r="L65" s="1552" t="str">
        <f t="shared" si="19"/>
        <v>2018-1</v>
      </c>
      <c r="M65" s="1552" t="str">
        <f t="shared" si="19"/>
        <v>2017-4</v>
      </c>
      <c r="N65" s="1552" t="str">
        <f t="shared" si="19"/>
        <v>2017-3</v>
      </c>
      <c r="O65" s="1552" t="str">
        <f t="shared" si="19"/>
        <v>2017-2</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2" priority="14" stopIfTrue="1" operator="containsText" text="超过">
      <formula>NOT(ISERROR(SEARCH("超过",F46)))</formula>
    </cfRule>
  </conditionalFormatting>
  <conditionalFormatting sqref="J48">
    <cfRule type="containsText" dxfId="51" priority="13" stopIfTrue="1" operator="containsText" text="超过">
      <formula>NOT(ISERROR(SEARCH("超过",J48)))</formula>
    </cfRule>
  </conditionalFormatting>
  <conditionalFormatting sqref="H48">
    <cfRule type="containsText" dxfId="50" priority="12" stopIfTrue="1" operator="containsText" text="超过">
      <formula>NOT(ISERROR(SEARCH("超过",H48)))</formula>
    </cfRule>
  </conditionalFormatting>
  <conditionalFormatting sqref="F48">
    <cfRule type="containsText" dxfId="49" priority="11" stopIfTrue="1" operator="containsText" text="超过">
      <formula>NOT(ISERROR(SEARCH("超过",F48)))</formula>
    </cfRule>
  </conditionalFormatting>
  <conditionalFormatting sqref="F47 H47 J47">
    <cfRule type="containsText" dxfId="48" priority="10" stopIfTrue="1" operator="containsText" text="超过">
      <formula>NOT(ISERROR(SEARCH("超过",F47)))</formula>
    </cfRule>
  </conditionalFormatting>
  <conditionalFormatting sqref="E46">
    <cfRule type="expression" dxfId="47" priority="9" stopIfTrue="1">
      <formula>$F$46="超过30%"</formula>
    </cfRule>
  </conditionalFormatting>
  <conditionalFormatting sqref="G48">
    <cfRule type="expression" dxfId="46" priority="8" stopIfTrue="1">
      <formula>$H$48="超过30%"</formula>
    </cfRule>
  </conditionalFormatting>
  <conditionalFormatting sqref="E48">
    <cfRule type="expression" dxfId="45" priority="6" stopIfTrue="1">
      <formula>$F$48="超过30%"</formula>
    </cfRule>
  </conditionalFormatting>
  <conditionalFormatting sqref="G46">
    <cfRule type="expression" dxfId="44" priority="5" stopIfTrue="1">
      <formula>$H$46="超过30%"</formula>
    </cfRule>
  </conditionalFormatting>
  <conditionalFormatting sqref="G47">
    <cfRule type="expression" dxfId="43" priority="4" stopIfTrue="1">
      <formula>$H$47="超过20%"</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conditionalFormatting sqref="E47">
    <cfRule type="expression" dxfId="3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32.81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6776</v>
      </c>
      <c r="C2" s="1825" t="s">
        <v>1504</v>
      </c>
      <c r="D2" s="1825"/>
      <c r="E2" s="1826"/>
      <c r="F2" s="1827"/>
      <c r="G2" s="1828"/>
      <c r="H2" s="1820"/>
      <c r="I2" s="1820"/>
      <c r="J2" s="1820"/>
      <c r="K2" s="1821"/>
      <c r="L2" s="1820"/>
      <c r="M2" s="1820"/>
    </row>
    <row r="3" spans="1:37" ht="18" customHeight="1" thickBot="1">
      <c r="A3" s="1829" t="s">
        <v>1505</v>
      </c>
      <c r="B3" s="1830">
        <f ca="1">IF(ISERROR(B2*10000/F43),0,ROUND(B2*10000/F43,0))</f>
        <v>5150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435</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435</v>
      </c>
      <c r="D6" s="164" t="s">
        <v>3004</v>
      </c>
      <c r="E6" s="347" t="s">
        <v>1393</v>
      </c>
      <c r="F6" s="348">
        <f ca="1">INDIRECT("'数据-取费表'!u"&amp;$G$1)</f>
        <v>1</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3015" t="s">
        <v>1394</v>
      </c>
      <c r="F7" s="348">
        <f ca="1">IF(INDIRECT("'数据-取费表'!ah"&amp;$G$1)="",INDIRECT("'数据-取费表'!k"&amp;$G$1),INDIRECT("'数据-取费表'!ah"&amp;$G$1))</f>
        <v>13156.989999999996</v>
      </c>
      <c r="G7" s="1831"/>
      <c r="H7" s="349"/>
      <c r="I7" s="3687"/>
      <c r="J7" s="351"/>
      <c r="K7" s="352"/>
      <c r="L7" s="347" t="s">
        <v>1394</v>
      </c>
      <c r="M7" s="348">
        <f ca="1">F7</f>
        <v>13156.989999999996</v>
      </c>
    </row>
    <row r="8" spans="1:37" ht="18" customHeight="1">
      <c r="A8" s="349"/>
      <c r="B8" s="3687"/>
      <c r="C8" s="351"/>
      <c r="D8" s="352"/>
      <c r="E8" s="347" t="s">
        <v>1395</v>
      </c>
      <c r="F8" s="348">
        <f ca="1">INDIRECT("'数据-取费表'!ai"&amp;$G$1)</f>
        <v>367</v>
      </c>
      <c r="G8" s="1831"/>
      <c r="H8" s="349"/>
      <c r="I8" s="3687"/>
      <c r="J8" s="351"/>
      <c r="K8" s="352"/>
      <c r="L8" s="347" t="s">
        <v>1395</v>
      </c>
      <c r="M8" s="348">
        <f ca="1">INDIRECT("'数据-取费表'!ai"&amp;$G$1)</f>
        <v>367</v>
      </c>
    </row>
    <row r="9" spans="1:37" ht="18" customHeight="1">
      <c r="A9" s="349"/>
      <c r="B9" s="3688"/>
      <c r="C9" s="351"/>
      <c r="D9" s="352"/>
      <c r="E9" s="347" t="s">
        <v>1396</v>
      </c>
      <c r="F9" s="357">
        <f ca="1">INDIRECT("'数据-取费表'!w"&amp;$G$1)</f>
        <v>0.1</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3667</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4926</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4605</v>
      </c>
      <c r="D14" s="3024" t="s">
        <v>1406</v>
      </c>
      <c r="E14" s="3023"/>
      <c r="F14" s="364"/>
      <c r="G14" s="1831"/>
      <c r="H14" s="1183" t="s">
        <v>1032</v>
      </c>
      <c r="I14" s="347" t="s">
        <v>1407</v>
      </c>
      <c r="J14" s="24">
        <f ca="1">C29</f>
        <v>6158</v>
      </c>
      <c r="K14" s="3014"/>
      <c r="L14" s="969"/>
      <c r="M14" s="970"/>
    </row>
    <row r="15" spans="1:37" s="1838" customFormat="1" ht="18" customHeight="1" thickBot="1">
      <c r="A15" s="1183" t="s">
        <v>1033</v>
      </c>
      <c r="B15" s="347" t="s">
        <v>1408</v>
      </c>
      <c r="C15" s="24">
        <f ca="1">ROUND(C14*F15,0)</f>
        <v>138</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32</v>
      </c>
      <c r="K16" s="1319" t="s">
        <v>1413</v>
      </c>
      <c r="L16" s="3027"/>
      <c r="M16" s="1276"/>
    </row>
    <row r="17" spans="1:37" s="1838" customFormat="1" ht="18" customHeight="1">
      <c r="A17" s="1183" t="s">
        <v>1378</v>
      </c>
      <c r="B17" s="347" t="s">
        <v>1414</v>
      </c>
      <c r="C17" s="24">
        <f ca="1">ROUND(F17*(F43+INDIRECT("'数据-取费表'!S"&amp;$G$1))/10000,0)</f>
        <v>274</v>
      </c>
      <c r="D17" s="347" t="s">
        <v>1415</v>
      </c>
      <c r="E17" s="347" t="s">
        <v>1416</v>
      </c>
      <c r="F17" s="26">
        <f>'数据-取费表'!B35</f>
        <v>200</v>
      </c>
      <c r="G17" s="1834"/>
      <c r="H17" s="1183" t="s">
        <v>1032</v>
      </c>
      <c r="I17" s="347" t="s">
        <v>1417</v>
      </c>
      <c r="J17" s="24">
        <f ca="1">ROUND(IF(项目基本情况!B11="自然人",J6*M17/(1+'数据-取费表'!C42),J18+J19+J20),1)</f>
        <v>0.9</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69</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5086</v>
      </c>
      <c r="D19" s="140" t="s">
        <v>1424</v>
      </c>
      <c r="E19" s="3012"/>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102</v>
      </c>
      <c r="D20" s="369" t="s">
        <v>1428</v>
      </c>
      <c r="E20" s="347" t="s">
        <v>1410</v>
      </c>
      <c r="F20" s="367">
        <f>'数据-取费表'!B37</f>
        <v>0.02</v>
      </c>
      <c r="G20" s="1834"/>
      <c r="H20" s="1183" t="s">
        <v>1377</v>
      </c>
      <c r="I20" s="164" t="s">
        <v>1429</v>
      </c>
      <c r="J20" s="25">
        <f ca="1">ROUND(M20*M21/10000,2)</f>
        <v>0.94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3148.52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30.8</v>
      </c>
      <c r="K22" s="3026" t="s">
        <v>1438</v>
      </c>
      <c r="L22" s="347" t="s">
        <v>1410</v>
      </c>
      <c r="M22" s="374">
        <f ca="1">INDIRECT("'数据-取费表'!Ak"&amp;$G$1)</f>
        <v>5.0000000000000001E-3</v>
      </c>
    </row>
    <row r="23" spans="1:37" s="1838" customFormat="1" ht="18" customHeight="1">
      <c r="A23" s="1183" t="s">
        <v>1031</v>
      </c>
      <c r="B23" s="347" t="s">
        <v>1439</v>
      </c>
      <c r="C23" s="24">
        <f ca="1">IF('数据-取费表'!B22&lt;=1,ROUND(C19*F24*F23/2,0)+ROUND(C20*F24*F23/2,0),ROUND(C19*(POWER((1+F24),F23/2)-1),0)+ROUND(C20*(POWER((1+F24),F23/2)-1),0))</f>
        <v>247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-32</v>
      </c>
      <c r="K25" s="1327" t="s">
        <v>1452</v>
      </c>
      <c r="L25" s="1328"/>
      <c r="M25" s="1329"/>
    </row>
    <row r="26" spans="1:37">
      <c r="A26" s="1183" t="s">
        <v>1031</v>
      </c>
      <c r="B26" s="347" t="s">
        <v>1453</v>
      </c>
      <c r="C26" s="24">
        <f ca="1">ROUND((C19+C20)*F26,0)</f>
        <v>259</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6158</v>
      </c>
      <c r="D29" s="1324"/>
      <c r="E29" s="1322"/>
      <c r="F29" s="1325"/>
      <c r="G29" s="1834"/>
      <c r="H29" s="380" t="s">
        <v>1030</v>
      </c>
      <c r="I29" s="381" t="s">
        <v>1467</v>
      </c>
      <c r="J29" s="382">
        <f ca="1">ROUND(J26/(1+F40)^F41,0)</f>
        <v>0</v>
      </c>
      <c r="K29" s="383" t="s">
        <v>1468</v>
      </c>
      <c r="L29" s="384"/>
      <c r="M29" s="385">
        <f ca="1">INDIRECT("'数据-取费表'!k"&amp;$G$1)</f>
        <v>13156.989999999996</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125</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73.900000000000006</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23.2</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49.71</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0.94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3148.52</v>
      </c>
      <c r="G35" s="1831"/>
      <c r="H35" s="741"/>
      <c r="I35" s="1840"/>
      <c r="J35" s="1841"/>
      <c r="K35" s="1842"/>
      <c r="L35" s="1839"/>
      <c r="M35" s="1839"/>
    </row>
    <row r="36" spans="1:18" ht="18" customHeight="1">
      <c r="A36" s="1334" t="s">
        <v>1036</v>
      </c>
      <c r="B36" s="347" t="s">
        <v>1437</v>
      </c>
      <c r="C36" s="24">
        <f ca="1">ROUND(C29*F36,1)</f>
        <v>30.8</v>
      </c>
      <c r="D36" s="3026" t="s">
        <v>1470</v>
      </c>
      <c r="E36" s="347" t="s">
        <v>1410</v>
      </c>
      <c r="F36" s="374">
        <f ca="1">INDIRECT("'数据-取费表'!Ak"&amp;$G$1)</f>
        <v>5.0000000000000001E-3</v>
      </c>
      <c r="G36" s="1831"/>
      <c r="H36" s="1839"/>
      <c r="I36" s="1840"/>
      <c r="J36" s="1841"/>
      <c r="K36" s="747"/>
      <c r="L36" s="1839"/>
      <c r="M36" s="1839"/>
    </row>
    <row r="37" spans="1:18" ht="18" customHeight="1">
      <c r="A37" s="1183" t="s">
        <v>1072</v>
      </c>
      <c r="B37" s="347" t="s">
        <v>1441</v>
      </c>
      <c r="C37" s="24">
        <f ca="1">ROUND(C13*F37,1)</f>
        <v>7.4</v>
      </c>
      <c r="D37" s="3026"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13.1</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310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6776</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32.81</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5150</v>
      </c>
      <c r="D43" s="383" t="s">
        <v>1476</v>
      </c>
      <c r="E43" s="384" t="s">
        <v>1477</v>
      </c>
      <c r="F43" s="385">
        <f ca="1">INDIRECT("'数据-取费表'!k"&amp;$G$1)</f>
        <v>13156.989999999996</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-15653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50</v>
      </c>
      <c r="M47" s="1818" t="str">
        <f>IF(ISNUMBER(FIND("住宅",C1)),"住宅","非住宅")</f>
        <v>非住宅</v>
      </c>
      <c r="O47" s="1864" t="s">
        <v>1037</v>
      </c>
      <c r="P47" s="1865" t="s">
        <v>1516</v>
      </c>
      <c r="Q47" s="1866">
        <f ca="1">C40+J29</f>
        <v>6776</v>
      </c>
      <c r="R47" s="1866" t="s">
        <v>1517</v>
      </c>
    </row>
    <row r="48" spans="1:18" s="1822" customFormat="1" ht="28.5" thickBot="1">
      <c r="A48" s="1342" t="s">
        <v>1125</v>
      </c>
      <c r="B48" s="345" t="s">
        <v>1389</v>
      </c>
      <c r="C48" s="3011">
        <f ca="1">C49+C53+C55</f>
        <v>0</v>
      </c>
      <c r="D48" s="1344"/>
      <c r="E48" s="1345"/>
      <c r="F48" s="1163"/>
      <c r="G48" s="787"/>
      <c r="H48" s="788"/>
      <c r="I48" s="1867" t="s">
        <v>1518</v>
      </c>
      <c r="J48" s="1868" t="s">
        <v>3044</v>
      </c>
      <c r="K48" s="1869" t="s">
        <v>1519</v>
      </c>
      <c r="L48" s="1870">
        <f ca="1">INDIRECT("'数据-取费表'!f"&amp;$G$1)</f>
        <v>32.81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6158</v>
      </c>
      <c r="R49" s="1866" t="s">
        <v>1517</v>
      </c>
    </row>
    <row r="50" spans="1:18" s="1822" customFormat="1" ht="13.5" thickBot="1">
      <c r="A50" s="1177"/>
      <c r="B50" s="1180"/>
      <c r="C50" s="1350"/>
      <c r="D50" s="1154"/>
      <c r="E50" s="1259" t="s">
        <v>1394</v>
      </c>
      <c r="F50" s="1260">
        <f ca="1">F7</f>
        <v>13156.989999999996</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367</v>
      </c>
      <c r="I51" s="1878" t="s">
        <v>1528</v>
      </c>
      <c r="J51" s="1879">
        <f>IF(J49="",J50,J49+J50-YEAR('数据-取费表'!B2))</f>
        <v>37</v>
      </c>
      <c r="K51" s="1880" t="s">
        <v>1529</v>
      </c>
      <c r="L51" s="1881">
        <f ca="1">ROUND(-PV(INDIRECT("'数据-取费表'!h"&amp;$G$1),L48,(C39-C13*C76),0),0)</f>
        <v>-1846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32.81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32.81</v>
      </c>
      <c r="K53" s="3689" t="s">
        <v>1536</v>
      </c>
      <c r="L53" s="3690"/>
      <c r="O53" s="1864" t="s">
        <v>1043</v>
      </c>
      <c r="P53" s="1865" t="s">
        <v>1537</v>
      </c>
      <c r="Q53" s="1866">
        <f ca="1">Q47+Q48</f>
        <v>6776</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4926</v>
      </c>
      <c r="D56" s="1893"/>
      <c r="E56" s="1894"/>
      <c r="F56" s="1886"/>
      <c r="I56" s="1895" t="s">
        <v>1542</v>
      </c>
      <c r="J56" s="1896" t="s">
        <v>3042</v>
      </c>
      <c r="K56" s="1867" t="s">
        <v>1543</v>
      </c>
      <c r="L56" s="1870" t="str">
        <f ca="1">IF(L48&lt;J51,"——",L48-J53)</f>
        <v>——</v>
      </c>
      <c r="O56" s="1864" t="s">
        <v>1037</v>
      </c>
      <c r="P56" s="1865" t="s">
        <v>1516</v>
      </c>
      <c r="Q56" s="1866">
        <f ca="1">C40+J29</f>
        <v>6776</v>
      </c>
      <c r="R56" s="1866" t="s">
        <v>1517</v>
      </c>
    </row>
    <row r="57" spans="1:18" s="1822" customFormat="1" ht="24.75" thickBot="1">
      <c r="A57" s="1897"/>
      <c r="B57" s="1151" t="s">
        <v>1466</v>
      </c>
      <c r="C57" s="282">
        <f ca="1">C29</f>
        <v>6158</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556</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518.20000000000005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517.27</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0.94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6776</v>
      </c>
      <c r="R62" s="1866" t="s">
        <v>1044</v>
      </c>
    </row>
    <row r="63" spans="1:18" s="1822" customFormat="1" ht="13.5" thickBot="1">
      <c r="A63" s="372"/>
      <c r="B63" s="1157"/>
      <c r="C63" s="29"/>
      <c r="D63" s="1167"/>
      <c r="E63" s="1151" t="s">
        <v>1435</v>
      </c>
      <c r="F63" s="348">
        <f t="shared" ca="1" si="0"/>
        <v>3148.52</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30.8</v>
      </c>
      <c r="D64" s="1165" t="s">
        <v>1470</v>
      </c>
      <c r="E64" s="1151" t="s">
        <v>1410</v>
      </c>
      <c r="F64" s="374">
        <f t="shared" ca="1" si="0"/>
        <v>5.0000000000000001E-3</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7.4</v>
      </c>
      <c r="D65" s="1165" t="s">
        <v>1442</v>
      </c>
      <c r="E65" s="1151" t="s">
        <v>1410</v>
      </c>
      <c r="F65" s="376">
        <f t="shared" ca="1" si="0"/>
        <v>1.5E-3</v>
      </c>
      <c r="I65" s="1908" t="s">
        <v>1567</v>
      </c>
      <c r="J65" s="1909">
        <v>40</v>
      </c>
      <c r="K65" s="1909">
        <v>30</v>
      </c>
      <c r="L65" s="1909">
        <v>50</v>
      </c>
      <c r="M65" s="1911">
        <v>0.02</v>
      </c>
      <c r="O65" s="1864" t="s">
        <v>1037</v>
      </c>
      <c r="P65" s="1865" t="s">
        <v>1516</v>
      </c>
      <c r="Q65" s="1866">
        <f ca="1">C40+J29</f>
        <v>6776</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-556</v>
      </c>
      <c r="D67" s="1164" t="s">
        <v>1452</v>
      </c>
      <c r="E67" s="1169"/>
      <c r="F67" s="1170"/>
      <c r="O67" s="1874" t="s">
        <v>1039</v>
      </c>
      <c r="P67" s="1865" t="s">
        <v>1550</v>
      </c>
      <c r="Q67" s="1912">
        <f ca="1">L51</f>
        <v>-1846</v>
      </c>
      <c r="R67" s="1866" t="s">
        <v>1570</v>
      </c>
    </row>
    <row r="68" spans="1:18" s="1822" customFormat="1" ht="16.5" thickBot="1">
      <c r="A68" s="1148" t="s">
        <v>1029</v>
      </c>
      <c r="B68" s="1149" t="s">
        <v>1473</v>
      </c>
      <c r="C68" s="346">
        <f ca="1">ROUND(C67*(1-((1+F70)/(1+F68))^F69)/(F68-F70),0)</f>
        <v>-8877</v>
      </c>
      <c r="D68" s="1166" t="s">
        <v>1457</v>
      </c>
      <c r="E68" s="1151" t="s">
        <v>1458</v>
      </c>
      <c r="F68" s="357">
        <f ca="1">F40</f>
        <v>0.05</v>
      </c>
      <c r="O68" s="1874" t="s">
        <v>1040</v>
      </c>
      <c r="P68" s="1913" t="s">
        <v>1571</v>
      </c>
      <c r="Q68" s="1866">
        <f ca="1">ROUND(Q69-Q70*Q71,0)</f>
        <v>-109</v>
      </c>
      <c r="R68" s="1866" t="s">
        <v>1048</v>
      </c>
    </row>
    <row r="69" spans="1:18" s="1822" customFormat="1" ht="13.5" thickBot="1">
      <c r="A69" s="1152"/>
      <c r="B69" s="1153"/>
      <c r="C69" s="351"/>
      <c r="D69" s="1171" t="s">
        <v>1461</v>
      </c>
      <c r="E69" s="1151" t="s">
        <v>1462</v>
      </c>
      <c r="F69" s="379">
        <f ca="1">F41</f>
        <v>32.81</v>
      </c>
      <c r="O69" s="1874" t="s">
        <v>1045</v>
      </c>
      <c r="P69" s="1913" t="s">
        <v>1572</v>
      </c>
      <c r="Q69" s="1866">
        <f ca="1">C39</f>
        <v>310</v>
      </c>
      <c r="R69" s="1866" t="s">
        <v>1517</v>
      </c>
    </row>
    <row r="70" spans="1:18" s="1822" customFormat="1" ht="13.5" thickBot="1">
      <c r="A70" s="1155"/>
      <c r="B70" s="1156"/>
      <c r="C70" s="355"/>
      <c r="D70" s="1167"/>
      <c r="E70" s="1151" t="s">
        <v>1465</v>
      </c>
      <c r="F70" s="1257"/>
      <c r="O70" s="1874" t="s">
        <v>1046</v>
      </c>
      <c r="P70" s="1913" t="s">
        <v>1573</v>
      </c>
      <c r="Q70" s="1866">
        <f ca="1">C13</f>
        <v>4926</v>
      </c>
      <c r="R70" s="1866" t="s">
        <v>1517</v>
      </c>
    </row>
    <row r="71" spans="1:18" s="1822" customFormat="1" ht="13.5" thickBot="1">
      <c r="A71" s="1172" t="s">
        <v>1030</v>
      </c>
      <c r="B71" s="1173" t="s">
        <v>1475</v>
      </c>
      <c r="C71" s="382">
        <f ca="1">ROUND(C68*10000/F71,0)</f>
        <v>-6747</v>
      </c>
      <c r="D71" s="1174" t="s">
        <v>1476</v>
      </c>
      <c r="E71" s="1175" t="s">
        <v>1477</v>
      </c>
      <c r="F71" s="385">
        <f ca="1">F43</f>
        <v>13156.989999999996</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419</v>
      </c>
      <c r="D75" s="1822"/>
      <c r="E75" s="1822"/>
      <c r="F75" s="1822"/>
      <c r="K75" s="1848"/>
      <c r="L75" s="1822"/>
      <c r="O75" s="1864" t="s">
        <v>1043</v>
      </c>
      <c r="P75" s="1865" t="s">
        <v>1537</v>
      </c>
      <c r="Q75" s="1866">
        <f ca="1">Q65+Q66</f>
        <v>6776</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-0.35200000000000009</v>
      </c>
    </row>
    <row r="80" spans="1:18">
      <c r="B80" s="386" t="s">
        <v>1499</v>
      </c>
      <c r="C80" s="318">
        <f ca="1">ROUND(C75/C39,3)</f>
        <v>1.3520000000000001</v>
      </c>
    </row>
    <row r="81" spans="2:3">
      <c r="B81" s="314" t="s">
        <v>1500</v>
      </c>
      <c r="C81" s="282"/>
    </row>
    <row r="82" spans="2:3">
      <c r="B82" s="317" t="s">
        <v>1501</v>
      </c>
      <c r="C82" s="319">
        <f ca="1">1-C83</f>
        <v>0.27300000000000002</v>
      </c>
    </row>
    <row r="83" spans="2:3">
      <c r="B83" s="317" t="s">
        <v>1502</v>
      </c>
      <c r="C83" s="318">
        <f ca="1">ROUND(C13/C40,3)</f>
        <v>0.72699999999999998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K23" sqref="K23"/>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3636</v>
      </c>
      <c r="D1" s="2389"/>
      <c r="E1" s="2389"/>
      <c r="F1" s="2391" t="s">
        <v>2106</v>
      </c>
      <c r="G1" s="2045" t="s">
        <v>3050</v>
      </c>
      <c r="H1" s="2392" t="str">
        <f>IF(G1="现房","——","估价对象范围")</f>
        <v>——</v>
      </c>
      <c r="I1" s="2393"/>
    </row>
    <row r="2" spans="1:12" ht="21.75" customHeight="1" thickBot="1">
      <c r="A2" s="3612" t="str">
        <f>项目基本情况!S2</f>
        <v>北京市朝阳区广顺北大街16号院1、2、3号楼房地产</v>
      </c>
      <c r="B2" s="3613"/>
      <c r="C2" s="3613"/>
      <c r="D2" s="3613"/>
      <c r="E2" s="3613"/>
      <c r="F2" s="3613"/>
      <c r="G2" s="3613"/>
      <c r="H2" s="3613"/>
      <c r="I2" s="3614"/>
    </row>
    <row r="3" spans="1:12" ht="12.75">
      <c r="A3" s="3615" t="s">
        <v>2107</v>
      </c>
      <c r="B3" s="3616"/>
      <c r="C3" s="3616"/>
      <c r="D3" s="3616"/>
      <c r="E3" s="3616"/>
      <c r="F3" s="3616"/>
      <c r="G3" s="3616"/>
      <c r="H3" s="3616"/>
      <c r="I3" s="3616"/>
    </row>
    <row r="4" spans="1:12" ht="14.25">
      <c r="A4" s="2396" t="s">
        <v>2108</v>
      </c>
      <c r="B4" s="2397" t="s">
        <v>2109</v>
      </c>
      <c r="C4" s="2398" t="s">
        <v>3652</v>
      </c>
      <c r="D4" s="2398" t="s">
        <v>3648</v>
      </c>
      <c r="E4" s="3596" t="s">
        <v>2110</v>
      </c>
      <c r="F4" s="3609"/>
      <c r="G4" s="3609"/>
      <c r="H4" s="3609"/>
      <c r="I4" s="3597"/>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87" t="s">
        <v>2111</v>
      </c>
      <c r="B5" s="3504">
        <v>25</v>
      </c>
      <c r="C5" s="3617"/>
      <c r="D5" s="3605"/>
      <c r="E5" s="140" t="s">
        <v>2112</v>
      </c>
      <c r="F5" s="2400"/>
      <c r="G5" s="2400"/>
      <c r="H5" s="2400"/>
      <c r="I5" s="1811"/>
    </row>
    <row r="6" spans="1:12" ht="12.75">
      <c r="A6" s="3587"/>
      <c r="B6" s="3504"/>
      <c r="C6" s="3619"/>
      <c r="D6" s="3605"/>
      <c r="E6" s="140" t="s">
        <v>2113</v>
      </c>
      <c r="F6" s="2400"/>
      <c r="G6" s="2400"/>
      <c r="H6" s="2400"/>
      <c r="I6" s="1811"/>
    </row>
    <row r="7" spans="1:12" ht="12.75">
      <c r="A7" s="3587"/>
      <c r="B7" s="3504"/>
      <c r="C7" s="3618"/>
      <c r="D7" s="3605"/>
      <c r="E7" s="140" t="s">
        <v>2114</v>
      </c>
      <c r="F7" s="2400"/>
      <c r="G7" s="2400"/>
      <c r="H7" s="2400"/>
      <c r="I7" s="1811"/>
    </row>
    <row r="8" spans="1:12" ht="12.75">
      <c r="A8" s="3587" t="s">
        <v>2115</v>
      </c>
      <c r="B8" s="3504">
        <v>15</v>
      </c>
      <c r="C8" s="3617"/>
      <c r="D8" s="3605"/>
      <c r="E8" s="140" t="s">
        <v>2116</v>
      </c>
      <c r="F8" s="2400"/>
      <c r="G8" s="2400"/>
      <c r="H8" s="2400"/>
      <c r="I8" s="1811"/>
    </row>
    <row r="9" spans="1:12" ht="12.75">
      <c r="A9" s="3587"/>
      <c r="B9" s="3504"/>
      <c r="C9" s="3618"/>
      <c r="D9" s="3605"/>
      <c r="E9" s="140" t="s">
        <v>2117</v>
      </c>
      <c r="F9" s="2400"/>
      <c r="G9" s="2400"/>
      <c r="H9" s="2400"/>
      <c r="I9" s="1811"/>
    </row>
    <row r="10" spans="1:12" ht="12.75">
      <c r="A10" s="3587" t="s">
        <v>2118</v>
      </c>
      <c r="B10" s="3504">
        <v>15</v>
      </c>
      <c r="C10" s="3617"/>
      <c r="D10" s="3605"/>
      <c r="E10" s="140" t="s">
        <v>2119</v>
      </c>
      <c r="F10" s="2400"/>
      <c r="G10" s="2400"/>
      <c r="H10" s="2400"/>
      <c r="I10" s="1811"/>
    </row>
    <row r="11" spans="1:12" ht="12.75">
      <c r="A11" s="3587"/>
      <c r="B11" s="3504"/>
      <c r="C11" s="3618"/>
      <c r="D11" s="3605"/>
      <c r="E11" s="140" t="s">
        <v>2120</v>
      </c>
      <c r="F11" s="2400"/>
      <c r="G11" s="2400"/>
      <c r="H11" s="2400"/>
      <c r="I11" s="1811"/>
    </row>
    <row r="12" spans="1:12" ht="12.75">
      <c r="A12" s="3587" t="s">
        <v>2121</v>
      </c>
      <c r="B12" s="3504">
        <v>15</v>
      </c>
      <c r="C12" s="3617"/>
      <c r="D12" s="3605"/>
      <c r="E12" s="140" t="s">
        <v>2122</v>
      </c>
      <c r="F12" s="2400"/>
      <c r="G12" s="2400"/>
      <c r="H12" s="2400"/>
      <c r="I12" s="1811"/>
    </row>
    <row r="13" spans="1:12" ht="12.75">
      <c r="A13" s="3587"/>
      <c r="B13" s="3504"/>
      <c r="C13" s="3618"/>
      <c r="D13" s="3605"/>
      <c r="E13" s="140" t="s">
        <v>2123</v>
      </c>
      <c r="F13" s="2400"/>
      <c r="G13" s="2400"/>
      <c r="H13" s="2400"/>
      <c r="I13" s="1811"/>
    </row>
    <row r="14" spans="1:12" ht="12.75">
      <c r="A14" s="3587" t="s">
        <v>2124</v>
      </c>
      <c r="B14" s="3504">
        <v>30</v>
      </c>
      <c r="C14" s="3617">
        <v>4</v>
      </c>
      <c r="D14" s="3605">
        <v>6</v>
      </c>
      <c r="E14" s="140" t="s">
        <v>2125</v>
      </c>
      <c r="F14" s="2400"/>
      <c r="G14" s="2400"/>
      <c r="H14" s="2400"/>
      <c r="I14" s="1811"/>
    </row>
    <row r="15" spans="1:12" ht="12.75">
      <c r="A15" s="3587"/>
      <c r="B15" s="3504"/>
      <c r="C15" s="3619"/>
      <c r="D15" s="3605"/>
      <c r="E15" s="140" t="s">
        <v>2126</v>
      </c>
      <c r="F15" s="2400"/>
      <c r="G15" s="2400"/>
      <c r="H15" s="2400"/>
      <c r="I15" s="1811"/>
    </row>
    <row r="16" spans="1:12" ht="12.75">
      <c r="A16" s="3587"/>
      <c r="B16" s="3504"/>
      <c r="C16" s="3618"/>
      <c r="D16" s="3605"/>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17270.460000000003</v>
      </c>
      <c r="M18" s="2399">
        <f>IF(C1="",'数据-汇总表'!E3,SUMIF(项目类型,C1,'数据-汇总表'!E17:E26))</f>
        <v>16569.820000000003</v>
      </c>
    </row>
    <row r="19" spans="1:35" ht="15">
      <c r="A19" s="2405" t="s">
        <v>2133</v>
      </c>
      <c r="B19" s="2406" t="s">
        <v>2134</v>
      </c>
      <c r="C19" s="143">
        <f ca="1">SUMIF(INDIRECT("'"&amp;C4&amp;"'"&amp;"!A:A"),结果表酒店!B19,INDIRECT("'"&amp;C4&amp;"'"&amp;"!B:B"))</f>
        <v>80842</v>
      </c>
      <c r="D19" s="144">
        <f ca="1">SUMIF(INDIRECT("'"&amp;D4&amp;"'"&amp;"!A:A"),结果表酒店!B19,INDIRECT("'"&amp;D4&amp;"'"&amp;"!B:B"))</f>
        <v>37323</v>
      </c>
      <c r="E19" s="2405" t="s">
        <v>2135</v>
      </c>
      <c r="F19" s="2406" t="s">
        <v>2134</v>
      </c>
      <c r="G19" s="145">
        <f ca="1">ROUND(C19*$C$18+D19*$D$18,0)</f>
        <v>54731</v>
      </c>
      <c r="H19" s="2407" t="s">
        <v>2136</v>
      </c>
      <c r="I19" s="138"/>
      <c r="K19" s="2399" t="s">
        <v>2137</v>
      </c>
      <c r="L19" s="2399">
        <f>IF(C1="",'数据-汇总表'!D3,SUMIF(项目类型,C1,'数据-汇总表'!D17:D26)+SUMIF(项目类型,C1,'数据-汇总表'!H17:H27))</f>
        <v>3965.2200000000003</v>
      </c>
      <c r="M19" s="2399">
        <f>IF(C1="",'数据-汇总表'!D3,SUMIF(项目类型,C1,'数据-汇总表'!D17:D26))</f>
        <v>3804.36</v>
      </c>
    </row>
    <row r="20" spans="1:35" ht="15">
      <c r="A20" s="2408"/>
      <c r="B20" s="1229" t="s">
        <v>2138</v>
      </c>
      <c r="C20" s="146">
        <f ca="1">SUMIF(INDIRECT("'"&amp;C4&amp;"'"&amp;"!A:A"),结果表酒店!B20,INDIRECT("'"&amp;C4&amp;"'"&amp;"!B:B"))</f>
        <v>48789</v>
      </c>
      <c r="D20" s="147">
        <f ca="1">SUMIF(INDIRECT("'"&amp;D4&amp;"'"&amp;"!A:A"),结果表酒店!B20,INDIRECT("'"&amp;D4&amp;"'"&amp;"!B:B"))</f>
        <v>22525</v>
      </c>
      <c r="E20" s="2408"/>
      <c r="F20" s="1229" t="s">
        <v>2138</v>
      </c>
      <c r="G20" s="148">
        <f ca="1">ROUND(C20*$C$18+D20*$D$18,0)</f>
        <v>33031</v>
      </c>
      <c r="H20" s="970" t="s">
        <v>2139</v>
      </c>
      <c r="I20" s="138"/>
    </row>
    <row r="21" spans="1:35" ht="15" customHeight="1" thickBot="1">
      <c r="A21" s="990"/>
      <c r="B21" s="2409" t="s">
        <v>2140</v>
      </c>
      <c r="C21" s="784">
        <f ca="1">ROUND(C19*10000/L19,0)</f>
        <v>203878</v>
      </c>
      <c r="D21" s="785">
        <f ca="1">ROUND(D19*10000/L19,0)</f>
        <v>94126</v>
      </c>
      <c r="E21" s="990"/>
      <c r="F21" s="2409" t="s">
        <v>2140</v>
      </c>
      <c r="G21" s="149">
        <f ca="1">ROUND(G19*10000/L19,0)</f>
        <v>138028</v>
      </c>
      <c r="H21" s="2410" t="s">
        <v>2139</v>
      </c>
      <c r="I21" s="138"/>
    </row>
    <row r="22" spans="1:35" ht="15" thickBot="1">
      <c r="A22" s="2255" t="s">
        <v>2141</v>
      </c>
      <c r="B22" s="2411"/>
      <c r="C22" s="2412"/>
      <c r="D22" s="786">
        <f ca="1">IF(C19&lt;D19,D19/C19-1,C19/D19-1)</f>
        <v>1.1660102349757522</v>
      </c>
      <c r="E22" s="138"/>
      <c r="F22" s="138"/>
      <c r="G22" s="138"/>
      <c r="H22" s="138"/>
      <c r="I22" s="138"/>
    </row>
    <row r="23" spans="1:35" ht="13.5" thickBot="1">
      <c r="A23" s="2389"/>
      <c r="B23" s="2389"/>
      <c r="C23" s="2389"/>
      <c r="D23" s="2389"/>
      <c r="E23" s="138"/>
      <c r="F23" s="138"/>
      <c r="G23" s="138"/>
      <c r="H23" s="138"/>
      <c r="I23" s="138"/>
    </row>
    <row r="24" spans="1:35" ht="14.25">
      <c r="A24" s="3626" t="s">
        <v>2142</v>
      </c>
      <c r="B24" s="2406" t="s">
        <v>2134</v>
      </c>
      <c r="C24" s="145">
        <f>IF(B30=0,0,D30)</f>
        <v>0</v>
      </c>
      <c r="D24" s="2413"/>
      <c r="E24" s="138"/>
      <c r="F24" s="138"/>
      <c r="G24" s="138"/>
      <c r="H24" s="138"/>
      <c r="I24" s="138"/>
    </row>
    <row r="25" spans="1:35" ht="14.25">
      <c r="A25" s="3627"/>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54731</v>
      </c>
      <c r="D32" s="2420" t="s">
        <v>2149</v>
      </c>
      <c r="E32" s="138"/>
      <c r="F32" s="138"/>
      <c r="G32" s="138"/>
      <c r="H32" s="138"/>
      <c r="I32" s="138"/>
    </row>
    <row r="33" spans="1:15" ht="15">
      <c r="A33" s="947" t="s">
        <v>2150</v>
      </c>
      <c r="B33" s="2421"/>
      <c r="C33" s="2422" t="s">
        <v>3672</v>
      </c>
      <c r="D33" s="2423" t="s">
        <v>3648</v>
      </c>
      <c r="E33" s="2424" t="s">
        <v>2151</v>
      </c>
      <c r="F33" s="2924" t="str">
        <f>IF(D32="楼面单价","取值（单价）","取值（总价）")</f>
        <v>取值（总价）</v>
      </c>
      <c r="G33" s="138"/>
      <c r="H33" s="138"/>
      <c r="I33" s="138"/>
    </row>
    <row r="34" spans="1:15" ht="15">
      <c r="A34" s="2426"/>
      <c r="B34" s="2427" t="s">
        <v>2152</v>
      </c>
      <c r="C34" s="157">
        <f ca="1">IF(C33="自定义",F34,C32-C35)</f>
        <v>33878</v>
      </c>
      <c r="D34" s="1045">
        <f ca="1">IF(C33="自定义",ROUND(C34/C32,3),IF(C33="收益比率",SUMIF(INDIRECT("'"&amp;D33&amp;"'"&amp;"!b:b"),"土地收益比率",INDIRECT("'"&amp;D33&amp;"'"&amp;"!c:c")),SUMIF(INDIRECT("'"&amp;D33&amp;"'"&amp;"!b:b"),"土地成本比率",INDIRECT("'"&amp;D33&amp;"'"&amp;"!c:c"))))</f>
        <v>0.61899999999999999</v>
      </c>
      <c r="E34" s="2428" t="s">
        <v>2153</v>
      </c>
      <c r="F34" s="1716"/>
      <c r="G34" s="138"/>
      <c r="H34" s="138"/>
      <c r="I34" s="138"/>
    </row>
    <row r="35" spans="1:15" ht="15.75" thickBot="1">
      <c r="A35" s="2429"/>
      <c r="B35" s="2430" t="s">
        <v>2154</v>
      </c>
      <c r="C35" s="1422">
        <f ca="1">IF(C33="自定义",F35,ROUND(C32*D35,0))</f>
        <v>20853</v>
      </c>
      <c r="D35" s="1423">
        <f ca="1">IF(C33="自定义",ROUND(C35/C32,3),IF(C33="收益比率",SUMIF(INDIRECT("'"&amp;D33&amp;"'"&amp;"!b:b"),"建筑物收益比率",INDIRECT("'"&amp;D33&amp;"'"&amp;"!c:c")),SUMIF(INDIRECT("'"&amp;D33&amp;"'"&amp;"!b:b"),"建筑物成本比率",INDIRECT("'"&amp;D33&amp;"'"&amp;"!c:c"))))</f>
        <v>0.38100000000000001</v>
      </c>
      <c r="E35" s="2431" t="s">
        <v>2155</v>
      </c>
      <c r="F35" s="163"/>
      <c r="G35" s="138"/>
      <c r="H35" s="138"/>
      <c r="I35" s="138"/>
    </row>
    <row r="36" spans="1:15" ht="15.75" thickBot="1">
      <c r="A36" s="3606" t="s">
        <v>2156</v>
      </c>
      <c r="B36" s="2432" t="s">
        <v>2157</v>
      </c>
      <c r="C36" s="154"/>
      <c r="D36" s="2433"/>
      <c r="E36" s="2434"/>
      <c r="F36" s="2435"/>
      <c r="G36" s="138"/>
      <c r="H36" s="138"/>
      <c r="I36" s="138"/>
    </row>
    <row r="37" spans="1:15" ht="15.75" thickBot="1">
      <c r="A37" s="3607"/>
      <c r="B37" s="2241" t="s">
        <v>2158</v>
      </c>
      <c r="C37" s="156"/>
      <c r="D37" s="1373"/>
      <c r="E37" s="1373"/>
      <c r="F37" s="2435"/>
      <c r="G37" s="138"/>
      <c r="H37" s="138"/>
      <c r="I37" s="138"/>
    </row>
    <row r="38" spans="1:15" ht="15.75" thickBot="1">
      <c r="A38" s="3608"/>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23" t="s">
        <v>2170</v>
      </c>
      <c r="B45" s="3624"/>
      <c r="C45" s="3625"/>
      <c r="D45" s="164">
        <f ca="1">ROUND(H101*F45,0)</f>
        <v>54731</v>
      </c>
      <c r="E45" s="165" t="s">
        <v>2171</v>
      </c>
      <c r="F45" s="166">
        <v>1</v>
      </c>
      <c r="G45" s="167" t="s">
        <v>2172</v>
      </c>
      <c r="H45" s="138"/>
      <c r="I45" s="138"/>
      <c r="J45" s="3542" t="s">
        <v>2173</v>
      </c>
      <c r="K45" s="3542"/>
      <c r="L45" s="3542"/>
      <c r="M45" s="3542"/>
      <c r="N45" s="3542"/>
      <c r="O45" s="3542"/>
    </row>
    <row r="46" spans="1:15" ht="14.25" customHeight="1">
      <c r="A46" s="3620" t="s">
        <v>2174</v>
      </c>
      <c r="B46" s="3621"/>
      <c r="C46" s="3621"/>
      <c r="D46" s="3621"/>
      <c r="E46" s="3621"/>
      <c r="F46" s="3621"/>
      <c r="G46" s="3622"/>
      <c r="H46" s="2451"/>
      <c r="I46" s="168"/>
      <c r="J46" s="2936">
        <v>1</v>
      </c>
      <c r="K46" s="3542" t="s">
        <v>2175</v>
      </c>
      <c r="L46" s="3542"/>
      <c r="M46" s="3543"/>
      <c r="N46" s="3543"/>
      <c r="O46" s="3543"/>
    </row>
    <row r="47" spans="1:15" ht="12" customHeight="1">
      <c r="A47" s="169" t="s">
        <v>2176</v>
      </c>
      <c r="B47" s="170"/>
      <c r="C47" s="171"/>
      <c r="D47" s="172" t="s">
        <v>2177</v>
      </c>
      <c r="E47" s="24" t="s">
        <v>2178</v>
      </c>
      <c r="F47" s="173" t="s">
        <v>2179</v>
      </c>
      <c r="G47" s="174" t="s">
        <v>2180</v>
      </c>
      <c r="H47" s="2451"/>
      <c r="I47" s="168"/>
      <c r="J47" s="2936">
        <v>2</v>
      </c>
      <c r="K47" s="3542" t="s">
        <v>2181</v>
      </c>
      <c r="L47" s="3542"/>
      <c r="M47" s="3544">
        <f>'数据-取费表'!B2</f>
        <v>43983</v>
      </c>
      <c r="N47" s="3544"/>
      <c r="O47" s="3544"/>
    </row>
    <row r="48" spans="1:15" ht="25.5">
      <c r="A48" s="3610" t="s">
        <v>2182</v>
      </c>
      <c r="B48" s="3611"/>
      <c r="C48" s="3611"/>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42" t="s">
        <v>2185</v>
      </c>
      <c r="L48" s="3542"/>
      <c r="M48" s="3545">
        <f ca="1">H101</f>
        <v>54731</v>
      </c>
      <c r="N48" s="3545"/>
      <c r="O48" s="3545"/>
    </row>
    <row r="49" spans="1:35" ht="25.5" customHeight="1">
      <c r="A49" s="176" t="s">
        <v>2186</v>
      </c>
      <c r="B49" s="3590" t="s">
        <v>2187</v>
      </c>
      <c r="C49" s="3590"/>
      <c r="D49" s="177">
        <v>0</v>
      </c>
      <c r="E49" s="23" t="s">
        <v>2188</v>
      </c>
      <c r="F49" s="28" t="s">
        <v>34</v>
      </c>
      <c r="G49" s="3571"/>
      <c r="H49" s="138"/>
      <c r="I49" s="2454"/>
      <c r="J49" s="2936">
        <v>4</v>
      </c>
      <c r="K49" s="3542" t="str">
        <f>IF(项目基本情况!E8="房地产抵押价值","房地产抵押价值","抵押担保权已注销时的房地产抵押价值")</f>
        <v>房地产抵押价值</v>
      </c>
      <c r="L49" s="3542"/>
      <c r="M49" s="3545">
        <f ca="1">IF(项目基本情况!E8="房地产抵押价值",H107,H109)</f>
        <v>54731</v>
      </c>
      <c r="N49" s="3545"/>
      <c r="O49" s="3545"/>
    </row>
    <row r="50" spans="1:35" ht="25.5" customHeight="1">
      <c r="A50" s="178"/>
      <c r="B50" s="3590" t="s">
        <v>2189</v>
      </c>
      <c r="C50" s="3590"/>
      <c r="D50" s="179"/>
      <c r="E50" s="31"/>
      <c r="F50" s="180"/>
      <c r="G50" s="3572"/>
      <c r="H50" s="138"/>
      <c r="I50" s="2454"/>
      <c r="J50" s="3542" t="s">
        <v>2190</v>
      </c>
      <c r="K50" s="3542"/>
      <c r="L50" s="3542"/>
      <c r="M50" s="3542"/>
      <c r="N50" s="3542"/>
      <c r="O50" s="3542"/>
    </row>
    <row r="51" spans="1:35" ht="12" customHeight="1">
      <c r="A51" s="181"/>
      <c r="B51" s="3590" t="s">
        <v>2191</v>
      </c>
      <c r="C51" s="3590"/>
      <c r="D51" s="182"/>
      <c r="E51" s="30"/>
      <c r="F51" s="180"/>
      <c r="G51" s="3573"/>
      <c r="H51" s="138"/>
      <c r="I51" s="2454"/>
      <c r="J51" s="2935" t="s">
        <v>2192</v>
      </c>
      <c r="K51" s="3542" t="s">
        <v>2193</v>
      </c>
      <c r="L51" s="3542"/>
      <c r="M51" s="2935" t="s">
        <v>2194</v>
      </c>
      <c r="N51" s="2935" t="s">
        <v>2195</v>
      </c>
      <c r="O51" s="2935" t="s">
        <v>2196</v>
      </c>
    </row>
    <row r="52" spans="1:35" ht="24" customHeight="1">
      <c r="A52" s="183" t="s">
        <v>2197</v>
      </c>
      <c r="B52" s="3590" t="s">
        <v>2198</v>
      </c>
      <c r="C52" s="3590"/>
      <c r="D52" s="182">
        <f ca="1">ROUND(D45*'数据-取费表'!B41/(1+'数据-取费表'!C42),0)</f>
        <v>2919</v>
      </c>
      <c r="E52" s="11" t="s">
        <v>2199</v>
      </c>
      <c r="F52" s="184">
        <f>'数据-取费表'!B41</f>
        <v>5.6000000000000001E-2</v>
      </c>
      <c r="G52" s="2456"/>
      <c r="H52" s="138"/>
      <c r="I52" s="2454"/>
      <c r="J52" s="2936">
        <v>1</v>
      </c>
      <c r="K52" s="3565" t="s">
        <v>2200</v>
      </c>
      <c r="L52" s="3565"/>
      <c r="M52" s="1731">
        <f>D48</f>
        <v>0</v>
      </c>
      <c r="N52" s="2936" t="str">
        <f>E48</f>
        <v>销售额×税（费）率</v>
      </c>
      <c r="O52" s="1732" t="str">
        <f>F48</f>
        <v>免征</v>
      </c>
    </row>
    <row r="53" spans="1:35" ht="12" customHeight="1">
      <c r="A53" s="183" t="s">
        <v>2201</v>
      </c>
      <c r="B53" s="3591" t="s">
        <v>2202</v>
      </c>
      <c r="C53" s="3592"/>
      <c r="D53" s="182">
        <f ca="1">ROUND(D45*'数据-取费表'!B41/(1+'数据-取费表'!C42),0)</f>
        <v>2919</v>
      </c>
      <c r="E53" s="11" t="s">
        <v>2199</v>
      </c>
      <c r="F53" s="184">
        <f>'数据-取费表'!B41</f>
        <v>5.6000000000000001E-2</v>
      </c>
      <c r="G53" s="2456"/>
      <c r="H53" s="138"/>
      <c r="I53" s="2454"/>
      <c r="J53" s="2936">
        <v>2</v>
      </c>
      <c r="K53" s="3565" t="s">
        <v>2203</v>
      </c>
      <c r="L53" s="3565"/>
      <c r="M53" s="1731">
        <f t="shared" ref="M53:O54" ca="1" si="0">D55</f>
        <v>27</v>
      </c>
      <c r="N53" s="2936" t="str">
        <f t="shared" si="0"/>
        <v>销售额×税（费）率</v>
      </c>
      <c r="O53" s="1732">
        <f t="shared" si="0"/>
        <v>5.0000000000000001E-4</v>
      </c>
    </row>
    <row r="54" spans="1:35" ht="12" customHeight="1">
      <c r="A54" s="183" t="s">
        <v>2204</v>
      </c>
      <c r="B54" s="3591" t="s">
        <v>2205</v>
      </c>
      <c r="C54" s="3592"/>
      <c r="D54" s="182">
        <f ca="1">C68</f>
        <v>2919</v>
      </c>
      <c r="E54" s="30" t="s">
        <v>2206</v>
      </c>
      <c r="F54" s="184">
        <f>'数据-取费表'!B41</f>
        <v>5.6000000000000001E-2</v>
      </c>
      <c r="G54" s="2456"/>
      <c r="H54" s="2457"/>
      <c r="I54" s="2454"/>
      <c r="J54" s="2936">
        <v>3</v>
      </c>
      <c r="K54" s="3565" t="s">
        <v>2207</v>
      </c>
      <c r="L54" s="3565"/>
      <c r="M54" s="1731">
        <f t="shared" ca="1" si="0"/>
        <v>30978</v>
      </c>
      <c r="N54" s="2936" t="str">
        <f t="shared" si="0"/>
        <v>增值额×税（费）率</v>
      </c>
      <c r="O54" s="1733" t="str">
        <f t="shared" si="0"/>
        <v>——</v>
      </c>
    </row>
    <row r="55" spans="1:35" ht="24" customHeight="1">
      <c r="A55" s="3629" t="s">
        <v>2208</v>
      </c>
      <c r="B55" s="3611"/>
      <c r="C55" s="3611"/>
      <c r="D55" s="185">
        <f ca="1">IF(H55="个人住宅",0,ROUND(D45*I55,0))</f>
        <v>27</v>
      </c>
      <c r="E55" s="11" t="s">
        <v>2209</v>
      </c>
      <c r="F55" s="184">
        <f>IF(H55="正常",I55,"免征")</f>
        <v>5.0000000000000001E-4</v>
      </c>
      <c r="G55" s="2456"/>
      <c r="H55" s="2453" t="s">
        <v>2210</v>
      </c>
      <c r="I55" s="186">
        <f>'数据-取费表'!B49</f>
        <v>5.0000000000000001E-4</v>
      </c>
      <c r="J55" s="2936" t="str">
        <f>IF(H59="非个人房产","",4)</f>
        <v/>
      </c>
      <c r="K55" s="3565" t="str">
        <f>IF(H59="非个人房产","——","个人所得税")</f>
        <v>——</v>
      </c>
      <c r="L55" s="3565"/>
      <c r="M55" s="1734" t="str">
        <f>D59</f>
        <v>——</v>
      </c>
      <c r="N55" s="2937" t="str">
        <f>E59</f>
        <v>——</v>
      </c>
      <c r="O55" s="1735" t="str">
        <f>F59</f>
        <v>——</v>
      </c>
    </row>
    <row r="56" spans="1:35" ht="24.75">
      <c r="A56" s="3629" t="s">
        <v>2211</v>
      </c>
      <c r="B56" s="3611"/>
      <c r="C56" s="3611"/>
      <c r="D56" s="185">
        <f ca="1">IF(H56="个人住宅",D57,D58)</f>
        <v>30978</v>
      </c>
      <c r="E56" s="11" t="s">
        <v>2212</v>
      </c>
      <c r="F56" s="184" t="str">
        <f>IF(H56="正常",F58,"免征")</f>
        <v>——</v>
      </c>
      <c r="G56" s="2458" t="s">
        <v>2213</v>
      </c>
      <c r="H56" s="2459" t="s">
        <v>2210</v>
      </c>
      <c r="I56" s="2460"/>
      <c r="J56" s="2936" t="str">
        <f>IF(项目基本情况!K6="上海银行",IF(J55="",4,J55+1),"")</f>
        <v/>
      </c>
      <c r="K56" s="3548" t="str">
        <f>IF(项目基本情况!K6="上海银行","其他处置费用","")</f>
        <v/>
      </c>
      <c r="L56" s="3549"/>
      <c r="M56" s="1731" t="str">
        <f>IF(项目基本情况!K6="上海银行",M69,"")</f>
        <v/>
      </c>
      <c r="N56" s="3551" t="str">
        <f>IF(项目基本情况!K6="上海银行","包含处置中涉及的律师、诉讼、拍卖、评估等费用","")</f>
        <v/>
      </c>
      <c r="O56" s="3552"/>
    </row>
    <row r="57" spans="1:35" ht="12.75">
      <c r="A57" s="183" t="s">
        <v>2186</v>
      </c>
      <c r="B57" s="3596" t="s">
        <v>2214</v>
      </c>
      <c r="C57" s="3597"/>
      <c r="D57" s="187">
        <v>0</v>
      </c>
      <c r="E57" s="23" t="s">
        <v>2188</v>
      </c>
      <c r="F57" s="155"/>
      <c r="G57" s="2456"/>
      <c r="H57" s="2460"/>
      <c r="I57" s="2460"/>
      <c r="J57" s="3565">
        <f>IF(AND(J55="",J56=""),4,IF(项目基本情况!K6="上海银行",结果表酒店!J56+1,结果表酒店!J55+1))</f>
        <v>4</v>
      </c>
      <c r="K57" s="3565" t="s">
        <v>2215</v>
      </c>
      <c r="L57" s="2461" t="s">
        <v>2216</v>
      </c>
      <c r="M57" s="1736"/>
      <c r="N57" s="1737">
        <f ca="1">SUMIF(M52:M56,"&lt;9e307")</f>
        <v>31005</v>
      </c>
      <c r="O57" s="2462"/>
      <c r="P57" s="1730">
        <f ca="1">N57/M49</f>
        <v>0.56649796276333342</v>
      </c>
    </row>
    <row r="58" spans="1:35" ht="24.75">
      <c r="A58" s="183" t="s">
        <v>2197</v>
      </c>
      <c r="B58" s="3596" t="s">
        <v>2217</v>
      </c>
      <c r="C58" s="3609"/>
      <c r="D58" s="185">
        <f ca="1">IF(H58="转让取得",C81,C97)</f>
        <v>30978</v>
      </c>
      <c r="E58" s="11" t="s">
        <v>2212</v>
      </c>
      <c r="F58" s="24" t="s">
        <v>34</v>
      </c>
      <c r="G58" s="2456"/>
      <c r="H58" s="2459" t="s">
        <v>2218</v>
      </c>
      <c r="I58" s="2460"/>
      <c r="J58" s="3565"/>
      <c r="K58" s="3565"/>
      <c r="L58" s="2461" t="s">
        <v>2219</v>
      </c>
      <c r="M58" s="1738"/>
      <c r="N58" s="2463" t="str">
        <f ca="1">NUMBERSTRING(INT(N57*10000),2)&amp;"元整"</f>
        <v>叁亿壹仟零伍万元整</v>
      </c>
      <c r="O58" s="2464"/>
    </row>
    <row r="59" spans="1:35" ht="24.75" thickBot="1">
      <c r="A59" s="3569" t="s">
        <v>2220</v>
      </c>
      <c r="B59" s="3570"/>
      <c r="C59" s="357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67">
        <f>J57+1</f>
        <v>5</v>
      </c>
      <c r="K59" s="3565" t="s">
        <v>2222</v>
      </c>
      <c r="L59" s="2936" t="s">
        <v>2216</v>
      </c>
      <c r="M59" s="1739"/>
      <c r="N59" s="1740">
        <f ca="1">M49-N57</f>
        <v>23726</v>
      </c>
      <c r="O59" s="2466"/>
    </row>
    <row r="60" spans="1:35" ht="12" customHeight="1">
      <c r="A60" s="2467"/>
      <c r="B60" s="2389"/>
      <c r="C60" s="2389"/>
      <c r="D60" s="2389"/>
      <c r="E60" s="2141"/>
      <c r="F60" s="2460"/>
      <c r="G60" s="2460"/>
      <c r="H60" s="2468"/>
      <c r="I60" s="138"/>
      <c r="J60" s="3568"/>
      <c r="K60" s="3565"/>
      <c r="L60" s="2461" t="s">
        <v>2219</v>
      </c>
      <c r="M60" s="1738"/>
      <c r="N60" s="2463" t="str">
        <f ca="1">NUMBERSTRING(INT(N59*10000),2)&amp;"元整"</f>
        <v>贰亿叁仟柒佰贰拾陆万元整</v>
      </c>
      <c r="O60" s="2464"/>
    </row>
    <row r="61" spans="1:35" ht="13.5" thickBot="1">
      <c r="A61" s="3628" t="s">
        <v>2223</v>
      </c>
      <c r="B61" s="3628"/>
      <c r="C61" s="3628"/>
      <c r="D61" s="3628"/>
      <c r="E61" s="3628"/>
      <c r="F61" s="2460"/>
      <c r="G61" s="2460"/>
      <c r="H61" s="2468"/>
      <c r="I61" s="138"/>
      <c r="J61" s="2936">
        <f>J59+1</f>
        <v>6</v>
      </c>
      <c r="K61" s="3565" t="s">
        <v>2224</v>
      </c>
      <c r="L61" s="3565"/>
      <c r="M61" s="1741"/>
      <c r="N61" s="1742">
        <f ca="1">ROUND(N59*10000/'数据-汇总表'!E3,0)</f>
        <v>4961</v>
      </c>
      <c r="O61" s="2469"/>
    </row>
    <row r="62" spans="1:35" ht="12.75">
      <c r="A62" s="3585" t="s">
        <v>2225</v>
      </c>
      <c r="B62" s="3586"/>
      <c r="C62" s="2931"/>
      <c r="D62" s="2931" t="s">
        <v>2226</v>
      </c>
      <c r="E62" s="192" t="s">
        <v>2227</v>
      </c>
      <c r="F62" s="2460"/>
      <c r="G62" s="2460"/>
      <c r="H62" s="2468"/>
      <c r="I62" s="138"/>
    </row>
    <row r="63" spans="1:35" ht="12.75">
      <c r="A63" s="203" t="s">
        <v>775</v>
      </c>
      <c r="B63" s="193" t="s">
        <v>2228</v>
      </c>
      <c r="C63" s="194">
        <f ca="1">ROUND((C64+C65)/(1+'数据-取费表'!C42),0)</f>
        <v>52125</v>
      </c>
      <c r="D63" s="195"/>
      <c r="E63" s="196"/>
      <c r="F63" s="2460"/>
      <c r="G63" s="2460"/>
      <c r="H63" s="2468"/>
      <c r="I63" s="138"/>
      <c r="J63" s="3550" t="s">
        <v>2229</v>
      </c>
      <c r="K63" s="2940" t="s">
        <v>2230</v>
      </c>
      <c r="L63" s="1729">
        <f ca="1">IF(M49&gt;10000,M49*0.5%,IF(AND(M49&gt;1000,M49&lt;=10000),M49*1%,IF(AND(M49&gt;100,M49&lt;=1000),M49*3%,IF(AND(M49&gt;10,M49&lt;=100),M49*5%,M49*8%))))</f>
        <v>273.65500000000003</v>
      </c>
      <c r="M63" s="24">
        <f ca="1">ROUND(L63,1)</f>
        <v>273.7</v>
      </c>
      <c r="Z63" s="2394"/>
      <c r="AI63" s="2395"/>
    </row>
    <row r="64" spans="1:35" ht="14.25" customHeight="1">
      <c r="A64" s="197" t="s">
        <v>770</v>
      </c>
      <c r="B64" s="198" t="s">
        <v>2231</v>
      </c>
      <c r="C64" s="199">
        <f ca="1">D45</f>
        <v>54731</v>
      </c>
      <c r="D64" s="200" t="s">
        <v>32</v>
      </c>
      <c r="E64" s="201"/>
      <c r="F64" s="2460"/>
      <c r="G64" s="2460"/>
      <c r="H64" s="2468"/>
      <c r="I64" s="138"/>
      <c r="J64" s="3550"/>
      <c r="K64" s="2940" t="s">
        <v>2232</v>
      </c>
      <c r="L64" s="1729">
        <f ca="1">IF(M49&gt;2000,M49*0.5%,IF(AND(M49&gt;1000,M49&lt;=2000),M49*0.6%,IF(AND(M49&gt;500,M49&lt;=1000),M49*0.7%,IF(AND(M49&gt;200,M49&lt;=500),M49*0.8%,IF(AND(M49&gt;100,M49&lt;=200),M49*0.9%,IF(AND(M49&gt;50,M49&lt;=100),M49*1%,IF(AND(M49&gt;20,M49&lt;=50),M49*1.5%,IF(AND(M49&gt;10,M49&lt;=20),M49*2%,IF(AND(M49&gt;1,M49&lt;=10),M49*2.5%)))))))))</f>
        <v>273.65500000000003</v>
      </c>
      <c r="M64" s="24">
        <f t="shared" ref="M64:M65" ca="1" si="1">ROUND(L64,1)</f>
        <v>273.7</v>
      </c>
      <c r="N64" s="138" t="s">
        <v>2233</v>
      </c>
      <c r="Z64" s="2394"/>
      <c r="AI64" s="2395"/>
    </row>
    <row r="65" spans="1:35" ht="14.25" customHeight="1">
      <c r="A65" s="197" t="s">
        <v>771</v>
      </c>
      <c r="B65" s="198" t="s">
        <v>2234</v>
      </c>
      <c r="C65" s="202"/>
      <c r="D65" s="200"/>
      <c r="E65" s="201"/>
      <c r="F65" s="2460"/>
      <c r="G65" s="2460"/>
      <c r="H65" s="2468"/>
      <c r="I65" s="138"/>
      <c r="J65" s="3550"/>
      <c r="K65" s="2940" t="s">
        <v>2235</v>
      </c>
      <c r="L65" s="1729">
        <f ca="1">IF(M49&gt;1000,M49*0.1%,IF(AND(M49&gt;500,M49&lt;=1000),M49*0.5%,IF(AND(M49&gt;50,M49&lt;=500),M49*1%,IF(AND(M49&gt;1,M49&lt;=50),M49*1.5%))))</f>
        <v>54.731000000000002</v>
      </c>
      <c r="M65" s="24">
        <f t="shared" ca="1" si="1"/>
        <v>54.7</v>
      </c>
      <c r="N65" s="138" t="s">
        <v>2233</v>
      </c>
      <c r="Z65" s="2394"/>
      <c r="AI65" s="2395"/>
    </row>
    <row r="66" spans="1:35" ht="14.25" customHeight="1">
      <c r="A66" s="203" t="s">
        <v>772</v>
      </c>
      <c r="B66" s="204" t="s">
        <v>2236</v>
      </c>
      <c r="C66" s="205"/>
      <c r="D66" s="206" t="s">
        <v>32</v>
      </c>
      <c r="E66" s="1753" t="s">
        <v>1360</v>
      </c>
      <c r="F66" s="2460"/>
      <c r="G66" s="2460"/>
      <c r="H66" s="2468"/>
      <c r="I66" s="138"/>
      <c r="J66" s="3550"/>
      <c r="K66" s="2940" t="s">
        <v>2237</v>
      </c>
      <c r="L66" s="1729">
        <f ca="1">M49*0.5%</f>
        <v>273.65500000000003</v>
      </c>
      <c r="M66" s="24">
        <f ca="1">IF(L66&gt;0.5,0.5,ROUND(L66,0))</f>
        <v>0.5</v>
      </c>
      <c r="N66" s="138" t="s">
        <v>2238</v>
      </c>
      <c r="Z66" s="2394"/>
      <c r="AI66" s="2395"/>
    </row>
    <row r="67" spans="1:35" ht="14.25" customHeight="1">
      <c r="A67" s="203" t="s">
        <v>773</v>
      </c>
      <c r="B67" s="204" t="s">
        <v>2239</v>
      </c>
      <c r="C67" s="207">
        <f ca="1">C63-C66</f>
        <v>52125</v>
      </c>
      <c r="D67" s="200" t="s">
        <v>32</v>
      </c>
      <c r="E67" s="201"/>
      <c r="F67" s="2460"/>
      <c r="G67" s="2460"/>
      <c r="H67" s="2468"/>
      <c r="I67" s="138"/>
      <c r="J67" s="3550"/>
      <c r="K67" s="2940" t="s">
        <v>2240</v>
      </c>
      <c r="L67" s="1729">
        <f ca="1">IF(M49&gt;=10000,(8.25+(M49-10000)*0.01%),IF(AND(M49&gt;=8000,M49&lt;10000),(7.85+(M49-8000)*0.02%),IF(AND(M49&gt;=5000,M49&lt;8000),(6.65+(M49-5000)*0.04%),IF(AND(M49&gt;=2000,M49&lt;5000),(4.25+(PM49-2000)*0.08%),IF(AND(M49&gt;=1000,M49&lt;2000),(2.75+(M49-1000)*0.15%),IF(AND(M49&gt;=100,M49&lt;1000),(0.5+(M49-100)*0.25%),IF(AND(M49&gt;0,M49&lt;100),M49*0.5%)))))))</f>
        <v>12.723100000000001</v>
      </c>
      <c r="M67" s="24">
        <f ca="1">ROUND(L67*0.9,1)</f>
        <v>11.5</v>
      </c>
      <c r="Z67" s="2394"/>
      <c r="AI67" s="2395"/>
    </row>
    <row r="68" spans="1:35" ht="14.25" customHeight="1" thickBot="1">
      <c r="A68" s="208" t="s">
        <v>774</v>
      </c>
      <c r="B68" s="209" t="s">
        <v>2241</v>
      </c>
      <c r="C68" s="210">
        <f ca="1">IF(C67&lt;=0,0,ROUND(C67*D68,0))</f>
        <v>2919</v>
      </c>
      <c r="D68" s="211">
        <f>'数据-取费表'!B41</f>
        <v>5.6000000000000001E-2</v>
      </c>
      <c r="E68" s="212"/>
      <c r="F68" s="2460"/>
      <c r="G68" s="2460"/>
      <c r="H68" s="2468"/>
      <c r="I68" s="138"/>
      <c r="J68" s="3550"/>
      <c r="K68" s="2940" t="s">
        <v>2242</v>
      </c>
      <c r="L68" s="1729">
        <f ca="1">IF(M49&gt;10000,M49*0.5%,IF(AND(M49&gt;5000,M49&lt;=10000),M49*1%,IF(AND(M49&gt;1000,M49&lt;=5000),M49*2%,IF(AND(M49&gt;200,M49&lt;=1000),M49*3%,M49*5%))))</f>
        <v>273.65500000000003</v>
      </c>
      <c r="M68" s="24">
        <f ca="1">ROUND(L68,1)</f>
        <v>273.7</v>
      </c>
      <c r="Z68" s="2394"/>
      <c r="AI68" s="2395"/>
    </row>
    <row r="69" spans="1:35" s="2417" customFormat="1" ht="16.5" customHeight="1">
      <c r="A69" s="2471"/>
      <c r="B69" s="2472"/>
      <c r="C69" s="2473"/>
      <c r="D69" s="2474"/>
      <c r="E69" s="2475"/>
      <c r="F69" s="2141"/>
      <c r="G69" s="2141"/>
      <c r="H69" s="2140"/>
      <c r="I69" s="2389"/>
      <c r="J69" s="3550"/>
      <c r="K69" s="2940" t="s">
        <v>2243</v>
      </c>
      <c r="L69" s="2476"/>
      <c r="M69" s="24">
        <f ca="1">ROUND(SUM(M63:M68),0)</f>
        <v>888</v>
      </c>
      <c r="N69" s="1730">
        <f ca="1">M69/M49</f>
        <v>1.6224808609380425E-2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4" t="s">
        <v>2244</v>
      </c>
      <c r="B70" s="3595"/>
      <c r="C70" s="3595"/>
      <c r="D70" s="3595"/>
      <c r="E70" s="3595"/>
      <c r="F70" s="3595"/>
      <c r="G70" s="3595"/>
      <c r="H70" s="359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85" t="s">
        <v>2225</v>
      </c>
      <c r="B71" s="3586"/>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52125</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313</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91" t="s">
        <v>2253</v>
      </c>
      <c r="F76" s="3590"/>
      <c r="G76" s="3590"/>
      <c r="H76" s="359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313</v>
      </c>
      <c r="D78" s="226">
        <f>'数据-取费表'!B43</f>
        <v>6.000000000000001E-3</v>
      </c>
      <c r="E78" s="3582" t="s">
        <v>2258</v>
      </c>
      <c r="F78" s="3583"/>
      <c r="G78" s="3583"/>
      <c r="H78" s="358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51812</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165.5335463258786</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30978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4" t="s">
        <v>2262</v>
      </c>
      <c r="B83" s="3595"/>
      <c r="C83" s="3595"/>
      <c r="D83" s="3595"/>
      <c r="E83" s="3595"/>
      <c r="F83" s="3595"/>
      <c r="G83" s="3595"/>
      <c r="H83" s="359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85" t="s">
        <v>2225</v>
      </c>
      <c r="B84" s="3586"/>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52125</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313</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82" t="s">
        <v>2271</v>
      </c>
      <c r="F91" s="3583"/>
      <c r="G91" s="3583"/>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82" t="s">
        <v>2275</v>
      </c>
      <c r="F92" s="3583"/>
      <c r="G92" s="3583"/>
      <c r="H92" s="358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313</v>
      </c>
      <c r="D93" s="226">
        <f>'数据-取费表'!B43</f>
        <v>6.000000000000001E-3</v>
      </c>
      <c r="E93" s="3582" t="s">
        <v>2258</v>
      </c>
      <c r="F93" s="3583"/>
      <c r="G93" s="3583"/>
      <c r="H93" s="358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30" t="s">
        <v>2279</v>
      </c>
      <c r="F94" s="3631"/>
      <c r="G94" s="3631"/>
      <c r="H94" s="363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51812</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165.5335463258786</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30978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66"/>
      <c r="E100" s="3527" t="s">
        <v>2282</v>
      </c>
      <c r="F100" s="3527"/>
      <c r="G100" s="3527"/>
      <c r="H100" s="3566"/>
      <c r="I100" s="138"/>
    </row>
    <row r="101" spans="1:35" ht="18.75" customHeight="1">
      <c r="A101" s="3574" t="s">
        <v>2283</v>
      </c>
      <c r="B101" s="3575"/>
      <c r="C101" s="732" t="str">
        <f>C4</f>
        <v>成本法酒店</v>
      </c>
      <c r="D101" s="733" t="str">
        <f>D4</f>
        <v>收益法酒店</v>
      </c>
      <c r="E101" s="3546" t="s">
        <v>2284</v>
      </c>
      <c r="F101" s="3547"/>
      <c r="G101" s="2491" t="s">
        <v>2285</v>
      </c>
      <c r="H101" s="1035">
        <f ca="1">H118</f>
        <v>54731</v>
      </c>
      <c r="I101" s="138"/>
    </row>
    <row r="102" spans="1:35" ht="18.75" customHeight="1">
      <c r="A102" s="3576" t="s">
        <v>2286</v>
      </c>
      <c r="B102" s="2491" t="s">
        <v>2285</v>
      </c>
      <c r="C102" s="732">
        <f ca="1">C19</f>
        <v>80842</v>
      </c>
      <c r="D102" s="733">
        <f ca="1">D19</f>
        <v>37323</v>
      </c>
      <c r="E102" s="3546"/>
      <c r="F102" s="3547"/>
      <c r="G102" s="2491" t="s">
        <v>2287</v>
      </c>
      <c r="H102" s="371">
        <f ca="1">I118</f>
        <v>33031</v>
      </c>
      <c r="I102" s="138"/>
    </row>
    <row r="103" spans="1:35" ht="42.75" customHeight="1">
      <c r="A103" s="3576"/>
      <c r="B103" s="2491" t="s">
        <v>2287</v>
      </c>
      <c r="C103" s="734">
        <f ca="1">C20</f>
        <v>48789</v>
      </c>
      <c r="D103" s="735">
        <f ca="1">D20</f>
        <v>22525</v>
      </c>
      <c r="E103" s="3540" t="s">
        <v>2288</v>
      </c>
      <c r="F103" s="3541"/>
      <c r="G103" s="2492" t="s">
        <v>2289</v>
      </c>
      <c r="H103" s="1035">
        <f>IF(D36="正常操作",H104+H105+H106,H105+H106)</f>
        <v>0</v>
      </c>
      <c r="I103" s="138"/>
    </row>
    <row r="104" spans="1:35" ht="18.75" customHeight="1">
      <c r="A104" s="3576" t="s">
        <v>2290</v>
      </c>
      <c r="B104" s="2493" t="s">
        <v>2285</v>
      </c>
      <c r="C104" s="736">
        <f ca="1">H118</f>
        <v>54731</v>
      </c>
      <c r="D104" s="737"/>
      <c r="E104" s="2241" t="s">
        <v>2291</v>
      </c>
      <c r="F104" s="2233"/>
      <c r="G104" s="2492" t="s">
        <v>2289</v>
      </c>
      <c r="H104" s="1036">
        <f>IF(D36="同一抵押权人同一抵押物续贷",C36&amp;"（未扣减，详见特别提示）",C36)</f>
        <v>0</v>
      </c>
      <c r="I104" s="138"/>
    </row>
    <row r="105" spans="1:35" ht="18.75" customHeight="1" thickBot="1">
      <c r="A105" s="3588"/>
      <c r="B105" s="2494" t="s">
        <v>2287</v>
      </c>
      <c r="C105" s="738">
        <f ca="1">I118</f>
        <v>33031</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7" t="str">
        <f>IF(项目基本情况!E8="已注销","——","3.房地产抵押价值")</f>
        <v>3.房地产抵押价值</v>
      </c>
      <c r="F107" s="3547"/>
      <c r="G107" s="2491" t="s">
        <v>2285</v>
      </c>
      <c r="H107" s="1035">
        <f ca="1">IF(E107="——","——",H101-H103)</f>
        <v>54731</v>
      </c>
      <c r="I107" s="138"/>
    </row>
    <row r="108" spans="1:35" ht="18.75" customHeight="1">
      <c r="A108" s="138"/>
      <c r="B108" s="138"/>
      <c r="C108" s="138"/>
      <c r="D108" s="138"/>
      <c r="E108" s="3577"/>
      <c r="F108" s="3547"/>
      <c r="G108" s="2491" t="s">
        <v>2287</v>
      </c>
      <c r="H108" s="371">
        <f ca="1">ROUND(H107*10000/'数据-汇总表'!E3,0)</f>
        <v>11444</v>
      </c>
      <c r="I108" s="138"/>
    </row>
    <row r="109" spans="1:35" ht="18.75" customHeight="1">
      <c r="A109" s="138"/>
      <c r="B109" s="138"/>
      <c r="C109" s="138"/>
      <c r="D109" s="138"/>
      <c r="E109" s="3577" t="str">
        <f>IF(项目基本情况!E8="已注销及未注销","4.抵押担保权已注销时的房地产抵押价值",IF(项目基本情况!E8="已注销","3.抵押担保权已注销时的房地产抵押价值","——"))</f>
        <v>——</v>
      </c>
      <c r="F109" s="3547"/>
      <c r="G109" s="2491" t="s">
        <v>2285</v>
      </c>
      <c r="H109" s="348" t="str">
        <f>IF(E109="——","——",H101-H105-H106)</f>
        <v>——</v>
      </c>
      <c r="I109" s="138"/>
    </row>
    <row r="110" spans="1:35" ht="18.75" customHeight="1">
      <c r="A110" s="138"/>
      <c r="B110" s="138"/>
      <c r="C110" s="138"/>
      <c r="D110" s="138"/>
      <c r="E110" s="3577"/>
      <c r="F110" s="3547"/>
      <c r="G110" s="2491" t="s">
        <v>2287</v>
      </c>
      <c r="H110" s="371" t="str">
        <f>IF(H109="——","——",ROUND(H109*10000/'数据-汇总表'!E3,0))</f>
        <v>——</v>
      </c>
      <c r="I110" s="138"/>
    </row>
    <row r="111" spans="1:35" ht="18.75" customHeight="1">
      <c r="A111" s="138"/>
      <c r="B111" s="138"/>
      <c r="C111" s="138"/>
      <c r="D111" s="138"/>
      <c r="E111" s="3578" t="str">
        <f>IF(项目基本情况!E9="抵押净值",IF(OR(项目基本情况!E8="已注销",项目基本情况!E8="房地产抵押价值"),"4.抵押净值","5.抵押净值"),"——")</f>
        <v>——</v>
      </c>
      <c r="F111" s="3579"/>
      <c r="G111" s="2491" t="s">
        <v>2285</v>
      </c>
      <c r="H111" s="1035" t="str">
        <f>IF(E111="——","——",N59)</f>
        <v>——</v>
      </c>
      <c r="I111" s="138"/>
    </row>
    <row r="112" spans="1:35" ht="18.75" customHeight="1" thickBot="1">
      <c r="A112" s="138"/>
      <c r="B112" s="138"/>
      <c r="C112" s="138"/>
      <c r="D112" s="138"/>
      <c r="E112" s="3580"/>
      <c r="F112" s="3581"/>
      <c r="G112" s="2496" t="s">
        <v>2287</v>
      </c>
      <c r="H112" s="785" t="str">
        <f>IF(E111="——","——",N61)</f>
        <v>——</v>
      </c>
      <c r="I112" s="138"/>
    </row>
    <row r="113" spans="1:11" ht="18.75" customHeight="1">
      <c r="A113" s="138"/>
      <c r="B113" s="138"/>
      <c r="C113" s="138"/>
      <c r="D113" s="138"/>
      <c r="E113" s="3589" t="s">
        <v>2293</v>
      </c>
      <c r="F113" s="3589"/>
      <c r="G113" s="3589"/>
      <c r="H113" s="3589"/>
      <c r="I113" s="138"/>
    </row>
    <row r="114" spans="1:11" ht="3.75" customHeight="1">
      <c r="A114" s="2389"/>
      <c r="B114" s="2389"/>
      <c r="C114" s="2389"/>
      <c r="D114" s="2389"/>
      <c r="E114" s="2467"/>
      <c r="F114" s="2467"/>
      <c r="G114" s="2467"/>
      <c r="H114" s="2467"/>
      <c r="I114" s="2389"/>
    </row>
    <row r="115" spans="1:11" ht="18.75" customHeight="1">
      <c r="A115" s="3602" t="s">
        <v>2295</v>
      </c>
      <c r="B115" s="3603"/>
      <c r="C115" s="3603"/>
      <c r="D115" s="3603"/>
      <c r="E115" s="3603"/>
      <c r="F115" s="3603"/>
      <c r="G115" s="3603"/>
      <c r="H115" s="3603"/>
      <c r="I115" s="3604"/>
    </row>
    <row r="116" spans="1:11" ht="27" customHeight="1">
      <c r="A116" s="3504" t="s">
        <v>2296</v>
      </c>
      <c r="B116" s="3556" t="s">
        <v>2297</v>
      </c>
      <c r="C116" s="3556" t="s">
        <v>2298</v>
      </c>
      <c r="D116" s="3562" t="s">
        <v>2299</v>
      </c>
      <c r="E116" s="3563"/>
      <c r="F116" s="3598" t="s">
        <v>3157</v>
      </c>
      <c r="G116" s="3598"/>
      <c r="H116" s="3504" t="s">
        <v>2301</v>
      </c>
      <c r="I116" s="3504"/>
    </row>
    <row r="117" spans="1:11" ht="18.75" customHeight="1">
      <c r="A117" s="3504"/>
      <c r="B117" s="3557"/>
      <c r="C117" s="3557"/>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16569.820000000003</v>
      </c>
      <c r="C118" s="2923">
        <f>M19</f>
        <v>3804.36</v>
      </c>
      <c r="D118" s="2923">
        <f ca="1">ROUND(IF(D32="总价",C34,E118*B118/10000),0)</f>
        <v>33878</v>
      </c>
      <c r="E118" s="2923">
        <f ca="1">ROUND(IF(C33="自定义",IF(D32="楼面单价",C34,D118*10000/B118),I118-G118),0)</f>
        <v>20446</v>
      </c>
      <c r="F118" s="2923">
        <f ca="1">ROUND(IF(D32="总价",C35,G118*B118/10000),0)</f>
        <v>20853</v>
      </c>
      <c r="G118" s="2923">
        <f ca="1">ROUND(IF(D32="楼面单价",C35,F118*10000/B118),0)</f>
        <v>12585</v>
      </c>
      <c r="H118" s="2923">
        <f ca="1">ROUND(IF(D32="总价",C32,I118*B118/10000),0)</f>
        <v>54731</v>
      </c>
      <c r="I118" s="2923">
        <f ca="1">ROUND(IF(D32="楼面单价",C32,H118*10000/B118),0)</f>
        <v>33031</v>
      </c>
    </row>
    <row r="119" spans="1:11" ht="18.75" customHeight="1">
      <c r="A119" s="3504" t="s">
        <v>2305</v>
      </c>
      <c r="B119" s="3504"/>
      <c r="C119" s="3504"/>
      <c r="D119" s="3558" t="str">
        <f ca="1">NUMBERSTRING(INT(D118*10000),2)&amp;"元整"</f>
        <v>叁亿叁仟捌佰柒拾捌万元整</v>
      </c>
      <c r="E119" s="3559"/>
      <c r="F119" s="3558" t="str">
        <f ca="1">NUMBERSTRING(INT(F118*10000),2)&amp;"元整"</f>
        <v>贰亿零捌佰伍拾叁万元整</v>
      </c>
      <c r="G119" s="3559"/>
      <c r="H119" s="3558" t="str">
        <f ca="1">NUMBERSTRING(INT(H118*10000),2)&amp;"元整"</f>
        <v>伍亿肆仟柒佰叁拾壹万元整</v>
      </c>
      <c r="I119" s="3559"/>
    </row>
    <row r="120" spans="1:11" ht="18.75" customHeight="1">
      <c r="A120" s="3553" t="str">
        <f>IF(项目基本情况!B9="房地产市场价值","",MID(E103,3,LEN(E103)-2))</f>
        <v>估价师知悉的法定优先受偿款</v>
      </c>
      <c r="B120" s="3554"/>
      <c r="C120" s="3555"/>
      <c r="D120" s="3553">
        <f>H103</f>
        <v>0</v>
      </c>
      <c r="E120" s="3554"/>
      <c r="F120" s="3554"/>
      <c r="G120" s="3554"/>
      <c r="H120" s="3554"/>
      <c r="I120" s="3555"/>
      <c r="K120" s="2394" t="str">
        <f>IF(D120=0,"故，本次评估不存在"&amp;A120,"故，本次评估"&amp;A120&amp;"为人民币"&amp;D120&amp;"万元整。")</f>
        <v>故，本次评估不存在估价师知悉的法定优先受偿款</v>
      </c>
    </row>
    <row r="121" spans="1:11" ht="18.75" customHeight="1">
      <c r="A121" s="3599" t="s">
        <v>2305</v>
      </c>
      <c r="B121" s="3600"/>
      <c r="C121" s="3601"/>
      <c r="D121" s="3558" t="str">
        <f>IF(D120=0,"零元整",NUMBERSTRING(INT(D120*10000),2)&amp;"元整")</f>
        <v>零元整</v>
      </c>
      <c r="E121" s="3560"/>
      <c r="F121" s="3560"/>
      <c r="G121" s="3560"/>
      <c r="H121" s="3560"/>
      <c r="I121" s="3559"/>
    </row>
    <row r="122" spans="1:11" ht="18.75" customHeight="1">
      <c r="A122" s="3564" t="str">
        <f>IF(项目基本情况!B9="房地产市场价值","",MID(E107,3,LEN(E107)-2))</f>
        <v>房地产抵押价值</v>
      </c>
      <c r="B122" s="3564"/>
      <c r="C122" s="3564"/>
      <c r="D122" s="3553">
        <f ca="1">H107</f>
        <v>54731</v>
      </c>
      <c r="E122" s="3554"/>
      <c r="F122" s="3554"/>
      <c r="G122" s="3554"/>
      <c r="H122" s="3554"/>
      <c r="I122" s="3555"/>
    </row>
    <row r="123" spans="1:11" ht="18.75" customHeight="1">
      <c r="A123" s="3504" t="s">
        <v>2305</v>
      </c>
      <c r="B123" s="3504"/>
      <c r="C123" s="3504"/>
      <c r="D123" s="3558" t="str">
        <f ca="1">NUMBERSTRING(INT(D122*10000),2)&amp;"元整"</f>
        <v>伍亿肆仟柒佰叁拾壹万元整</v>
      </c>
      <c r="E123" s="3560"/>
      <c r="F123" s="3560"/>
      <c r="G123" s="3560"/>
      <c r="H123" s="3560"/>
      <c r="I123" s="3559"/>
    </row>
    <row r="124" spans="1:11" ht="18.75" customHeight="1">
      <c r="A124" s="3564" t="str">
        <f>IF(项目基本情况!B9="房地产市场价值","",MID(E109,3,LEN(E109)-2))</f>
        <v/>
      </c>
      <c r="B124" s="3564"/>
      <c r="C124" s="3564"/>
      <c r="D124" s="3553" t="str">
        <f>H109</f>
        <v>——</v>
      </c>
      <c r="E124" s="3554"/>
      <c r="F124" s="3554"/>
      <c r="G124" s="3554"/>
      <c r="H124" s="3554"/>
      <c r="I124" s="3555"/>
    </row>
    <row r="125" spans="1:11" ht="18.75" customHeight="1">
      <c r="A125" s="3504" t="s">
        <v>2305</v>
      </c>
      <c r="B125" s="3504"/>
      <c r="C125" s="3504"/>
      <c r="D125" s="3558" t="e">
        <f>NUMBERSTRING(INT(D124*10000),2)&amp;"元整"</f>
        <v>#VALUE!</v>
      </c>
      <c r="E125" s="3560"/>
      <c r="F125" s="3560"/>
      <c r="G125" s="3560"/>
      <c r="H125" s="3560"/>
      <c r="I125" s="3559"/>
    </row>
    <row r="126" spans="1:11" ht="18.75" customHeight="1">
      <c r="A126" s="3564" t="str">
        <f>IF(项目基本情况!B9="房地产市场价值","",MID(E111,3,LEN(E111)-2))</f>
        <v/>
      </c>
      <c r="B126" s="3564"/>
      <c r="C126" s="3564"/>
      <c r="D126" s="3553" t="str">
        <f>H111</f>
        <v>——</v>
      </c>
      <c r="E126" s="3554"/>
      <c r="F126" s="3554"/>
      <c r="G126" s="3554"/>
      <c r="H126" s="3554"/>
      <c r="I126" s="3555"/>
    </row>
    <row r="127" spans="1:11" ht="18.75" customHeight="1">
      <c r="A127" s="3504" t="s">
        <v>2305</v>
      </c>
      <c r="B127" s="3504"/>
      <c r="C127" s="3504"/>
      <c r="D127" s="3558" t="e">
        <f>NUMBERSTRING(INT(D126*10000),2)&amp;"元整"</f>
        <v>#VALUE!</v>
      </c>
      <c r="E127" s="3560"/>
      <c r="F127" s="3560"/>
      <c r="G127" s="3560"/>
      <c r="H127" s="3560"/>
      <c r="I127" s="3559"/>
    </row>
    <row r="128" spans="1:11" ht="21.75" customHeight="1">
      <c r="A128" s="3561" t="s">
        <v>2306</v>
      </c>
      <c r="B128" s="3561"/>
      <c r="C128" s="3561"/>
      <c r="D128" s="3561"/>
      <c r="E128" s="3561"/>
      <c r="F128" s="3561"/>
      <c r="G128" s="3561"/>
      <c r="H128" s="3561"/>
      <c r="I128" s="356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3" priority="10" stopIfTrue="1" operator="equal">
      <formula>25</formula>
    </cfRule>
  </conditionalFormatting>
  <conditionalFormatting sqref="C8:C9">
    <cfRule type="cellIs" dxfId="32" priority="9" stopIfTrue="1" operator="equal">
      <formula>15</formula>
    </cfRule>
  </conditionalFormatting>
  <conditionalFormatting sqref="C14:C16">
    <cfRule type="cellIs" dxfId="31" priority="8" stopIfTrue="1" operator="equal">
      <formula>30</formula>
    </cfRule>
  </conditionalFormatting>
  <conditionalFormatting sqref="D5:D7">
    <cfRule type="cellIs" dxfId="30" priority="7" stopIfTrue="1" operator="equal">
      <formula>25</formula>
    </cfRule>
  </conditionalFormatting>
  <conditionalFormatting sqref="D8:D9">
    <cfRule type="cellIs" dxfId="29" priority="6" stopIfTrue="1" operator="equal">
      <formula>15</formula>
    </cfRule>
  </conditionalFormatting>
  <conditionalFormatting sqref="C10:D13">
    <cfRule type="cellIs" dxfId="28" priority="5" stopIfTrue="1" operator="equal">
      <formula>15</formula>
    </cfRule>
  </conditionalFormatting>
  <conditionalFormatting sqref="D14:D16">
    <cfRule type="cellIs" dxfId="27" priority="4" stopIfTrue="1" operator="equal">
      <formula>30</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E36">
    <cfRule type="expression" dxfId="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9" zoomScale="80" zoomScaleNormal="80" workbookViewId="0">
      <selection activeCell="M19" sqref="M19"/>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3445</v>
      </c>
      <c r="B1" s="3029"/>
      <c r="C1" s="3371" t="s">
        <v>3446</v>
      </c>
      <c r="D1" s="3030"/>
      <c r="E1" s="3030"/>
      <c r="F1" s="3031" t="s">
        <v>3447</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3448</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3449</v>
      </c>
      <c r="B3" s="3046" t="e">
        <f>ROUND(IF(D3="",B2*10000/'[2]数据-汇总表'!E3,B2*10000/D3),0)</f>
        <v>#VALUE!</v>
      </c>
      <c r="C3" s="3373" t="s">
        <v>3450</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3451</v>
      </c>
      <c r="B4" s="3051"/>
      <c r="C4" s="3727" t="s">
        <v>3452</v>
      </c>
      <c r="D4" s="3728"/>
      <c r="E4" s="3729" t="s">
        <v>3453</v>
      </c>
      <c r="F4" s="3730"/>
      <c r="G4" s="3727" t="s">
        <v>3454</v>
      </c>
      <c r="H4" s="3728"/>
      <c r="I4" s="3727" t="s">
        <v>3455</v>
      </c>
      <c r="J4" s="3728"/>
      <c r="K4" s="3052" t="s">
        <v>3456</v>
      </c>
      <c r="L4" s="3053"/>
      <c r="M4" s="3054"/>
      <c r="N4" s="3054"/>
      <c r="O4" s="3054"/>
      <c r="P4" s="3731" t="s">
        <v>3457</v>
      </c>
      <c r="Q4" s="3732"/>
      <c r="R4" s="3737" t="s">
        <v>3453</v>
      </c>
      <c r="S4" s="3738"/>
      <c r="T4" s="3737" t="s">
        <v>3454</v>
      </c>
      <c r="U4" s="3738"/>
      <c r="V4" s="3751" t="s">
        <v>3455</v>
      </c>
      <c r="W4" s="3751"/>
      <c r="X4" s="3055"/>
      <c r="Y4" s="3737" t="s">
        <v>3457</v>
      </c>
      <c r="Z4" s="3738"/>
      <c r="AA4" s="3724" t="s">
        <v>3453</v>
      </c>
      <c r="AB4" s="3725" t="s">
        <v>3454</v>
      </c>
      <c r="AC4" s="3724" t="s">
        <v>3455</v>
      </c>
    </row>
    <row r="5" spans="1:30" ht="15">
      <c r="A5" s="3057"/>
      <c r="B5" s="3058"/>
      <c r="C5" s="3741" t="s">
        <v>3458</v>
      </c>
      <c r="D5" s="3742"/>
      <c r="E5" s="3743" t="str">
        <f>土地案例!A3</f>
        <v>朝阳区金盏乡楼梓庄村1113-602地块</v>
      </c>
      <c r="F5" s="3744"/>
      <c r="G5" s="3743" t="str">
        <f>土地案例!A5</f>
        <v>朝阳区金盏乡楼梓庄村1113-603地块</v>
      </c>
      <c r="H5" s="3744"/>
      <c r="I5" s="3743" t="str">
        <f>土地案例!A6</f>
        <v>朝阳区金盏乡楼梓庄村1113-604地块</v>
      </c>
      <c r="J5" s="3744"/>
      <c r="K5" s="3052"/>
      <c r="L5" s="3053"/>
      <c r="M5" s="3054"/>
      <c r="N5" s="3054"/>
      <c r="O5" s="3054"/>
      <c r="P5" s="3733"/>
      <c r="Q5" s="3734"/>
      <c r="R5" s="3739"/>
      <c r="S5" s="3740"/>
      <c r="T5" s="3739"/>
      <c r="U5" s="3740"/>
      <c r="V5" s="3751"/>
      <c r="W5" s="3751"/>
      <c r="X5" s="3055"/>
      <c r="Y5" s="3739"/>
      <c r="Z5" s="3740"/>
      <c r="AA5" s="3725"/>
      <c r="AB5" s="3725"/>
      <c r="AC5" s="3725"/>
    </row>
    <row r="6" spans="1:30" ht="15.75" thickBot="1">
      <c r="A6" s="3059"/>
      <c r="B6" s="3060"/>
      <c r="C6" s="3745" t="s">
        <v>3459</v>
      </c>
      <c r="D6" s="3746"/>
      <c r="E6" s="3747" t="s">
        <v>3459</v>
      </c>
      <c r="F6" s="3748"/>
      <c r="G6" s="3745" t="s">
        <v>3459</v>
      </c>
      <c r="H6" s="3746"/>
      <c r="I6" s="3745" t="s">
        <v>3459</v>
      </c>
      <c r="J6" s="3746"/>
      <c r="K6" s="3052" t="s">
        <v>3460</v>
      </c>
      <c r="L6" s="3053"/>
      <c r="M6" s="3054"/>
      <c r="N6" s="3054"/>
      <c r="O6" s="3054"/>
      <c r="P6" s="3735"/>
      <c r="Q6" s="3736"/>
      <c r="R6" s="3739"/>
      <c r="S6" s="3740"/>
      <c r="T6" s="3749"/>
      <c r="U6" s="3750"/>
      <c r="V6" s="3751"/>
      <c r="W6" s="3751"/>
      <c r="X6" s="3055"/>
      <c r="Y6" s="3749"/>
      <c r="Z6" s="3750"/>
      <c r="AA6" s="3726"/>
      <c r="AB6" s="3726"/>
      <c r="AC6" s="3726"/>
    </row>
    <row r="7" spans="1:30" s="3074" customFormat="1" ht="15.75" thickBot="1">
      <c r="A7" s="3061" t="s">
        <v>3461</v>
      </c>
      <c r="B7" s="3062"/>
      <c r="C7" s="3415">
        <f>'[2]数据-取费表'!B2</f>
        <v>43833</v>
      </c>
      <c r="D7" s="3063">
        <v>100</v>
      </c>
      <c r="E7" s="3064" t="str">
        <f>[2]Sheet1!H3</f>
        <v>2017-04-14</v>
      </c>
      <c r="F7" s="3065">
        <f>SUMIF(70:70,YEAR(E7)&amp;"-"&amp;INT((MONTH(E7)+2)/3),71:71)</f>
        <v>98.5</v>
      </c>
      <c r="G7" s="3066" t="str">
        <f>[2]Sheet1!H5</f>
        <v>2017-03-30</v>
      </c>
      <c r="H7" s="3063">
        <f>SUMIF(70:70,YEAR(G7)&amp;"-"&amp;INT((MONTH(G7)+2)/3),71:71)</f>
        <v>98.5</v>
      </c>
      <c r="I7" s="3066" t="str">
        <f>[2]Sheet1!H6</f>
        <v>2017-03-30</v>
      </c>
      <c r="J7" s="3063">
        <f>SUMIF(70:70,YEAR(I7)&amp;"-"&amp;INT((MONTH(I7)+2)/3),71:71)</f>
        <v>98.5</v>
      </c>
      <c r="K7" s="3067"/>
      <c r="L7" s="3068"/>
      <c r="M7" s="3069"/>
      <c r="N7" s="3069"/>
      <c r="O7" s="3069"/>
      <c r="P7" s="3752" t="s">
        <v>3462</v>
      </c>
      <c r="Q7" s="3753"/>
      <c r="R7" s="3070" t="s">
        <v>3463</v>
      </c>
      <c r="S7" s="3071">
        <f t="shared" ref="S7:S15" si="0">F7</f>
        <v>98.5</v>
      </c>
      <c r="T7" s="3070" t="s">
        <v>3463</v>
      </c>
      <c r="U7" s="3071">
        <f t="shared" ref="U7:U15" si="1">H7</f>
        <v>98.5</v>
      </c>
      <c r="V7" s="3070" t="s">
        <v>3463</v>
      </c>
      <c r="W7" s="3071">
        <f t="shared" ref="W7:W15" si="2">J7</f>
        <v>98.5</v>
      </c>
      <c r="X7" s="3072"/>
      <c r="Y7" s="3752" t="s">
        <v>3462</v>
      </c>
      <c r="Z7" s="3754"/>
      <c r="AA7" s="3073">
        <f>D7/F7</f>
        <v>1.015228426395939</v>
      </c>
      <c r="AB7" s="3073">
        <f>D7/H7</f>
        <v>1.015228426395939</v>
      </c>
      <c r="AC7" s="3073">
        <f>D7/J7</f>
        <v>1.015228426395939</v>
      </c>
    </row>
    <row r="8" spans="1:30" s="3074" customFormat="1" ht="15.75" thickBot="1">
      <c r="A8" s="3061" t="s">
        <v>3464</v>
      </c>
      <c r="B8" s="3062"/>
      <c r="C8" s="3374" t="s">
        <v>2539</v>
      </c>
      <c r="D8" s="3063">
        <v>100</v>
      </c>
      <c r="E8" s="3075" t="s">
        <v>3051</v>
      </c>
      <c r="F8" s="3065">
        <f>SUMIF(73:73,E8,74:74)-SUMIF(73:73,C8,74:74)+100</f>
        <v>100</v>
      </c>
      <c r="G8" s="3075" t="s">
        <v>3051</v>
      </c>
      <c r="H8" s="3063">
        <f>SUMIF(73:73,G8,74:74)-SUMIF(73:73,C8,74:74)+100</f>
        <v>100</v>
      </c>
      <c r="I8" s="3075" t="s">
        <v>3051</v>
      </c>
      <c r="J8" s="3063">
        <f>SUMIF(73:73,I8,74:74)-SUMIF(73:73,C8,74:74)+100</f>
        <v>100</v>
      </c>
      <c r="K8" s="3067"/>
      <c r="L8" s="3068"/>
      <c r="M8" s="3069"/>
      <c r="N8" s="3069"/>
      <c r="O8" s="3069"/>
      <c r="P8" s="3752" t="s">
        <v>2540</v>
      </c>
      <c r="Q8" s="3754"/>
      <c r="R8" s="3070" t="s">
        <v>3465</v>
      </c>
      <c r="S8" s="3071">
        <f t="shared" si="0"/>
        <v>100</v>
      </c>
      <c r="T8" s="3070" t="s">
        <v>3465</v>
      </c>
      <c r="U8" s="3071">
        <f t="shared" si="1"/>
        <v>100</v>
      </c>
      <c r="V8" s="3070" t="s">
        <v>3465</v>
      </c>
      <c r="W8" s="3071">
        <f t="shared" si="2"/>
        <v>100</v>
      </c>
      <c r="X8" s="3072"/>
      <c r="Y8" s="3752" t="s">
        <v>2540</v>
      </c>
      <c r="Z8" s="3754"/>
      <c r="AA8" s="3073">
        <f t="shared" ref="AA8:AA45" si="3">D8/F8</f>
        <v>1</v>
      </c>
      <c r="AB8" s="3073">
        <f t="shared" ref="AB8:AB45" si="4">D8/H8</f>
        <v>1</v>
      </c>
      <c r="AC8" s="3073">
        <f t="shared" ref="AC8:AC45" si="5">D8/J8</f>
        <v>1</v>
      </c>
    </row>
    <row r="9" spans="1:30" s="3074" customFormat="1">
      <c r="A9" s="3076" t="s">
        <v>3466</v>
      </c>
      <c r="B9" s="3077" t="s">
        <v>3467</v>
      </c>
      <c r="C9" s="3078" t="s">
        <v>3468</v>
      </c>
      <c r="D9" s="3079">
        <v>100</v>
      </c>
      <c r="E9" s="3078" t="s">
        <v>3468</v>
      </c>
      <c r="F9" s="3079">
        <f>SUMIF(75:75,E9,76:76)-SUMIF(75:75,C9,76:76)+100</f>
        <v>100</v>
      </c>
      <c r="G9" s="3078" t="s">
        <v>3468</v>
      </c>
      <c r="H9" s="3079">
        <f>SUMIF(75:75,G9,76:76)-SUMIF(75:75,C9,76:76)+100</f>
        <v>100</v>
      </c>
      <c r="I9" s="3078" t="s">
        <v>3468</v>
      </c>
      <c r="J9" s="3079">
        <f>SUMIF(75:75,I9,76:76)-SUMIF(75:75,C9,76:76)+100</f>
        <v>100</v>
      </c>
      <c r="K9" s="3067"/>
      <c r="L9" s="3068"/>
      <c r="M9" s="3069"/>
      <c r="N9" s="3069"/>
      <c r="O9" s="3080"/>
      <c r="P9" s="3755" t="s">
        <v>3469</v>
      </c>
      <c r="Q9" s="3081" t="str">
        <f t="shared" ref="Q9:Q15" si="6">B9</f>
        <v>用途</v>
      </c>
      <c r="R9" s="3070" t="s">
        <v>3465</v>
      </c>
      <c r="S9" s="3071">
        <f t="shared" si="0"/>
        <v>100</v>
      </c>
      <c r="T9" s="3070" t="s">
        <v>3465</v>
      </c>
      <c r="U9" s="3071">
        <f t="shared" si="1"/>
        <v>100</v>
      </c>
      <c r="V9" s="3070" t="s">
        <v>3465</v>
      </c>
      <c r="W9" s="3071">
        <f t="shared" si="2"/>
        <v>100</v>
      </c>
      <c r="X9" s="3072"/>
      <c r="Y9" s="3756" t="s">
        <v>3470</v>
      </c>
      <c r="Z9" s="3082" t="str">
        <f t="shared" ref="Z9:Z15" si="7">Q9</f>
        <v>用途</v>
      </c>
      <c r="AA9" s="3073">
        <f t="shared" si="3"/>
        <v>1</v>
      </c>
      <c r="AB9" s="3073">
        <f t="shared" si="4"/>
        <v>1</v>
      </c>
      <c r="AC9" s="3073">
        <f t="shared" si="5"/>
        <v>1</v>
      </c>
    </row>
    <row r="10" spans="1:30" s="3093" customFormat="1" ht="28.5">
      <c r="A10" s="3083"/>
      <c r="B10" s="3084" t="s">
        <v>2545</v>
      </c>
      <c r="C10" s="3085" t="s">
        <v>3471</v>
      </c>
      <c r="D10" s="3086">
        <v>100</v>
      </c>
      <c r="E10" s="3087" t="s">
        <v>3472</v>
      </c>
      <c r="F10" s="3086">
        <f>ROUND(100/'[2]数据-取费表'!G16,0)</f>
        <v>105</v>
      </c>
      <c r="G10" s="3088" t="s">
        <v>3472</v>
      </c>
      <c r="H10" s="3086">
        <f>ROUND(100/'[2]数据-取费表'!G16,0)</f>
        <v>105</v>
      </c>
      <c r="I10" s="3088" t="s">
        <v>3472</v>
      </c>
      <c r="J10" s="3086">
        <f>ROUND(100/'[2]数据-取费表'!G16,0)</f>
        <v>105</v>
      </c>
      <c r="K10" s="3089"/>
      <c r="L10" s="3090"/>
      <c r="M10" s="3091"/>
      <c r="N10" s="3091"/>
      <c r="O10" s="3092"/>
      <c r="P10" s="3755"/>
      <c r="Q10" s="3081" t="str">
        <f t="shared" si="6"/>
        <v>土地使用年限（年）</v>
      </c>
      <c r="R10" s="3070" t="s">
        <v>3465</v>
      </c>
      <c r="S10" s="3071">
        <f t="shared" si="0"/>
        <v>105</v>
      </c>
      <c r="T10" s="3070" t="s">
        <v>3465</v>
      </c>
      <c r="U10" s="3071">
        <f t="shared" si="1"/>
        <v>105</v>
      </c>
      <c r="V10" s="3070" t="s">
        <v>3465</v>
      </c>
      <c r="W10" s="3071">
        <f t="shared" si="2"/>
        <v>105</v>
      </c>
      <c r="X10" s="3072"/>
      <c r="Y10" s="3756"/>
      <c r="Z10" s="3082" t="str">
        <f t="shared" si="7"/>
        <v>土地使用年限（年）</v>
      </c>
      <c r="AA10" s="3073">
        <f t="shared" si="3"/>
        <v>0.95238095238095233</v>
      </c>
      <c r="AB10" s="3073">
        <f t="shared" si="4"/>
        <v>0.95238095238095233</v>
      </c>
      <c r="AC10" s="3073">
        <f t="shared" si="5"/>
        <v>0.95238095238095233</v>
      </c>
    </row>
    <row r="11" spans="1:30" ht="15">
      <c r="A11" s="3094"/>
      <c r="B11" s="3084" t="s">
        <v>3473</v>
      </c>
      <c r="C11" s="3095">
        <f>'数据-汇总表'!I4</f>
        <v>3.72</v>
      </c>
      <c r="D11" s="3086">
        <v>100</v>
      </c>
      <c r="E11" s="3095">
        <f>[2]Sheet1!F3</f>
        <v>3</v>
      </c>
      <c r="F11" s="3086">
        <f>LOOKUP(E11,80:80,81:81)-LOOKUP(C11,80:80,81:81)+100</f>
        <v>100</v>
      </c>
      <c r="G11" s="3096">
        <f>[2]Sheet1!F5</f>
        <v>2</v>
      </c>
      <c r="H11" s="3086">
        <f>LOOKUP(G11,80:80,81:81)-LOOKUP(C11,80:80,81:81)+100</f>
        <v>101</v>
      </c>
      <c r="I11" s="3095">
        <f>[2]Sheet1!F6</f>
        <v>2</v>
      </c>
      <c r="J11" s="3086">
        <f>LOOKUP(I11,80:80,81:81)-LOOKUP(C11,80:80,81:81)+100</f>
        <v>101</v>
      </c>
      <c r="K11" s="3097">
        <v>1</v>
      </c>
      <c r="L11" s="3098"/>
      <c r="M11" s="3054"/>
      <c r="N11" s="3054"/>
      <c r="O11" s="3099"/>
      <c r="P11" s="3755"/>
      <c r="Q11" s="3081" t="str">
        <f t="shared" si="6"/>
        <v>容积率</v>
      </c>
      <c r="R11" s="3070" t="s">
        <v>3463</v>
      </c>
      <c r="S11" s="3071">
        <f t="shared" si="0"/>
        <v>100</v>
      </c>
      <c r="T11" s="3070" t="s">
        <v>3463</v>
      </c>
      <c r="U11" s="3071">
        <f t="shared" si="1"/>
        <v>101</v>
      </c>
      <c r="V11" s="3070" t="s">
        <v>3463</v>
      </c>
      <c r="W11" s="3071">
        <f t="shared" si="2"/>
        <v>101</v>
      </c>
      <c r="X11" s="3072"/>
      <c r="Y11" s="3756"/>
      <c r="Z11" s="3082" t="str">
        <f t="shared" si="7"/>
        <v>容积率</v>
      </c>
      <c r="AA11" s="3073">
        <f t="shared" si="3"/>
        <v>1</v>
      </c>
      <c r="AB11" s="3073">
        <f t="shared" si="4"/>
        <v>0.99009900990099009</v>
      </c>
      <c r="AC11" s="3073">
        <f t="shared" si="5"/>
        <v>0.99009900990099009</v>
      </c>
    </row>
    <row r="12" spans="1:30" s="3074" customFormat="1" ht="15">
      <c r="A12" s="3100"/>
      <c r="B12" s="3101" t="s">
        <v>3474</v>
      </c>
      <c r="C12" s="3102" t="s">
        <v>3475</v>
      </c>
      <c r="D12" s="3103">
        <v>100</v>
      </c>
      <c r="E12" s="3104" t="s">
        <v>3475</v>
      </c>
      <c r="F12" s="3086">
        <f>SUMIF(82:82,E12,83:83)-SUMIF(82:82,C12,83:83)+100</f>
        <v>100</v>
      </c>
      <c r="G12" s="3088" t="s">
        <v>3476</v>
      </c>
      <c r="H12" s="3086">
        <f>SUMIF(82:82,G12,83:83)-SUMIF(82:82,C12,83:83)+100</f>
        <v>95</v>
      </c>
      <c r="I12" s="3087" t="s">
        <v>3476</v>
      </c>
      <c r="J12" s="3086">
        <f>SUMIF(82:82,I12,83:83)-SUMIF(82:82,C12,83:83)+100</f>
        <v>95</v>
      </c>
      <c r="K12" s="3089"/>
      <c r="L12" s="3068"/>
      <c r="M12" s="3069"/>
      <c r="N12" s="3069"/>
      <c r="O12" s="3080"/>
      <c r="P12" s="3755"/>
      <c r="Q12" s="3081" t="str">
        <f t="shared" si="6"/>
        <v>自持</v>
      </c>
      <c r="R12" s="3070" t="s">
        <v>3463</v>
      </c>
      <c r="S12" s="3071">
        <f t="shared" si="0"/>
        <v>100</v>
      </c>
      <c r="T12" s="3070" t="s">
        <v>3463</v>
      </c>
      <c r="U12" s="3071">
        <f t="shared" si="1"/>
        <v>95</v>
      </c>
      <c r="V12" s="3070" t="s">
        <v>3463</v>
      </c>
      <c r="W12" s="3071">
        <f t="shared" si="2"/>
        <v>95</v>
      </c>
      <c r="X12" s="3072"/>
      <c r="Y12" s="3756"/>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755"/>
      <c r="Q13" s="3081">
        <f t="shared" si="6"/>
        <v>0</v>
      </c>
      <c r="R13" s="3070" t="s">
        <v>3463</v>
      </c>
      <c r="S13" s="3071">
        <f t="shared" si="0"/>
        <v>100</v>
      </c>
      <c r="T13" s="3070" t="s">
        <v>3463</v>
      </c>
      <c r="U13" s="3071">
        <f t="shared" si="1"/>
        <v>100</v>
      </c>
      <c r="V13" s="3070" t="s">
        <v>3463</v>
      </c>
      <c r="W13" s="3071">
        <f t="shared" si="2"/>
        <v>100</v>
      </c>
      <c r="X13" s="3072"/>
      <c r="Y13" s="3756"/>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755"/>
      <c r="Q14" s="3081">
        <f t="shared" si="6"/>
        <v>0</v>
      </c>
      <c r="R14" s="3070" t="s">
        <v>3463</v>
      </c>
      <c r="S14" s="3071">
        <f t="shared" si="0"/>
        <v>100</v>
      </c>
      <c r="T14" s="3070" t="s">
        <v>3463</v>
      </c>
      <c r="U14" s="3071">
        <f t="shared" si="1"/>
        <v>100</v>
      </c>
      <c r="V14" s="3070" t="s">
        <v>3463</v>
      </c>
      <c r="W14" s="3071">
        <f t="shared" si="2"/>
        <v>100</v>
      </c>
      <c r="X14" s="3072"/>
      <c r="Y14" s="3756"/>
      <c r="Z14" s="3082">
        <f t="shared" si="7"/>
        <v>0</v>
      </c>
      <c r="AA14" s="3073">
        <f>D14/F14</f>
        <v>1</v>
      </c>
      <c r="AB14" s="3073">
        <f>D14/H14</f>
        <v>1</v>
      </c>
      <c r="AC14" s="3073">
        <f>D14/J14</f>
        <v>1</v>
      </c>
    </row>
    <row r="15" spans="1:30" ht="57" hidden="1">
      <c r="A15" s="3115" t="s">
        <v>3477</v>
      </c>
      <c r="B15" s="3116" t="s">
        <v>2076</v>
      </c>
      <c r="C15" s="3375" t="str">
        <f>[2]估价对象房地状况!C15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757" t="s">
        <v>3478</v>
      </c>
      <c r="Q15" s="3120" t="str">
        <f t="shared" si="6"/>
        <v>居住社区成熟度</v>
      </c>
      <c r="R15" s="3121" t="s">
        <v>3463</v>
      </c>
      <c r="S15" s="3122">
        <f t="shared" si="0"/>
        <v>100</v>
      </c>
      <c r="T15" s="3121" t="s">
        <v>3463</v>
      </c>
      <c r="U15" s="3122">
        <f t="shared" si="1"/>
        <v>100</v>
      </c>
      <c r="V15" s="3121" t="s">
        <v>3463</v>
      </c>
      <c r="W15" s="3122">
        <f t="shared" si="2"/>
        <v>100</v>
      </c>
      <c r="X15" s="3055"/>
      <c r="Y15" s="3757" t="s">
        <v>3478</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758"/>
      <c r="Q16" s="3120"/>
      <c r="R16" s="3121"/>
      <c r="S16" s="3122"/>
      <c r="T16" s="3121"/>
      <c r="U16" s="3122"/>
      <c r="V16" s="3121"/>
      <c r="W16" s="3122"/>
      <c r="X16" s="3055"/>
      <c r="Y16" s="3758"/>
      <c r="Z16" s="3123"/>
      <c r="AA16" s="3124">
        <v>1</v>
      </c>
      <c r="AB16" s="3124">
        <v>1</v>
      </c>
      <c r="AC16" s="3124">
        <v>1</v>
      </c>
    </row>
    <row r="17" spans="1:29" ht="74.25" customHeight="1">
      <c r="A17" s="3094"/>
      <c r="B17" s="3131" t="s">
        <v>3479</v>
      </c>
      <c r="C17" s="3139" t="str">
        <f>估价对象房地状况!C4</f>
        <v>估价对象位于望京商圈，周边商业氛围较成熟，人流量较大，商业繁华度较好</v>
      </c>
      <c r="D17" s="3129">
        <v>100</v>
      </c>
      <c r="E17" s="3133"/>
      <c r="F17" s="3129">
        <f>SUMIF(90:90,E18,91:91)-SUMIF(90:90,C18,91:91)+100</f>
        <v>97</v>
      </c>
      <c r="G17" s="3133"/>
      <c r="H17" s="3134">
        <f>SUMIF(90:90,G18,91:91)-SUMIF(90:90,C18,91:91)+100</f>
        <v>97</v>
      </c>
      <c r="I17" s="3133"/>
      <c r="J17" s="3134">
        <f>SUMIF(90:90,I18,91:91)-SUMIF(90:90,C18,91:91)+100</f>
        <v>97</v>
      </c>
      <c r="K17" s="3097">
        <v>3</v>
      </c>
      <c r="L17" s="3110"/>
      <c r="M17" s="3054"/>
      <c r="N17" s="3054"/>
      <c r="O17" s="3099"/>
      <c r="P17" s="3758"/>
      <c r="Q17" s="3120" t="str">
        <f>B17</f>
        <v>商业繁华度</v>
      </c>
      <c r="R17" s="3121" t="s">
        <v>3463</v>
      </c>
      <c r="S17" s="3122">
        <f>F17</f>
        <v>97</v>
      </c>
      <c r="T17" s="3121" t="s">
        <v>3463</v>
      </c>
      <c r="U17" s="3122">
        <f>H17</f>
        <v>97</v>
      </c>
      <c r="V17" s="3121" t="s">
        <v>3463</v>
      </c>
      <c r="W17" s="3122">
        <f>J17</f>
        <v>97</v>
      </c>
      <c r="X17" s="3055"/>
      <c r="Y17" s="3758"/>
      <c r="Z17" s="3123" t="str">
        <f>Q17</f>
        <v>商业繁华度</v>
      </c>
      <c r="AA17" s="3124">
        <f t="shared" si="3"/>
        <v>1.0309278350515463</v>
      </c>
      <c r="AB17" s="3124">
        <f t="shared" si="4"/>
        <v>1.0309278350515463</v>
      </c>
      <c r="AC17" s="3124">
        <f t="shared" si="5"/>
        <v>1.0309278350515463</v>
      </c>
    </row>
    <row r="18" spans="1:29" ht="15">
      <c r="A18" s="3094"/>
      <c r="B18" s="3135"/>
      <c r="C18" s="3136" t="s">
        <v>3057</v>
      </c>
      <c r="D18" s="3129"/>
      <c r="E18" s="3137" t="s">
        <v>3058</v>
      </c>
      <c r="F18" s="3129"/>
      <c r="G18" s="3137" t="s">
        <v>3058</v>
      </c>
      <c r="H18" s="3127"/>
      <c r="I18" s="3137" t="s">
        <v>3058</v>
      </c>
      <c r="J18" s="3127"/>
      <c r="K18" s="3089"/>
      <c r="L18" s="3110"/>
      <c r="M18" s="3054"/>
      <c r="N18" s="3054"/>
      <c r="O18" s="3099"/>
      <c r="P18" s="3758"/>
      <c r="Q18" s="3120"/>
      <c r="R18" s="3121"/>
      <c r="S18" s="3122"/>
      <c r="T18" s="3121"/>
      <c r="U18" s="3122"/>
      <c r="V18" s="3121"/>
      <c r="W18" s="3122"/>
      <c r="X18" s="3055"/>
      <c r="Y18" s="3758"/>
      <c r="Z18" s="3123"/>
      <c r="AA18" s="3124">
        <v>1</v>
      </c>
      <c r="AB18" s="3124">
        <v>1</v>
      </c>
      <c r="AC18" s="3124">
        <v>1</v>
      </c>
    </row>
    <row r="19" spans="1:29" ht="72" customHeight="1">
      <c r="A19" s="3094"/>
      <c r="B19" s="3131" t="s">
        <v>3480</v>
      </c>
      <c r="C19" s="3132" t="str">
        <f>估价对象房地状况!C5</f>
        <v>估价对象位于望京商圈，周边办公楼项目较多，入驻率较高，办公集聚程度较好</v>
      </c>
      <c r="D19" s="3134">
        <v>100</v>
      </c>
      <c r="E19" s="3138"/>
      <c r="F19" s="3134">
        <f>SUMIF(92:92,E20,93:93)-SUMIF(92:92,C20,93:93)+100</f>
        <v>97</v>
      </c>
      <c r="G19" s="3138"/>
      <c r="H19" s="3129">
        <f>SUMIF(92:92,G20,93:93)-SUMIF(92:92,C20,93:93)+100</f>
        <v>97</v>
      </c>
      <c r="I19" s="3138"/>
      <c r="J19" s="3129">
        <f>SUMIF(92:92,I20,93:93)-SUMIF(92:92,C20,93:93)+100</f>
        <v>97</v>
      </c>
      <c r="K19" s="3097">
        <v>3</v>
      </c>
      <c r="L19" s="3110"/>
      <c r="M19" s="3054"/>
      <c r="N19" s="3054"/>
      <c r="O19" s="3099"/>
      <c r="P19" s="3758"/>
      <c r="Q19" s="3120" t="str">
        <f>B19</f>
        <v>办公集聚程度</v>
      </c>
      <c r="R19" s="3121" t="s">
        <v>3463</v>
      </c>
      <c r="S19" s="3122">
        <f>F19</f>
        <v>97</v>
      </c>
      <c r="T19" s="3121" t="s">
        <v>3463</v>
      </c>
      <c r="U19" s="3122">
        <f>H19</f>
        <v>97</v>
      </c>
      <c r="V19" s="3121" t="s">
        <v>3463</v>
      </c>
      <c r="W19" s="3122">
        <f>J19</f>
        <v>97</v>
      </c>
      <c r="X19" s="3055"/>
      <c r="Y19" s="3758"/>
      <c r="Z19" s="3123" t="str">
        <f>Q19</f>
        <v>办公集聚程度</v>
      </c>
      <c r="AA19" s="3124">
        <f t="shared" si="3"/>
        <v>1.0309278350515463</v>
      </c>
      <c r="AB19" s="3124">
        <f t="shared" si="4"/>
        <v>1.0309278350515463</v>
      </c>
      <c r="AC19" s="3124">
        <f t="shared" si="5"/>
        <v>1.0309278350515463</v>
      </c>
    </row>
    <row r="20" spans="1:29" ht="15">
      <c r="A20" s="3094"/>
      <c r="B20" s="3135"/>
      <c r="C20" s="3126" t="s">
        <v>3057</v>
      </c>
      <c r="D20" s="3127"/>
      <c r="E20" s="3128" t="s">
        <v>3058</v>
      </c>
      <c r="F20" s="3127"/>
      <c r="G20" s="3128" t="s">
        <v>3058</v>
      </c>
      <c r="H20" s="3127"/>
      <c r="I20" s="3128" t="s">
        <v>3058</v>
      </c>
      <c r="J20" s="3127"/>
      <c r="K20" s="3089"/>
      <c r="L20" s="3110"/>
      <c r="M20" s="3054"/>
      <c r="N20" s="3054"/>
      <c r="O20" s="3099"/>
      <c r="P20" s="3758"/>
      <c r="Q20" s="3120"/>
      <c r="R20" s="3121"/>
      <c r="S20" s="3122"/>
      <c r="T20" s="3121"/>
      <c r="U20" s="3122"/>
      <c r="V20" s="3121"/>
      <c r="W20" s="3122"/>
      <c r="X20" s="3055"/>
      <c r="Y20" s="3758"/>
      <c r="Z20" s="3123"/>
      <c r="AA20" s="3124">
        <v>1</v>
      </c>
      <c r="AB20" s="3124">
        <v>1</v>
      </c>
      <c r="AC20" s="3124">
        <v>1</v>
      </c>
    </row>
    <row r="21" spans="1:29" ht="71.25">
      <c r="A21" s="3094"/>
      <c r="B21" s="3131" t="s">
        <v>3481</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758"/>
      <c r="Q21" s="3120" t="str">
        <f>B21</f>
        <v>交通便捷度</v>
      </c>
      <c r="R21" s="3121" t="s">
        <v>3463</v>
      </c>
      <c r="S21" s="3122">
        <f>F21</f>
        <v>98</v>
      </c>
      <c r="T21" s="3121" t="s">
        <v>3463</v>
      </c>
      <c r="U21" s="3122">
        <f>H21</f>
        <v>98</v>
      </c>
      <c r="V21" s="3121" t="s">
        <v>3463</v>
      </c>
      <c r="W21" s="3122">
        <f>J21</f>
        <v>98</v>
      </c>
      <c r="X21" s="3055"/>
      <c r="Y21" s="3758"/>
      <c r="Z21" s="3123" t="str">
        <f>Q21</f>
        <v>交通便捷度</v>
      </c>
      <c r="AA21" s="3124">
        <f t="shared" si="3"/>
        <v>1.0204081632653061</v>
      </c>
      <c r="AB21" s="3124">
        <f t="shared" si="4"/>
        <v>1.0204081632653061</v>
      </c>
      <c r="AC21" s="3124">
        <f t="shared" si="5"/>
        <v>1.0204081632653061</v>
      </c>
    </row>
    <row r="22" spans="1:29" ht="15">
      <c r="A22" s="3094"/>
      <c r="B22" s="3140"/>
      <c r="C22" s="3126" t="s">
        <v>3057</v>
      </c>
      <c r="D22" s="3129"/>
      <c r="E22" s="3128" t="s">
        <v>3058</v>
      </c>
      <c r="F22" s="3127"/>
      <c r="G22" s="3128" t="s">
        <v>3058</v>
      </c>
      <c r="H22" s="3127"/>
      <c r="I22" s="3128" t="s">
        <v>3058</v>
      </c>
      <c r="J22" s="3127"/>
      <c r="K22" s="3089"/>
      <c r="L22" s="3110"/>
      <c r="M22" s="3054"/>
      <c r="N22" s="3054"/>
      <c r="O22" s="3099"/>
      <c r="P22" s="3758"/>
      <c r="Q22" s="3120"/>
      <c r="R22" s="3121"/>
      <c r="S22" s="3122"/>
      <c r="T22" s="3121"/>
      <c r="U22" s="3122"/>
      <c r="V22" s="3121"/>
      <c r="W22" s="3122"/>
      <c r="X22" s="3055"/>
      <c r="Y22" s="3758"/>
      <c r="Z22" s="3123"/>
      <c r="AA22" s="3124">
        <v>1</v>
      </c>
      <c r="AB22" s="3124">
        <v>1</v>
      </c>
      <c r="AC22" s="3124">
        <v>1</v>
      </c>
    </row>
    <row r="23" spans="1:29" ht="15">
      <c r="A23" s="3057"/>
      <c r="B23" s="3131" t="s">
        <v>3482</v>
      </c>
      <c r="C23" s="3141" t="e">
        <f>[2]估价对象房地状况!C19</f>
        <v>#REF!</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758"/>
      <c r="Q23" s="3120" t="str">
        <f t="shared" ref="Q23:Q37" si="8">B23</f>
        <v>区域土地利用方向</v>
      </c>
      <c r="R23" s="3121" t="s">
        <v>3463</v>
      </c>
      <c r="S23" s="3122">
        <f>F23</f>
        <v>100</v>
      </c>
      <c r="T23" s="3121" t="s">
        <v>3483</v>
      </c>
      <c r="U23" s="3122">
        <f>H23</f>
        <v>100</v>
      </c>
      <c r="V23" s="3121" t="s">
        <v>3483</v>
      </c>
      <c r="W23" s="3122">
        <f>J23</f>
        <v>100</v>
      </c>
      <c r="X23" s="3055"/>
      <c r="Y23" s="3758"/>
      <c r="Z23" s="3123" t="str">
        <f>Q23</f>
        <v>区域土地利用方向</v>
      </c>
      <c r="AA23" s="3124">
        <f t="shared" si="3"/>
        <v>1</v>
      </c>
      <c r="AB23" s="3124">
        <f t="shared" si="4"/>
        <v>1</v>
      </c>
      <c r="AC23" s="3124">
        <f t="shared" si="5"/>
        <v>1</v>
      </c>
    </row>
    <row r="24" spans="1:29" ht="15">
      <c r="A24" s="3057"/>
      <c r="B24" s="3135"/>
      <c r="C24" s="3142" t="s">
        <v>3057</v>
      </c>
      <c r="D24" s="3127"/>
      <c r="E24" s="3128" t="s">
        <v>3057</v>
      </c>
      <c r="F24" s="3127"/>
      <c r="G24" s="3128" t="s">
        <v>3057</v>
      </c>
      <c r="H24" s="3127"/>
      <c r="I24" s="3128" t="s">
        <v>3057</v>
      </c>
      <c r="J24" s="3127"/>
      <c r="K24" s="3143"/>
      <c r="L24" s="3110"/>
      <c r="M24" s="3054"/>
      <c r="N24" s="3054"/>
      <c r="O24" s="3099"/>
      <c r="P24" s="3758"/>
      <c r="Q24" s="3120"/>
      <c r="R24" s="3121"/>
      <c r="S24" s="3122"/>
      <c r="T24" s="3121"/>
      <c r="U24" s="3122"/>
      <c r="V24" s="3121"/>
      <c r="W24" s="3122"/>
      <c r="X24" s="3055"/>
      <c r="Y24" s="3758"/>
      <c r="Z24" s="3123"/>
      <c r="AA24" s="3124"/>
      <c r="AB24" s="3124"/>
      <c r="AC24" s="3124"/>
    </row>
    <row r="25" spans="1:29" ht="53.25" customHeight="1">
      <c r="A25" s="3057"/>
      <c r="B25" s="3140" t="s">
        <v>3484</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758"/>
      <c r="Q25" s="3120" t="str">
        <f t="shared" si="8"/>
        <v>自然及人文环境状况</v>
      </c>
      <c r="R25" s="3121" t="s">
        <v>3483</v>
      </c>
      <c r="S25" s="3122">
        <f>F25</f>
        <v>99</v>
      </c>
      <c r="T25" s="3121" t="s">
        <v>3483</v>
      </c>
      <c r="U25" s="3122">
        <f>H25</f>
        <v>99</v>
      </c>
      <c r="V25" s="3121" t="s">
        <v>3483</v>
      </c>
      <c r="W25" s="3122">
        <f>J25</f>
        <v>99</v>
      </c>
      <c r="X25" s="3055"/>
      <c r="Y25" s="3758"/>
      <c r="Z25" s="3123" t="str">
        <f>Q25</f>
        <v>自然及人文环境状况</v>
      </c>
      <c r="AA25" s="3124">
        <f t="shared" si="3"/>
        <v>1.0101010101010102</v>
      </c>
      <c r="AB25" s="3124">
        <f t="shared" si="4"/>
        <v>1.0101010101010102</v>
      </c>
      <c r="AC25" s="3124">
        <f t="shared" si="5"/>
        <v>1.0101010101010102</v>
      </c>
    </row>
    <row r="26" spans="1:29" ht="15">
      <c r="A26" s="3057"/>
      <c r="B26" s="3135"/>
      <c r="C26" s="3126" t="s">
        <v>3057</v>
      </c>
      <c r="D26" s="3127"/>
      <c r="E26" s="3144" t="s">
        <v>3058</v>
      </c>
      <c r="F26" s="3127"/>
      <c r="G26" s="3144" t="s">
        <v>3058</v>
      </c>
      <c r="H26" s="3127"/>
      <c r="I26" s="3144" t="s">
        <v>3058</v>
      </c>
      <c r="J26" s="3127"/>
      <c r="K26" s="3089"/>
      <c r="L26" s="3110"/>
      <c r="M26" s="3054"/>
      <c r="N26" s="3054"/>
      <c r="O26" s="3099"/>
      <c r="P26" s="3758"/>
      <c r="Q26" s="3120"/>
      <c r="R26" s="3121"/>
      <c r="S26" s="3122"/>
      <c r="T26" s="3121"/>
      <c r="U26" s="3122"/>
      <c r="V26" s="3121"/>
      <c r="W26" s="3122"/>
      <c r="X26" s="3055"/>
      <c r="Y26" s="3758"/>
      <c r="Z26" s="3123"/>
      <c r="AA26" s="3124">
        <v>1</v>
      </c>
      <c r="AB26" s="3124">
        <v>1</v>
      </c>
      <c r="AC26" s="3124">
        <v>1</v>
      </c>
    </row>
    <row r="27" spans="1:29" s="3074" customFormat="1" ht="28.5">
      <c r="A27" s="3145"/>
      <c r="B27" s="3140" t="s">
        <v>3485</v>
      </c>
      <c r="C27" s="3139" t="str">
        <f>[2]估价对象房地状况!C21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758"/>
      <c r="Q27" s="3081" t="str">
        <f t="shared" si="8"/>
        <v>公共配套设施</v>
      </c>
      <c r="R27" s="3070" t="s">
        <v>3463</v>
      </c>
      <c r="S27" s="3071">
        <f>F27</f>
        <v>98</v>
      </c>
      <c r="T27" s="3070" t="s">
        <v>3463</v>
      </c>
      <c r="U27" s="3071">
        <f>H27</f>
        <v>98</v>
      </c>
      <c r="V27" s="3070" t="s">
        <v>3463</v>
      </c>
      <c r="W27" s="3071">
        <f>J27</f>
        <v>98</v>
      </c>
      <c r="X27" s="3072"/>
      <c r="Y27" s="3758"/>
      <c r="Z27" s="3082" t="str">
        <f>Q27</f>
        <v>公共配套设施</v>
      </c>
      <c r="AA27" s="3124">
        <f>D27/F27</f>
        <v>1.0204081632653061</v>
      </c>
      <c r="AB27" s="3124">
        <f>D27/H27</f>
        <v>1.0204081632653061</v>
      </c>
      <c r="AC27" s="3124">
        <f>D27/J27</f>
        <v>1.0204081632653061</v>
      </c>
    </row>
    <row r="28" spans="1:29" s="3074" customFormat="1" ht="15">
      <c r="A28" s="3145"/>
      <c r="B28" s="3135"/>
      <c r="C28" s="3146" t="s">
        <v>3057</v>
      </c>
      <c r="D28" s="3127"/>
      <c r="E28" s="3144" t="s">
        <v>3058</v>
      </c>
      <c r="F28" s="3127"/>
      <c r="G28" s="3144" t="s">
        <v>3058</v>
      </c>
      <c r="H28" s="3127"/>
      <c r="I28" s="3144" t="s">
        <v>3058</v>
      </c>
      <c r="J28" s="3127"/>
      <c r="K28" s="3089"/>
      <c r="L28" s="3068"/>
      <c r="M28" s="3069"/>
      <c r="N28" s="3069"/>
      <c r="O28" s="3080"/>
      <c r="P28" s="3758"/>
      <c r="Q28" s="3081"/>
      <c r="R28" s="3070"/>
      <c r="S28" s="3071"/>
      <c r="T28" s="3070"/>
      <c r="U28" s="3071"/>
      <c r="V28" s="3070"/>
      <c r="W28" s="3071"/>
      <c r="X28" s="3072"/>
      <c r="Y28" s="3758"/>
      <c r="Z28" s="3082"/>
      <c r="AA28" s="3124">
        <v>1</v>
      </c>
      <c r="AB28" s="3124">
        <v>1</v>
      </c>
      <c r="AC28" s="3124">
        <v>1</v>
      </c>
    </row>
    <row r="29" spans="1:29" s="3074" customFormat="1" ht="28.5">
      <c r="A29" s="3145"/>
      <c r="B29" s="3140" t="s">
        <v>3486</v>
      </c>
      <c r="C29" s="3139" t="str">
        <f>[2]估价对象房地状况!C22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758"/>
      <c r="Q29" s="3081" t="str">
        <f t="shared" ref="Q29" si="9">B29</f>
        <v>基础设施水平</v>
      </c>
      <c r="R29" s="3070" t="s">
        <v>3463</v>
      </c>
      <c r="S29" s="3071">
        <f>F29</f>
        <v>100</v>
      </c>
      <c r="T29" s="3070" t="s">
        <v>3463</v>
      </c>
      <c r="U29" s="3071">
        <f>H29</f>
        <v>100</v>
      </c>
      <c r="V29" s="3070" t="s">
        <v>3463</v>
      </c>
      <c r="W29" s="3071">
        <f>J29</f>
        <v>100</v>
      </c>
      <c r="X29" s="3072"/>
      <c r="Y29" s="3758"/>
      <c r="Z29" s="3082" t="str">
        <f>Q29</f>
        <v>基础设施水平</v>
      </c>
      <c r="AA29" s="3124">
        <f>D29/F29</f>
        <v>1</v>
      </c>
      <c r="AB29" s="3124">
        <f>D29/H29</f>
        <v>1</v>
      </c>
      <c r="AC29" s="3124">
        <f>D29/J29</f>
        <v>1</v>
      </c>
    </row>
    <row r="30" spans="1:29" s="3074" customFormat="1" ht="15">
      <c r="A30" s="3145"/>
      <c r="B30" s="3135"/>
      <c r="C30" s="3146" t="s">
        <v>3096</v>
      </c>
      <c r="D30" s="3127"/>
      <c r="E30" s="3147" t="s">
        <v>3096</v>
      </c>
      <c r="F30" s="3127"/>
      <c r="G30" s="3147" t="s">
        <v>3096</v>
      </c>
      <c r="H30" s="3127"/>
      <c r="I30" s="3147" t="s">
        <v>3096</v>
      </c>
      <c r="J30" s="3127"/>
      <c r="K30" s="3089"/>
      <c r="L30" s="3068"/>
      <c r="M30" s="3069"/>
      <c r="N30" s="3069"/>
      <c r="O30" s="3080"/>
      <c r="P30" s="3758"/>
      <c r="Q30" s="3081"/>
      <c r="R30" s="3070"/>
      <c r="S30" s="3071"/>
      <c r="T30" s="3070"/>
      <c r="U30" s="3071"/>
      <c r="V30" s="3070"/>
      <c r="W30" s="3071"/>
      <c r="X30" s="3072"/>
      <c r="Y30" s="3758"/>
      <c r="Z30" s="3082"/>
      <c r="AA30" s="3124">
        <v>1</v>
      </c>
      <c r="AB30" s="3124">
        <v>1</v>
      </c>
      <c r="AC30" s="3124">
        <v>1</v>
      </c>
    </row>
    <row r="31" spans="1:29" ht="15">
      <c r="A31" s="3094"/>
      <c r="B31" s="3135" t="s">
        <v>3487</v>
      </c>
      <c r="C31" s="3142" t="s">
        <v>3624</v>
      </c>
      <c r="D31" s="3107">
        <v>100</v>
      </c>
      <c r="E31" s="3148" t="s">
        <v>3113</v>
      </c>
      <c r="F31" s="3107">
        <f>SUMIF(104:104,E31,105:105)-SUMIF(104:104,C31,105:105)+100</f>
        <v>94</v>
      </c>
      <c r="G31" s="3148" t="s">
        <v>3113</v>
      </c>
      <c r="H31" s="3107">
        <f>SUMIF(104:104,G31,105:105)-SUMIF(104:104,C31,105:105)+100</f>
        <v>94</v>
      </c>
      <c r="I31" s="3148" t="s">
        <v>3488</v>
      </c>
      <c r="J31" s="3107">
        <f>SUMIF(104:104,I31,105:105)-SUMIF(104:104,C31,105:105)+100</f>
        <v>98</v>
      </c>
      <c r="K31" s="3097">
        <v>2</v>
      </c>
      <c r="L31" s="3110"/>
      <c r="M31" s="3054"/>
      <c r="N31" s="3054"/>
      <c r="O31" s="3099"/>
      <c r="P31" s="3758"/>
      <c r="Q31" s="3120" t="str">
        <f t="shared" si="8"/>
        <v>临街状况</v>
      </c>
      <c r="R31" s="3121" t="s">
        <v>3463</v>
      </c>
      <c r="S31" s="3122">
        <f t="shared" ref="S31:S45" si="10">F31</f>
        <v>94</v>
      </c>
      <c r="T31" s="3121" t="s">
        <v>3463</v>
      </c>
      <c r="U31" s="3122">
        <f t="shared" ref="U31:U45" si="11">H31</f>
        <v>94</v>
      </c>
      <c r="V31" s="3121" t="s">
        <v>3463</v>
      </c>
      <c r="W31" s="3122">
        <f t="shared" ref="W31:W45" si="12">J31</f>
        <v>98</v>
      </c>
      <c r="X31" s="3055"/>
      <c r="Y31" s="3758"/>
      <c r="Z31" s="3123" t="str">
        <f t="shared" ref="Z31:Z45" si="13">Q31</f>
        <v>临街状况</v>
      </c>
      <c r="AA31" s="3124">
        <f t="shared" si="3"/>
        <v>1.0638297872340425</v>
      </c>
      <c r="AB31" s="3124">
        <f t="shared" si="4"/>
        <v>1.0638297872340425</v>
      </c>
      <c r="AC31" s="3124">
        <f t="shared" si="5"/>
        <v>1.0204081632653061</v>
      </c>
    </row>
    <row r="32" spans="1:29" ht="27">
      <c r="A32" s="3094"/>
      <c r="B32" s="3140" t="s">
        <v>3489</v>
      </c>
      <c r="C32" s="2977" t="s">
        <v>3668</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758"/>
      <c r="Q32" s="3120" t="str">
        <f t="shared" si="8"/>
        <v>毗邻道路的类型与等级</v>
      </c>
      <c r="R32" s="3121" t="s">
        <v>3465</v>
      </c>
      <c r="S32" s="3122">
        <f t="shared" si="10"/>
        <v>98</v>
      </c>
      <c r="T32" s="3121" t="s">
        <v>3465</v>
      </c>
      <c r="U32" s="3122">
        <f t="shared" si="11"/>
        <v>98</v>
      </c>
      <c r="V32" s="3121" t="s">
        <v>3465</v>
      </c>
      <c r="W32" s="3122">
        <f t="shared" si="12"/>
        <v>98</v>
      </c>
      <c r="X32" s="3055"/>
      <c r="Y32" s="3758"/>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3625</v>
      </c>
      <c r="D33" s="3127"/>
      <c r="E33" s="3126" t="s">
        <v>3490</v>
      </c>
      <c r="F33" s="3127"/>
      <c r="G33" s="3126" t="s">
        <v>3490</v>
      </c>
      <c r="H33" s="3127"/>
      <c r="I33" s="3126" t="s">
        <v>3490</v>
      </c>
      <c r="J33" s="3127"/>
      <c r="K33" s="3150"/>
      <c r="L33" s="3110"/>
      <c r="M33" s="3054"/>
      <c r="N33" s="3054"/>
      <c r="O33" s="3099"/>
      <c r="P33" s="3758"/>
      <c r="Q33" s="3120"/>
      <c r="R33" s="3121"/>
      <c r="S33" s="3122"/>
      <c r="T33" s="3121"/>
      <c r="U33" s="3122"/>
      <c r="V33" s="3121"/>
      <c r="W33" s="3122"/>
      <c r="X33" s="3055"/>
      <c r="Y33" s="3758"/>
      <c r="Z33" s="3123"/>
      <c r="AA33" s="3124">
        <v>1</v>
      </c>
      <c r="AB33" s="3124">
        <v>1</v>
      </c>
      <c r="AC33" s="3124">
        <v>1</v>
      </c>
    </row>
    <row r="34" spans="1:29" ht="15.75" hidden="1" thickBot="1">
      <c r="A34" s="3094"/>
      <c r="B34" s="3084" t="s">
        <v>3491</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758"/>
      <c r="Q34" s="3120" t="str">
        <f t="shared" si="8"/>
        <v>土地级别</v>
      </c>
      <c r="R34" s="3121" t="s">
        <v>3463</v>
      </c>
      <c r="S34" s="3122">
        <f t="shared" si="10"/>
        <v>100</v>
      </c>
      <c r="T34" s="3121" t="s">
        <v>3463</v>
      </c>
      <c r="U34" s="3122">
        <f t="shared" si="11"/>
        <v>100</v>
      </c>
      <c r="V34" s="3121" t="s">
        <v>3463</v>
      </c>
      <c r="W34" s="3122">
        <f t="shared" si="12"/>
        <v>100</v>
      </c>
      <c r="X34" s="3055"/>
      <c r="Y34" s="3758"/>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758"/>
      <c r="Q35" s="3120">
        <f t="shared" si="8"/>
        <v>111</v>
      </c>
      <c r="R35" s="3121" t="s">
        <v>3463</v>
      </c>
      <c r="S35" s="3122">
        <f t="shared" si="10"/>
        <v>100</v>
      </c>
      <c r="T35" s="3121" t="s">
        <v>3463</v>
      </c>
      <c r="U35" s="3122">
        <f t="shared" si="11"/>
        <v>100</v>
      </c>
      <c r="V35" s="3121" t="s">
        <v>3463</v>
      </c>
      <c r="W35" s="3122">
        <f t="shared" si="12"/>
        <v>100</v>
      </c>
      <c r="X35" s="3055"/>
      <c r="Y35" s="3758"/>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763" t="s">
        <v>3492</v>
      </c>
      <c r="Q36" s="3120">
        <f t="shared" si="8"/>
        <v>111</v>
      </c>
      <c r="R36" s="3121" t="s">
        <v>3463</v>
      </c>
      <c r="S36" s="3122">
        <f t="shared" si="10"/>
        <v>100</v>
      </c>
      <c r="T36" s="3121" t="s">
        <v>3463</v>
      </c>
      <c r="U36" s="3122">
        <f t="shared" si="11"/>
        <v>100</v>
      </c>
      <c r="V36" s="3121" t="s">
        <v>3463</v>
      </c>
      <c r="W36" s="3122">
        <f t="shared" si="12"/>
        <v>100</v>
      </c>
      <c r="X36" s="3055"/>
      <c r="Y36" s="3764" t="s">
        <v>3492</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764"/>
      <c r="Q37" s="3120">
        <f t="shared" si="8"/>
        <v>111</v>
      </c>
      <c r="R37" s="3163" t="s">
        <v>3463</v>
      </c>
      <c r="S37" s="3164">
        <f t="shared" si="10"/>
        <v>100</v>
      </c>
      <c r="T37" s="3163" t="s">
        <v>3463</v>
      </c>
      <c r="U37" s="3164">
        <f t="shared" si="11"/>
        <v>100</v>
      </c>
      <c r="V37" s="3163" t="s">
        <v>3463</v>
      </c>
      <c r="W37" s="3164">
        <f t="shared" si="12"/>
        <v>100</v>
      </c>
      <c r="X37" s="3165"/>
      <c r="Y37" s="3764"/>
      <c r="Z37" s="3166">
        <f t="shared" si="13"/>
        <v>111</v>
      </c>
      <c r="AA37" s="3124">
        <f t="shared" si="3"/>
        <v>1</v>
      </c>
      <c r="AB37" s="3124">
        <f t="shared" si="4"/>
        <v>1</v>
      </c>
      <c r="AC37" s="3124">
        <f t="shared" si="5"/>
        <v>1</v>
      </c>
    </row>
    <row r="38" spans="1:29" ht="15">
      <c r="A38" s="3168" t="s">
        <v>3493</v>
      </c>
      <c r="B38" s="3135" t="s">
        <v>3494</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764"/>
      <c r="Q38" s="3120" t="str">
        <f>B38</f>
        <v>宗地面积</v>
      </c>
      <c r="R38" s="3121" t="s">
        <v>3463</v>
      </c>
      <c r="S38" s="3122">
        <f t="shared" si="10"/>
        <v>100</v>
      </c>
      <c r="T38" s="3121" t="s">
        <v>3463</v>
      </c>
      <c r="U38" s="3122">
        <f t="shared" si="11"/>
        <v>100.5</v>
      </c>
      <c r="V38" s="3121" t="s">
        <v>3463</v>
      </c>
      <c r="W38" s="3122">
        <f t="shared" si="12"/>
        <v>100</v>
      </c>
      <c r="X38" s="3055"/>
      <c r="Y38" s="3764"/>
      <c r="Z38" s="3123" t="str">
        <f t="shared" si="13"/>
        <v>宗地面积</v>
      </c>
      <c r="AA38" s="3124">
        <f t="shared" si="3"/>
        <v>1</v>
      </c>
      <c r="AB38" s="3124">
        <f t="shared" si="4"/>
        <v>0.99502487562189057</v>
      </c>
      <c r="AC38" s="3124">
        <f t="shared" si="5"/>
        <v>1</v>
      </c>
    </row>
    <row r="39" spans="1:29" ht="15">
      <c r="A39" s="3168"/>
      <c r="B39" s="3084" t="s">
        <v>3495</v>
      </c>
      <c r="C39" s="3376" t="s">
        <v>3496</v>
      </c>
      <c r="D39" s="3107">
        <v>100</v>
      </c>
      <c r="E39" s="3171" t="s">
        <v>3496</v>
      </c>
      <c r="F39" s="3107">
        <f>SUMIF(119:119,E39,120:120)-SUMIF(119:119,C39,120:120)+100</f>
        <v>100</v>
      </c>
      <c r="G39" s="3171" t="s">
        <v>3496</v>
      </c>
      <c r="H39" s="3107">
        <f>SUMIF(119:119,G39,120:120)-SUMIF(119:119,C39,120:120)+100</f>
        <v>100</v>
      </c>
      <c r="I39" s="3171" t="s">
        <v>3496</v>
      </c>
      <c r="J39" s="3107">
        <f>SUMIF(119:119,I39,120:120)-SUMIF(119:119,C39,120:120)+100</f>
        <v>100</v>
      </c>
      <c r="K39" s="3151">
        <v>2</v>
      </c>
      <c r="L39" s="3110"/>
      <c r="M39" s="3054"/>
      <c r="N39" s="3054"/>
      <c r="O39" s="3099"/>
      <c r="P39" s="3764"/>
      <c r="Q39" s="3120" t="str">
        <f t="shared" ref="Q39:Q45" si="14">B39</f>
        <v>宗地形状</v>
      </c>
      <c r="R39" s="3121" t="s">
        <v>3463</v>
      </c>
      <c r="S39" s="3122">
        <f t="shared" si="10"/>
        <v>100</v>
      </c>
      <c r="T39" s="3121" t="s">
        <v>3463</v>
      </c>
      <c r="U39" s="3122">
        <f t="shared" si="11"/>
        <v>100</v>
      </c>
      <c r="V39" s="3121" t="s">
        <v>3463</v>
      </c>
      <c r="W39" s="3122">
        <f t="shared" si="12"/>
        <v>100</v>
      </c>
      <c r="X39" s="3055"/>
      <c r="Y39" s="3764"/>
      <c r="Z39" s="3123" t="str">
        <f t="shared" si="13"/>
        <v>宗地形状</v>
      </c>
      <c r="AA39" s="3124">
        <f t="shared" si="3"/>
        <v>1</v>
      </c>
      <c r="AB39" s="3124">
        <f t="shared" si="4"/>
        <v>1</v>
      </c>
      <c r="AC39" s="3124">
        <f t="shared" si="5"/>
        <v>1</v>
      </c>
    </row>
    <row r="40" spans="1:29" ht="15">
      <c r="A40" s="3168"/>
      <c r="B40" s="3084" t="s">
        <v>3497</v>
      </c>
      <c r="C40" s="3376" t="s">
        <v>3498</v>
      </c>
      <c r="D40" s="3107">
        <v>100</v>
      </c>
      <c r="E40" s="3171" t="s">
        <v>3498</v>
      </c>
      <c r="F40" s="3107">
        <f>SUMIF(121:121,E40,122:122)-SUMIF(121:121,C40,122:122)+100</f>
        <v>100</v>
      </c>
      <c r="G40" s="3171" t="s">
        <v>3498</v>
      </c>
      <c r="H40" s="3107">
        <f>SUMIF(121:121,G40,122:122)-SUMIF(121:121,C40,122:122)+100</f>
        <v>100</v>
      </c>
      <c r="I40" s="3171" t="s">
        <v>3498</v>
      </c>
      <c r="J40" s="3107">
        <f>SUMIF(121:121,I40,122:122)-SUMIF(121:121,C40,122:122)+100</f>
        <v>100</v>
      </c>
      <c r="K40" s="3151">
        <v>1</v>
      </c>
      <c r="L40" s="3110"/>
      <c r="M40" s="3054"/>
      <c r="N40" s="3054"/>
      <c r="O40" s="3099"/>
      <c r="P40" s="3764"/>
      <c r="Q40" s="3120" t="str">
        <f t="shared" si="14"/>
        <v>临街宽度及深度</v>
      </c>
      <c r="R40" s="3121" t="s">
        <v>3463</v>
      </c>
      <c r="S40" s="3122">
        <f t="shared" si="10"/>
        <v>100</v>
      </c>
      <c r="T40" s="3121" t="s">
        <v>3463</v>
      </c>
      <c r="U40" s="3122">
        <f t="shared" si="11"/>
        <v>100</v>
      </c>
      <c r="V40" s="3121" t="s">
        <v>3463</v>
      </c>
      <c r="W40" s="3122">
        <f t="shared" si="12"/>
        <v>100</v>
      </c>
      <c r="X40" s="3055"/>
      <c r="Y40" s="3764"/>
      <c r="Z40" s="3123" t="str">
        <f t="shared" si="13"/>
        <v>临街宽度及深度</v>
      </c>
      <c r="AA40" s="3124">
        <f t="shared" si="3"/>
        <v>1</v>
      </c>
      <c r="AB40" s="3124">
        <f t="shared" si="4"/>
        <v>1</v>
      </c>
      <c r="AC40" s="3124">
        <f t="shared" si="5"/>
        <v>1</v>
      </c>
    </row>
    <row r="41" spans="1:29" s="3074" customFormat="1" ht="15">
      <c r="A41" s="3172"/>
      <c r="B41" s="3084" t="s">
        <v>3499</v>
      </c>
      <c r="C41" s="3377" t="s">
        <v>3444</v>
      </c>
      <c r="D41" s="3086">
        <v>100</v>
      </c>
      <c r="E41" s="3173" t="s">
        <v>3444</v>
      </c>
      <c r="F41" s="3107">
        <f>SUMIF(123:123,E41,124:124)-SUMIF(123:123,C41,124:124)+100</f>
        <v>100</v>
      </c>
      <c r="G41" s="3173" t="s">
        <v>3444</v>
      </c>
      <c r="H41" s="3107">
        <f>SUMIF(123:123,G41,124:124)-SUMIF(123:123,C41,124:124)+100</f>
        <v>100</v>
      </c>
      <c r="I41" s="3173" t="s">
        <v>3096</v>
      </c>
      <c r="J41" s="3107">
        <f>SUMIF(123:123,I41,124:124)-SUMIF(123:123,C41,124:124)+100</f>
        <v>102</v>
      </c>
      <c r="K41" s="3151">
        <v>2</v>
      </c>
      <c r="L41" s="3068"/>
      <c r="M41" s="3069"/>
      <c r="N41" s="3069"/>
      <c r="O41" s="3080"/>
      <c r="P41" s="3764"/>
      <c r="Q41" s="3120" t="str">
        <f t="shared" si="14"/>
        <v>宗地开发程度</v>
      </c>
      <c r="R41" s="3070" t="s">
        <v>3463</v>
      </c>
      <c r="S41" s="3071">
        <f t="shared" si="10"/>
        <v>100</v>
      </c>
      <c r="T41" s="3070" t="s">
        <v>3463</v>
      </c>
      <c r="U41" s="3071">
        <f t="shared" si="11"/>
        <v>100</v>
      </c>
      <c r="V41" s="3070" t="s">
        <v>3463</v>
      </c>
      <c r="W41" s="3071">
        <f t="shared" si="12"/>
        <v>102</v>
      </c>
      <c r="X41" s="3072"/>
      <c r="Y41" s="3764"/>
      <c r="Z41" s="3082" t="str">
        <f t="shared" si="13"/>
        <v>宗地开发程度</v>
      </c>
      <c r="AA41" s="3073">
        <f t="shared" si="3"/>
        <v>1</v>
      </c>
      <c r="AB41" s="3073">
        <f t="shared" si="4"/>
        <v>1</v>
      </c>
      <c r="AC41" s="3073">
        <f t="shared" si="5"/>
        <v>0.98039215686274506</v>
      </c>
    </row>
    <row r="42" spans="1:29" ht="15">
      <c r="A42" s="3168"/>
      <c r="B42" s="3084" t="s">
        <v>3500</v>
      </c>
      <c r="C42" s="3376" t="s">
        <v>3057</v>
      </c>
      <c r="D42" s="3107">
        <v>100</v>
      </c>
      <c r="E42" s="3171" t="s">
        <v>3057</v>
      </c>
      <c r="F42" s="3107">
        <f>SUMIF(125:125,E42,126:126)-SUMIF(125:125,C42,126:126)+100</f>
        <v>100</v>
      </c>
      <c r="G42" s="3171" t="s">
        <v>3057</v>
      </c>
      <c r="H42" s="3107">
        <f>SUMIF(125:125,G42,126:126)-SUMIF(125:125,C42,126:126)+100</f>
        <v>100</v>
      </c>
      <c r="I42" s="3171" t="s">
        <v>3057</v>
      </c>
      <c r="J42" s="3107">
        <f>SUMIF(125:125,I42,126:126)-SUMIF(125:125,C42,126:126)+100</f>
        <v>100</v>
      </c>
      <c r="K42" s="3151">
        <v>2</v>
      </c>
      <c r="L42" s="3110"/>
      <c r="M42" s="3054"/>
      <c r="N42" s="3054"/>
      <c r="O42" s="3099"/>
      <c r="P42" s="3764" t="s">
        <v>3492</v>
      </c>
      <c r="Q42" s="3120" t="str">
        <f t="shared" si="14"/>
        <v>工程地质条件</v>
      </c>
      <c r="R42" s="3121" t="s">
        <v>3463</v>
      </c>
      <c r="S42" s="3122">
        <f t="shared" si="10"/>
        <v>100</v>
      </c>
      <c r="T42" s="3121" t="s">
        <v>3463</v>
      </c>
      <c r="U42" s="3122">
        <f t="shared" si="11"/>
        <v>100</v>
      </c>
      <c r="V42" s="3121" t="s">
        <v>3463</v>
      </c>
      <c r="W42" s="3122">
        <f t="shared" si="12"/>
        <v>100</v>
      </c>
      <c r="X42" s="3055"/>
      <c r="Y42" s="3764" t="s">
        <v>3492</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764"/>
      <c r="Q43" s="3120">
        <f t="shared" si="14"/>
        <v>111</v>
      </c>
      <c r="R43" s="3121" t="s">
        <v>3463</v>
      </c>
      <c r="S43" s="3122">
        <f t="shared" si="10"/>
        <v>100</v>
      </c>
      <c r="T43" s="3121" t="s">
        <v>3463</v>
      </c>
      <c r="U43" s="3122">
        <f t="shared" si="11"/>
        <v>100</v>
      </c>
      <c r="V43" s="3121" t="s">
        <v>3463</v>
      </c>
      <c r="W43" s="3122">
        <f t="shared" si="12"/>
        <v>100</v>
      </c>
      <c r="X43" s="3055"/>
      <c r="Y43" s="3764"/>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764"/>
      <c r="Q44" s="3120">
        <f t="shared" si="14"/>
        <v>111</v>
      </c>
      <c r="R44" s="3121" t="s">
        <v>3463</v>
      </c>
      <c r="S44" s="3122">
        <f t="shared" si="10"/>
        <v>100</v>
      </c>
      <c r="T44" s="3121" t="s">
        <v>3463</v>
      </c>
      <c r="U44" s="3122">
        <f t="shared" si="11"/>
        <v>100</v>
      </c>
      <c r="V44" s="3121" t="s">
        <v>3463</v>
      </c>
      <c r="W44" s="3122">
        <f t="shared" si="12"/>
        <v>100</v>
      </c>
      <c r="X44" s="3055"/>
      <c r="Y44" s="3764"/>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764"/>
      <c r="Q45" s="3120">
        <f t="shared" si="14"/>
        <v>111</v>
      </c>
      <c r="R45" s="3163" t="s">
        <v>3463</v>
      </c>
      <c r="S45" s="3164">
        <f t="shared" si="10"/>
        <v>100</v>
      </c>
      <c r="T45" s="3163" t="s">
        <v>3463</v>
      </c>
      <c r="U45" s="3164">
        <f t="shared" si="11"/>
        <v>100</v>
      </c>
      <c r="V45" s="3163" t="s">
        <v>3463</v>
      </c>
      <c r="W45" s="3164">
        <f t="shared" si="12"/>
        <v>100</v>
      </c>
      <c r="X45" s="3165"/>
      <c r="Y45" s="3764"/>
      <c r="Z45" s="3166">
        <f t="shared" si="13"/>
        <v>111</v>
      </c>
      <c r="AA45" s="3124">
        <f t="shared" si="3"/>
        <v>1</v>
      </c>
      <c r="AB45" s="3124">
        <f t="shared" si="4"/>
        <v>1</v>
      </c>
      <c r="AC45" s="3124">
        <f t="shared" si="5"/>
        <v>1</v>
      </c>
    </row>
    <row r="46" spans="1:29" ht="15">
      <c r="A46" s="3178" t="s">
        <v>3501</v>
      </c>
      <c r="B46" s="3179" t="s">
        <v>2739</v>
      </c>
      <c r="C46" s="3378" t="s">
        <v>3502</v>
      </c>
      <c r="D46" s="3180"/>
      <c r="E46" s="3181">
        <v>24490</v>
      </c>
      <c r="F46" s="3182"/>
      <c r="G46" s="3183">
        <v>24368</v>
      </c>
      <c r="H46" s="3184"/>
      <c r="I46" s="3181">
        <v>26771</v>
      </c>
      <c r="J46" s="3184"/>
      <c r="K46" s="3185"/>
      <c r="L46" s="3186"/>
      <c r="M46" s="3187"/>
      <c r="N46" s="3054"/>
      <c r="O46" s="3187"/>
      <c r="P46" s="3755" t="str">
        <f>A46</f>
        <v>成交单价</v>
      </c>
      <c r="Q46" s="3755"/>
      <c r="R46" s="3751">
        <f>E46</f>
        <v>24490</v>
      </c>
      <c r="S46" s="3751"/>
      <c r="T46" s="3751">
        <f>G46</f>
        <v>24368</v>
      </c>
      <c r="U46" s="3751"/>
      <c r="V46" s="3751">
        <f>I46</f>
        <v>26771</v>
      </c>
      <c r="W46" s="3751"/>
      <c r="X46" s="3188"/>
      <c r="Y46" s="3189"/>
      <c r="Z46" s="3188"/>
      <c r="AA46" s="3188"/>
      <c r="AB46" s="3188"/>
      <c r="AC46" s="3188"/>
    </row>
    <row r="47" spans="1:29" ht="15.75" thickBot="1">
      <c r="A47" s="3190" t="s">
        <v>3503</v>
      </c>
      <c r="B47" s="3191"/>
      <c r="C47" s="3379">
        <f>R48</f>
        <v>29721</v>
      </c>
      <c r="D47" s="3193"/>
      <c r="E47" s="3192">
        <f>R47</f>
        <v>28733</v>
      </c>
      <c r="F47" s="3194"/>
      <c r="G47" s="3195">
        <f>T47</f>
        <v>29648</v>
      </c>
      <c r="H47" s="3193"/>
      <c r="I47" s="3192">
        <f>V47</f>
        <v>30783</v>
      </c>
      <c r="J47" s="3193"/>
      <c r="K47" s="3196"/>
      <c r="L47" s="3186"/>
      <c r="M47" s="3187"/>
      <c r="N47" s="3187"/>
      <c r="O47" s="3187"/>
      <c r="P47" s="3755" t="str">
        <f>A47</f>
        <v>比较价值（元/平方米）</v>
      </c>
      <c r="Q47" s="3755"/>
      <c r="R47" s="3759">
        <f>ROUND(PRODUCT(R46,AA7:AA45),0)</f>
        <v>28733</v>
      </c>
      <c r="S47" s="3759"/>
      <c r="T47" s="3759">
        <f>ROUND(PRODUCT(T46,AB7:AB45),0)</f>
        <v>29648</v>
      </c>
      <c r="U47" s="3759"/>
      <c r="V47" s="3759">
        <f>ROUND(PRODUCT(V46,AC7:AC45),0)</f>
        <v>30783</v>
      </c>
      <c r="W47" s="3759"/>
      <c r="X47" s="3188"/>
      <c r="Y47" s="3188"/>
      <c r="Z47" s="3188"/>
      <c r="AA47" s="3188"/>
      <c r="AB47" s="3188"/>
      <c r="AC47" s="3188"/>
    </row>
    <row r="48" spans="1:29" ht="15.75" thickBot="1">
      <c r="A48" s="3197" t="s">
        <v>3504</v>
      </c>
      <c r="B48" s="3198"/>
      <c r="C48" s="3380">
        <f>R48</f>
        <v>29721</v>
      </c>
      <c r="D48" s="3199"/>
      <c r="E48" s="3199"/>
      <c r="F48" s="3199"/>
      <c r="G48" s="3199"/>
      <c r="H48" s="3199"/>
      <c r="I48" s="3199"/>
      <c r="J48" s="3199"/>
      <c r="K48" s="3200"/>
      <c r="L48" s="3186"/>
      <c r="M48" s="3187"/>
      <c r="N48" s="3187"/>
      <c r="O48" s="3187"/>
      <c r="P48" s="3760" t="str">
        <f>A48</f>
        <v>估价对象XX用房的比较价值（楼面单价，元/平方米）</v>
      </c>
      <c r="Q48" s="3761"/>
      <c r="R48" s="3762">
        <f>ROUND(AVERAGE(R47:V47),0)</f>
        <v>29721</v>
      </c>
      <c r="S48" s="3762"/>
      <c r="T48" s="3762"/>
      <c r="U48" s="3762"/>
      <c r="V48" s="3762"/>
      <c r="W48" s="3762"/>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3505</v>
      </c>
      <c r="D51" s="3204"/>
      <c r="E51" s="3205">
        <f>IF(E46&lt;E47,E47/E46-1,E46/E47-1)</f>
        <v>0.17325438954675376</v>
      </c>
      <c r="F51" s="3206" t="str">
        <f>IF(OR(E51&gt;=0.3,E51&lt;=-0.3),"超过30%","")</f>
        <v/>
      </c>
      <c r="G51" s="3205">
        <f>IF(G46&lt;G47,G47/G46-1,G46/G47-1)</f>
        <v>0.21667760998030205</v>
      </c>
      <c r="H51" s="3206" t="str">
        <f>IF(OR(G51&gt;=0.3,G51&lt;=-0.3),"超过30%","")</f>
        <v/>
      </c>
      <c r="I51" s="3205">
        <f>IF(I46&lt;I47,I47/I46-1,I46/I47-1)</f>
        <v>0.14986365843636773</v>
      </c>
      <c r="J51" s="3206" t="str">
        <f>IF(OR(I51&gt;=0.3,I51&lt;=-0.3),"超过30%","")</f>
        <v/>
      </c>
      <c r="K51" s="3202"/>
      <c r="L51" s="3203"/>
      <c r="M51" s="3187"/>
      <c r="N51" s="3187"/>
      <c r="O51" s="3187"/>
    </row>
    <row r="52" spans="1:15" ht="13.5" customHeight="1">
      <c r="A52" s="3187"/>
      <c r="B52" s="3187"/>
      <c r="C52" s="3382" t="s">
        <v>3506</v>
      </c>
      <c r="D52" s="3207"/>
      <c r="E52" s="3205">
        <f>IF(E47&lt;G47,G47/E47-1,E47/G47-1)</f>
        <v>3.1844916994396621E-2</v>
      </c>
      <c r="F52" s="3206" t="str">
        <f>IF(OR(E52&gt;=0.2,E52&lt;=-0.2),"超过20%","")</f>
        <v/>
      </c>
      <c r="G52" s="3205">
        <f>IF(G47&lt;I47,I47/G47-1,G47/I47-1)</f>
        <v>3.8282514840798809E-2</v>
      </c>
      <c r="H52" s="3206" t="str">
        <f>IF(OR(G52&gt;=0.2,G52&lt;=-0.2),"超过20%","")</f>
        <v/>
      </c>
      <c r="I52" s="3205">
        <f>IF(I47&lt;E47,E47/I47-1,I47/E47-1)</f>
        <v>7.1346535342637463E-2</v>
      </c>
      <c r="J52" s="3206" t="str">
        <f>IF(OR(I52&gt;=0.2,I52&lt;=-0.2),"超过20%","")</f>
        <v/>
      </c>
      <c r="K52" s="3202"/>
      <c r="L52" s="3203"/>
      <c r="M52" s="3187"/>
      <c r="N52" s="3187"/>
      <c r="O52" s="3187"/>
    </row>
    <row r="53" spans="1:15" s="3211" customFormat="1" ht="13.5" customHeight="1">
      <c r="A53" s="3208"/>
      <c r="B53" s="3208"/>
      <c r="C53" s="3382" t="s">
        <v>3507</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3508</v>
      </c>
      <c r="B55" s="3215" t="s">
        <v>3509</v>
      </c>
      <c r="C55" s="3384" t="s">
        <v>2742</v>
      </c>
      <c r="D55" s="3216" t="s">
        <v>3510</v>
      </c>
      <c r="E55" s="3217" t="s">
        <v>3511</v>
      </c>
      <c r="F55" s="3218" t="s">
        <v>3512</v>
      </c>
      <c r="G55" s="3727" t="s">
        <v>3513</v>
      </c>
      <c r="H55" s="3765"/>
      <c r="I55" s="3219" t="s">
        <v>3514</v>
      </c>
      <c r="J55" s="3220">
        <f>[2]项目基本情况!F35</f>
        <v>0</v>
      </c>
      <c r="K55" s="3221" t="s">
        <v>3515</v>
      </c>
      <c r="L55" s="3203"/>
      <c r="M55" s="3187"/>
      <c r="N55" s="3187"/>
      <c r="O55" s="3187"/>
    </row>
    <row r="56" spans="1:15" s="3228" customFormat="1">
      <c r="A56" s="3222" t="s">
        <v>3516</v>
      </c>
      <c r="B56" s="687">
        <f>C48</f>
        <v>29721</v>
      </c>
      <c r="C56" s="3385">
        <v>1</v>
      </c>
      <c r="D56" s="3224">
        <v>1</v>
      </c>
      <c r="E56" s="3223">
        <f>'[2]数据-汇总表'!E8+'[2]数据-汇总表'!E9</f>
        <v>25780.95</v>
      </c>
      <c r="F56" s="1093">
        <f t="shared" ref="F56:F65" si="15">ROUND(B56*E56/10000,0)</f>
        <v>76624</v>
      </c>
      <c r="G56" s="3766"/>
      <c r="H56" s="3755"/>
      <c r="I56" s="3225">
        <v>1</v>
      </c>
      <c r="J56" s="3226">
        <v>1</v>
      </c>
      <c r="K56" s="3208"/>
      <c r="L56" s="3227"/>
      <c r="M56" s="3227"/>
      <c r="N56" s="3227"/>
      <c r="O56" s="3227"/>
    </row>
    <row r="57" spans="1:15" s="3228" customFormat="1">
      <c r="A57" s="691" t="s">
        <v>3517</v>
      </c>
      <c r="B57" s="262" t="e">
        <f>ROUND($C$48*C57*D57,0)</f>
        <v>#VALUE!</v>
      </c>
      <c r="C57" s="3386" t="e">
        <f t="shared" ref="C57:C65" si="16">IF($C$55="北京市系数",I57,J57)</f>
        <v>#VALUE!</v>
      </c>
      <c r="D57" s="3229">
        <v>0.25</v>
      </c>
      <c r="E57" s="692"/>
      <c r="F57" s="1093" t="e">
        <f t="shared" si="15"/>
        <v>#VALUE!</v>
      </c>
      <c r="G57" s="3767" t="s">
        <v>3518</v>
      </c>
      <c r="H57" s="3230" t="str">
        <f>[2]项目基本情况!B37</f>
        <v>六级</v>
      </c>
      <c r="I57" s="3225" t="e">
        <f>SUMIF([2]修正!A45:A56,H57,[2]修正!B45:B56)</f>
        <v>#VALUE!</v>
      </c>
      <c r="J57" s="3231"/>
      <c r="K57" s="3187"/>
      <c r="L57" s="3227"/>
      <c r="M57" s="3227"/>
      <c r="N57" s="3227"/>
      <c r="O57" s="3227"/>
    </row>
    <row r="58" spans="1:15" s="3228" customFormat="1">
      <c r="A58" s="691" t="s">
        <v>3519</v>
      </c>
      <c r="B58" s="262" t="e">
        <f t="shared" ref="B58:B65" si="17">ROUND($C$48*C58*D58,0)</f>
        <v>#VALUE!</v>
      </c>
      <c r="C58" s="3386" t="e">
        <f t="shared" si="16"/>
        <v>#VALUE!</v>
      </c>
      <c r="D58" s="3229">
        <v>0.25</v>
      </c>
      <c r="E58" s="692"/>
      <c r="F58" s="1093" t="e">
        <f t="shared" si="15"/>
        <v>#VALUE!</v>
      </c>
      <c r="G58" s="3767"/>
      <c r="H58" s="3230" t="str">
        <f>[2]项目基本情况!B37</f>
        <v>六级</v>
      </c>
      <c r="I58" s="3225" t="e">
        <f>SUMIF([2]修正!A45:A56,H58,[2]修正!C45:C56)</f>
        <v>#VALUE!</v>
      </c>
      <c r="J58" s="3231"/>
      <c r="K58" s="3208"/>
      <c r="L58" s="3227"/>
      <c r="M58" s="3227"/>
      <c r="N58" s="3227"/>
      <c r="O58" s="3227"/>
    </row>
    <row r="59" spans="1:15" s="3228" customFormat="1">
      <c r="A59" s="691" t="s">
        <v>3520</v>
      </c>
      <c r="B59" s="262" t="e">
        <f t="shared" si="17"/>
        <v>#VALUE!</v>
      </c>
      <c r="C59" s="3386" t="e">
        <f t="shared" si="16"/>
        <v>#VALUE!</v>
      </c>
      <c r="D59" s="3229">
        <v>0.25</v>
      </c>
      <c r="E59" s="692"/>
      <c r="F59" s="1093" t="e">
        <f t="shared" si="15"/>
        <v>#VALUE!</v>
      </c>
      <c r="G59" s="3767"/>
      <c r="H59" s="3230" t="str">
        <f>[2]项目基本情况!B37</f>
        <v>六级</v>
      </c>
      <c r="I59" s="3225" t="e">
        <f>SUMIF([2]修正!A45:A56,H59,[2]修正!D45:D56)</f>
        <v>#VALUE!</v>
      </c>
      <c r="J59" s="3231"/>
      <c r="K59" s="3187"/>
      <c r="L59" s="3227"/>
      <c r="M59" s="3227"/>
      <c r="N59" s="3227"/>
      <c r="O59" s="3227"/>
    </row>
    <row r="60" spans="1:15" s="3228" customFormat="1">
      <c r="A60" s="691" t="s">
        <v>3521</v>
      </c>
      <c r="B60" s="262" t="e">
        <f t="shared" si="17"/>
        <v>#VALUE!</v>
      </c>
      <c r="C60" s="3386" t="e">
        <f t="shared" si="16"/>
        <v>#VALUE!</v>
      </c>
      <c r="D60" s="3229">
        <v>0.25</v>
      </c>
      <c r="E60" s="692"/>
      <c r="F60" s="1093" t="e">
        <f t="shared" si="15"/>
        <v>#VALUE!</v>
      </c>
      <c r="G60" s="3767"/>
      <c r="H60" s="3230" t="str">
        <f>[2]项目基本情况!B37</f>
        <v>六级</v>
      </c>
      <c r="I60" s="3225" t="e">
        <f>SUMIF([2]修正!A45:A56,H60,[2]修正!E45:E56)</f>
        <v>#VALUE!</v>
      </c>
      <c r="J60" s="3231"/>
      <c r="K60" s="3208"/>
      <c r="L60" s="3227"/>
      <c r="M60" s="3227"/>
      <c r="N60" s="3227"/>
      <c r="O60" s="3227"/>
    </row>
    <row r="61" spans="1:15" s="3228" customFormat="1">
      <c r="A61" s="691" t="s">
        <v>3522</v>
      </c>
      <c r="B61" s="262" t="e">
        <f t="shared" si="17"/>
        <v>#VALUE!</v>
      </c>
      <c r="C61" s="3386" t="e">
        <f t="shared" si="16"/>
        <v>#VALUE!</v>
      </c>
      <c r="D61" s="3229">
        <v>0.25</v>
      </c>
      <c r="E61" s="261">
        <f>'[2]数据-汇总表'!E11</f>
        <v>0</v>
      </c>
      <c r="F61" s="1093" t="e">
        <f t="shared" si="15"/>
        <v>#VALUE!</v>
      </c>
      <c r="G61" s="3232" t="s">
        <v>3523</v>
      </c>
      <c r="H61" s="3230" t="str">
        <f>[2]项目基本情况!C37</f>
        <v>六级</v>
      </c>
      <c r="I61" s="3225" t="e">
        <f>SUMIF([2]修正!A45:A56,H61,[2]修正!F45:F56)</f>
        <v>#VALUE!</v>
      </c>
      <c r="J61" s="3231"/>
      <c r="K61" s="3187"/>
      <c r="L61" s="3227"/>
      <c r="M61" s="3227"/>
      <c r="N61" s="3227"/>
      <c r="O61" s="3227"/>
    </row>
    <row r="62" spans="1:15" s="3228" customFormat="1">
      <c r="A62" s="691" t="s">
        <v>3524</v>
      </c>
      <c r="B62" s="262" t="e">
        <f t="shared" si="17"/>
        <v>#VALUE!</v>
      </c>
      <c r="C62" s="3386" t="e">
        <f t="shared" si="16"/>
        <v>#VALUE!</v>
      </c>
      <c r="D62" s="3229">
        <v>0.25</v>
      </c>
      <c r="E62" s="261">
        <f>'[2]数据-汇总表'!E12</f>
        <v>0</v>
      </c>
      <c r="F62" s="1093" t="e">
        <f t="shared" si="15"/>
        <v>#VALUE!</v>
      </c>
      <c r="G62" s="3233" t="s">
        <v>2757</v>
      </c>
      <c r="H62" s="3230" t="str">
        <f>IF(G62="商业",[2]项目基本情况!B37,IF(G62="办公",[2]项目基本情况!C37,IF(G62="住宅",[2]项目基本情况!D37,[2]项目基本情况!E37)))</f>
        <v>六级</v>
      </c>
      <c r="I62" s="3225" t="e">
        <f>SUMIF([2]修正!A45:A56,H62,[2]修正!G45:G56)</f>
        <v>#VALUE!</v>
      </c>
      <c r="J62" s="3231"/>
      <c r="K62" s="3208"/>
      <c r="L62" s="3227"/>
      <c r="M62" s="3227"/>
      <c r="N62" s="3227"/>
      <c r="O62" s="3227"/>
    </row>
    <row r="63" spans="1:15" s="3228" customFormat="1">
      <c r="A63" s="691" t="s">
        <v>3525</v>
      </c>
      <c r="B63" s="262" t="e">
        <f t="shared" si="17"/>
        <v>#VALUE!</v>
      </c>
      <c r="C63" s="3386" t="e">
        <f t="shared" si="16"/>
        <v>#VALUE!</v>
      </c>
      <c r="D63" s="3229">
        <v>0.25</v>
      </c>
      <c r="E63" s="261">
        <f>'[2]数据-汇总表'!E13</f>
        <v>3485.53</v>
      </c>
      <c r="F63" s="1093" t="e">
        <f t="shared" si="15"/>
        <v>#VALUE!</v>
      </c>
      <c r="G63" s="3233" t="s">
        <v>2759</v>
      </c>
      <c r="H63" s="3230" t="str">
        <f>IF(G63="商业",[2]项目基本情况!B37,IF(G63="办公",[2]项目基本情况!C37,IF(G63="住宅",[2]项目基本情况!D37,[2]项目基本情况!E37)))</f>
        <v>六级</v>
      </c>
      <c r="I63" s="3225" t="e">
        <f>SUMIF([2]修正!A45:A56,H63,[2]修正!H45:H56)</f>
        <v>#VALUE!</v>
      </c>
      <c r="J63" s="3231"/>
      <c r="K63" s="3187"/>
      <c r="L63" s="3227"/>
      <c r="M63" s="3227"/>
      <c r="N63" s="3227"/>
      <c r="O63" s="3227"/>
    </row>
    <row r="64" spans="1:15" s="3228" customFormat="1">
      <c r="A64" s="691" t="s">
        <v>3526</v>
      </c>
      <c r="B64" s="262" t="e">
        <f t="shared" si="17"/>
        <v>#VALUE!</v>
      </c>
      <c r="C64" s="3386" t="e">
        <f t="shared" si="16"/>
        <v>#VALUE!</v>
      </c>
      <c r="D64" s="3229">
        <v>0.25</v>
      </c>
      <c r="E64" s="261">
        <f>'[2]数据-汇总表'!E14</f>
        <v>0</v>
      </c>
      <c r="F64" s="1093" t="e">
        <f t="shared" si="15"/>
        <v>#VALUE!</v>
      </c>
      <c r="G64" s="3232" t="s">
        <v>3527</v>
      </c>
      <c r="H64" s="3230" t="str">
        <f>[2]项目基本情况!B37</f>
        <v>六级</v>
      </c>
      <c r="I64" s="3225" t="e">
        <f>SUMIF([2]修正!A45:A56,H64,[2]修正!H45:H56)</f>
        <v>#VALUE!</v>
      </c>
      <c r="J64" s="3231"/>
      <c r="K64" s="3208"/>
      <c r="L64" s="3227"/>
      <c r="M64" s="3227"/>
      <c r="N64" s="3227"/>
      <c r="O64" s="3227"/>
    </row>
    <row r="65" spans="1:17" s="3228" customFormat="1" ht="15" thickBot="1">
      <c r="A65" s="691" t="s">
        <v>3528</v>
      </c>
      <c r="B65" s="262" t="e">
        <f t="shared" si="17"/>
        <v>#VALUE!</v>
      </c>
      <c r="C65" s="3386" t="e">
        <f t="shared" si="16"/>
        <v>#VALUE!</v>
      </c>
      <c r="D65" s="3229">
        <v>0.25</v>
      </c>
      <c r="E65" s="261">
        <f>'[2]数据-汇总表'!E15</f>
        <v>0</v>
      </c>
      <c r="F65" s="1093" t="e">
        <f t="shared" si="15"/>
        <v>#VALUE!</v>
      </c>
      <c r="G65" s="3234" t="s">
        <v>3523</v>
      </c>
      <c r="H65" s="3235" t="str">
        <f>[2]项目基本情况!C37</f>
        <v>六级</v>
      </c>
      <c r="I65" s="3236" t="e">
        <f>SUMIF([2]修正!A45:A56,H65,[2]修正!H45:H56)</f>
        <v>#VALUE!</v>
      </c>
      <c r="J65" s="3237"/>
      <c r="K65" s="3187"/>
      <c r="L65" s="3227"/>
      <c r="M65" s="3227"/>
      <c r="N65" s="3227"/>
      <c r="O65" s="3227"/>
    </row>
    <row r="66" spans="1:17" s="3228" customFormat="1" ht="13.5" thickBot="1">
      <c r="A66" s="693" t="s">
        <v>3529</v>
      </c>
      <c r="B66" s="3238" t="s">
        <v>3530</v>
      </c>
      <c r="C66" s="3387" t="s">
        <v>3530</v>
      </c>
      <c r="D66" s="3238" t="s">
        <v>3530</v>
      </c>
      <c r="E66" s="3238">
        <f>IF(B46="楼面地价",SUM(E56:E65),'[2]数据-汇总表'!D3)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3531</v>
      </c>
      <c r="B69" s="3188"/>
      <c r="C69" s="3388"/>
      <c r="D69" s="3244"/>
      <c r="E69" s="3244"/>
      <c r="F69" s="3245"/>
      <c r="G69" s="3245"/>
      <c r="H69" s="3244"/>
      <c r="I69" s="3244"/>
      <c r="J69" s="3246"/>
      <c r="K69" s="3247"/>
      <c r="L69" s="3248"/>
      <c r="M69" s="3246"/>
      <c r="N69" s="3246"/>
      <c r="O69" s="3246"/>
      <c r="P69" s="3249"/>
      <c r="Q69" s="3250"/>
    </row>
    <row r="70" spans="1:17" s="3255" customFormat="1" ht="15">
      <c r="A70" s="3251" t="s">
        <v>3532</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3468</v>
      </c>
      <c r="B71" s="3257" t="e">
        <f>"北京市平均增长率"&amp;TEXT(SUMIF([2]基准地价修正!N21:N25,A71,[2]基准地价修正!P21:P25),"0.00%")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3533</v>
      </c>
      <c r="B72" s="3261"/>
      <c r="C72" s="3262"/>
      <c r="D72" s="3263"/>
      <c r="E72" s="3263"/>
      <c r="F72" s="3263"/>
      <c r="G72" s="3263"/>
      <c r="H72" s="3263"/>
      <c r="I72" s="3263"/>
      <c r="J72" s="3263"/>
      <c r="K72" s="3263"/>
      <c r="L72" s="3263"/>
      <c r="M72" s="3264"/>
      <c r="N72" s="3263"/>
      <c r="O72" s="3265"/>
      <c r="P72" s="3250"/>
      <c r="Q72" s="3250"/>
    </row>
    <row r="73" spans="1:17" s="3074" customFormat="1" ht="15">
      <c r="A73" s="3266" t="s">
        <v>3464</v>
      </c>
      <c r="B73" s="3267"/>
      <c r="C73" s="3268" t="s">
        <v>3534</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3535</v>
      </c>
      <c r="B75" s="3278" t="s">
        <v>3536</v>
      </c>
      <c r="C75" s="3279" t="s">
        <v>3537</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3473</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3538</v>
      </c>
      <c r="D82" s="3306" t="s">
        <v>3475</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3477</v>
      </c>
      <c r="B88" s="3278" t="s">
        <v>3539</v>
      </c>
      <c r="C88" s="3328" t="s">
        <v>3540</v>
      </c>
      <c r="D88" s="3328" t="s">
        <v>3541</v>
      </c>
      <c r="E88" s="3328" t="s">
        <v>3542</v>
      </c>
      <c r="F88" s="3328" t="s">
        <v>3543</v>
      </c>
      <c r="G88" s="3328" t="s">
        <v>3544</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3545</v>
      </c>
      <c r="C90" s="3334" t="s">
        <v>3546</v>
      </c>
      <c r="D90" s="3334" t="s">
        <v>3547</v>
      </c>
      <c r="E90" s="3334" t="s">
        <v>3548</v>
      </c>
      <c r="F90" s="3334" t="s">
        <v>3543</v>
      </c>
      <c r="G90" s="3334" t="s">
        <v>3544</v>
      </c>
      <c r="H90" s="3292"/>
      <c r="I90" s="3292"/>
      <c r="J90" s="3292"/>
      <c r="K90" s="3293"/>
      <c r="L90" s="3294"/>
      <c r="M90" s="3295"/>
      <c r="N90" s="3284"/>
      <c r="O90" s="3284"/>
      <c r="P90" s="3285"/>
      <c r="Q90" s="3250"/>
    </row>
    <row r="91" spans="1:17" ht="15.75" thickBot="1">
      <c r="A91" s="3286"/>
      <c r="B91" s="3296"/>
      <c r="C91" s="3297">
        <v>100</v>
      </c>
      <c r="D91" s="3297">
        <f>C91-$K17</f>
        <v>97</v>
      </c>
      <c r="E91" s="3297">
        <f>D91-$K17</f>
        <v>94</v>
      </c>
      <c r="F91" s="3297">
        <f>E91-$K17</f>
        <v>91</v>
      </c>
      <c r="G91" s="3297">
        <f>F91-$K17</f>
        <v>88</v>
      </c>
      <c r="H91" s="3297"/>
      <c r="I91" s="3297"/>
      <c r="J91" s="3297"/>
      <c r="K91" s="3297"/>
      <c r="L91" s="3297"/>
      <c r="M91" s="3298"/>
      <c r="N91" s="3290"/>
      <c r="O91" s="3290"/>
      <c r="P91" s="3285"/>
      <c r="Q91" s="3250"/>
    </row>
    <row r="92" spans="1:17" ht="15.75" thickTop="1">
      <c r="A92" s="3286"/>
      <c r="B92" s="3291" t="s">
        <v>3549</v>
      </c>
      <c r="C92" s="3334" t="s">
        <v>3546</v>
      </c>
      <c r="D92" s="3334" t="s">
        <v>3547</v>
      </c>
      <c r="E92" s="3334" t="s">
        <v>3548</v>
      </c>
      <c r="F92" s="3334" t="s">
        <v>3543</v>
      </c>
      <c r="G92" s="3334" t="s">
        <v>3544</v>
      </c>
      <c r="H92" s="3292"/>
      <c r="I92" s="3292"/>
      <c r="J92" s="3292"/>
      <c r="K92" s="3293"/>
      <c r="L92" s="3294"/>
      <c r="M92" s="3295"/>
      <c r="N92" s="3284"/>
      <c r="O92" s="3284"/>
      <c r="P92" s="3285"/>
      <c r="Q92" s="3250"/>
    </row>
    <row r="93" spans="1:17" ht="15.75" thickBot="1">
      <c r="A93" s="3286"/>
      <c r="B93" s="3296"/>
      <c r="C93" s="3297">
        <v>100</v>
      </c>
      <c r="D93" s="3297">
        <f>C93-$K19</f>
        <v>97</v>
      </c>
      <c r="E93" s="3297">
        <f>D93-$K19</f>
        <v>94</v>
      </c>
      <c r="F93" s="3297">
        <f>E93-$K19</f>
        <v>91</v>
      </c>
      <c r="G93" s="3297">
        <f>F93-$K19</f>
        <v>88</v>
      </c>
      <c r="H93" s="3297"/>
      <c r="I93" s="3297"/>
      <c r="J93" s="3297"/>
      <c r="K93" s="3297"/>
      <c r="L93" s="3297"/>
      <c r="M93" s="3298"/>
      <c r="N93" s="3290"/>
      <c r="O93" s="3290"/>
      <c r="P93" s="3285"/>
      <c r="Q93" s="3250"/>
    </row>
    <row r="94" spans="1:17" ht="15.75" thickTop="1">
      <c r="A94" s="3286"/>
      <c r="B94" s="3291" t="s">
        <v>3550</v>
      </c>
      <c r="C94" s="3334" t="s">
        <v>3546</v>
      </c>
      <c r="D94" s="3334" t="s">
        <v>3547</v>
      </c>
      <c r="E94" s="3334" t="s">
        <v>3548</v>
      </c>
      <c r="F94" s="3334" t="s">
        <v>3543</v>
      </c>
      <c r="G94" s="3334" t="s">
        <v>3544</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3551</v>
      </c>
      <c r="C96" s="3334" t="s">
        <v>3546</v>
      </c>
      <c r="D96" s="3334" t="s">
        <v>3547</v>
      </c>
      <c r="E96" s="3334" t="s">
        <v>3548</v>
      </c>
      <c r="F96" s="3334" t="s">
        <v>3543</v>
      </c>
      <c r="G96" s="3334" t="s">
        <v>3544</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3552</v>
      </c>
      <c r="C98" s="3328" t="s">
        <v>3546</v>
      </c>
      <c r="D98" s="3328" t="s">
        <v>3547</v>
      </c>
      <c r="E98" s="3328" t="s">
        <v>3548</v>
      </c>
      <c r="F98" s="3328" t="s">
        <v>3543</v>
      </c>
      <c r="G98" s="3328" t="s">
        <v>3544</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3553</v>
      </c>
      <c r="C100" s="3328" t="s">
        <v>3546</v>
      </c>
      <c r="D100" s="3328" t="s">
        <v>3547</v>
      </c>
      <c r="E100" s="3328" t="s">
        <v>3548</v>
      </c>
      <c r="F100" s="3328" t="s">
        <v>3543</v>
      </c>
      <c r="G100" s="3328" t="s">
        <v>3544</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3554</v>
      </c>
      <c r="C102" s="3344" t="s">
        <v>3555</v>
      </c>
      <c r="D102" s="3344" t="s">
        <v>3556</v>
      </c>
      <c r="E102" s="3344" t="s">
        <v>3557</v>
      </c>
      <c r="F102" s="3344" t="s">
        <v>3558</v>
      </c>
      <c r="G102" s="3344" t="s">
        <v>3559</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3560</v>
      </c>
      <c r="D104" s="3292" t="s">
        <v>3561</v>
      </c>
      <c r="E104" s="3292" t="s">
        <v>3562</v>
      </c>
      <c r="F104" s="3292" t="s">
        <v>3563</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3564</v>
      </c>
      <c r="C106" s="3346" t="s">
        <v>3565</v>
      </c>
      <c r="D106" s="3346" t="s">
        <v>3566</v>
      </c>
      <c r="E106" s="3346" t="s">
        <v>3567</v>
      </c>
      <c r="F106" s="3346" t="s">
        <v>3568</v>
      </c>
      <c r="G106" s="3346" t="s">
        <v>3569</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3570</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3493</v>
      </c>
      <c r="B116" s="3278" t="s">
        <v>3571</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55">
        <f>B118+0.5</f>
        <v>0.5</v>
      </c>
      <c r="D118" s="3355">
        <f t="shared" ref="D118:G118" si="26">C118+0.5</f>
        <v>1</v>
      </c>
      <c r="E118" s="3355">
        <f t="shared" si="26"/>
        <v>1.5</v>
      </c>
      <c r="F118" s="3355">
        <f t="shared" si="26"/>
        <v>2</v>
      </c>
      <c r="G118" s="3355">
        <f t="shared" si="26"/>
        <v>2.5</v>
      </c>
      <c r="H118" s="3355"/>
      <c r="I118" s="3355"/>
      <c r="J118" s="3355"/>
      <c r="K118" s="3355"/>
      <c r="L118" s="3355"/>
      <c r="M118" s="3356"/>
      <c r="N118" s="3290"/>
      <c r="O118" s="3290"/>
      <c r="P118" s="3285"/>
      <c r="Q118" s="3250"/>
    </row>
    <row r="119" spans="1:17" ht="15" thickTop="1">
      <c r="A119" s="3364"/>
      <c r="B119" s="3291" t="s">
        <v>3495</v>
      </c>
      <c r="C119" s="3365" t="s">
        <v>3572</v>
      </c>
      <c r="D119" s="3365" t="s">
        <v>3573</v>
      </c>
      <c r="E119" s="3365" t="s">
        <v>3574</v>
      </c>
      <c r="F119" s="3365" t="s">
        <v>3575</v>
      </c>
      <c r="G119" s="3365" t="s">
        <v>3576</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3497</v>
      </c>
      <c r="C121" s="3346" t="s">
        <v>3577</v>
      </c>
      <c r="D121" s="3346" t="s">
        <v>3578</v>
      </c>
      <c r="E121" s="3346" t="s">
        <v>3574</v>
      </c>
      <c r="F121" s="3365" t="s">
        <v>3579</v>
      </c>
      <c r="G121" s="3365" t="s">
        <v>3580</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3499</v>
      </c>
      <c r="C123" s="3366" t="s">
        <v>3581</v>
      </c>
      <c r="D123" s="3366" t="s">
        <v>3582</v>
      </c>
      <c r="E123" s="3366" t="s">
        <v>3583</v>
      </c>
      <c r="F123" s="3366" t="s">
        <v>3584</v>
      </c>
      <c r="G123" s="3366" t="s">
        <v>3585</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3500</v>
      </c>
      <c r="C125" s="3346" t="s">
        <v>3586</v>
      </c>
      <c r="D125" s="3346" t="s">
        <v>3587</v>
      </c>
      <c r="E125" s="3365" t="s">
        <v>3574</v>
      </c>
      <c r="F125" s="3365" t="s">
        <v>3588</v>
      </c>
      <c r="G125" s="3365" t="s">
        <v>3589</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2" sqref="H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3636</v>
      </c>
      <c r="C1" s="242"/>
      <c r="D1" s="242"/>
      <c r="E1" s="242"/>
      <c r="F1" s="242"/>
      <c r="G1" s="1361">
        <f>MATCH(B1,'数据-取费表'!A6:A16,0)+5</f>
        <v>11</v>
      </c>
    </row>
    <row r="2" spans="1:9" s="244" customFormat="1" ht="18" customHeight="1">
      <c r="A2" s="245" t="s">
        <v>2315</v>
      </c>
      <c r="B2" s="246">
        <f ca="1">IF(D2="——",C52,C52-E2)</f>
        <v>80842</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48789</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51094</v>
      </c>
      <c r="D5" s="255" t="s">
        <v>2322</v>
      </c>
      <c r="E5" s="256" t="s">
        <v>2323</v>
      </c>
      <c r="F5" s="256" t="s">
        <v>2324</v>
      </c>
      <c r="G5" s="257"/>
    </row>
    <row r="6" spans="1:9" s="258" customFormat="1" ht="13.5" customHeight="1">
      <c r="A6" s="939" t="s">
        <v>2325</v>
      </c>
      <c r="B6" s="259" t="s">
        <v>2326</v>
      </c>
      <c r="C6" s="260">
        <f>ROUND('土地比较法-住宅、综合'!B56*'数据-汇总表'!F24/10000,0)</f>
        <v>49247</v>
      </c>
      <c r="D6" s="261"/>
      <c r="E6" s="262"/>
      <c r="F6" s="262"/>
      <c r="G6" s="263"/>
    </row>
    <row r="7" spans="1:9" s="258" customFormat="1" ht="13.5" customHeight="1">
      <c r="A7" s="939" t="s">
        <v>792</v>
      </c>
      <c r="B7" s="259" t="s">
        <v>2328</v>
      </c>
      <c r="C7" s="264">
        <f>ROUND(C6*F7,0)</f>
        <v>1502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345</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345</v>
      </c>
      <c r="D10" s="1022">
        <f ca="1">IF(B1="",'数据-汇总表'!E6,IF(INDIRECT("'数据-取费表'!c"&amp;$G$1)="住宅",INDIRECT("'数据-取费表'!s"&amp;$G$1),INDIRECT("'数据-取费表'!k"&amp;$G$1)+INDIRECT("'数据-取费表'!s"&amp;$G$1)))</f>
        <v>17270.460000000003</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17270.460000000003</v>
      </c>
      <c r="E19" s="255">
        <f>'数据-取费表'!B31</f>
        <v>200</v>
      </c>
      <c r="F19" s="275"/>
      <c r="G19" s="2523" t="s">
        <v>3628</v>
      </c>
    </row>
    <row r="20" spans="1:7" s="258" customFormat="1" ht="13.5" customHeight="1">
      <c r="A20" s="299" t="s">
        <v>2346</v>
      </c>
      <c r="B20" s="254" t="s">
        <v>2347</v>
      </c>
      <c r="C20" s="276">
        <f ca="1">ROUND((C5+C19)*F20,0)</f>
        <v>1022</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5018</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4969</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49</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7817</v>
      </c>
      <c r="D27" s="279">
        <f ca="1">C29</f>
        <v>3.0000000000000001E-3</v>
      </c>
      <c r="E27" s="280" t="s">
        <v>2351</v>
      </c>
      <c r="F27" s="290">
        <f ca="1">IF(B1="",'数据-取费表'!Q16,INDIRECT("'数据-取费表'!q"&amp;$G$1))</f>
        <v>0.15</v>
      </c>
      <c r="G27" s="291" t="s">
        <v>2368</v>
      </c>
    </row>
    <row r="28" spans="1:7" s="258" customFormat="1" ht="13.5" customHeight="1">
      <c r="A28" s="941" t="s">
        <v>791</v>
      </c>
      <c r="B28" s="292" t="s">
        <v>2369</v>
      </c>
      <c r="C28" s="293">
        <f ca="1">ROUND((C5+C19+C20)*F27*'数据-取费表'!B21/'数据-取费表'!B20,0)</f>
        <v>7817</v>
      </c>
      <c r="D28" s="279"/>
      <c r="E28" s="280"/>
      <c r="F28" s="290"/>
      <c r="G28" s="291"/>
    </row>
    <row r="29" spans="1:7" s="258" customFormat="1" ht="13.5" customHeight="1">
      <c r="A29" s="94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70392</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9868</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9113</v>
      </c>
      <c r="D34" s="261"/>
      <c r="E34" s="264"/>
      <c r="F34" s="301">
        <f ca="1">IF('数据-取费表'!B24=0,1,IF(B1="",'数据-取费表'!N16,INDIRECT("'数据-取费表'!n"&amp;$G$1)))</f>
        <v>1</v>
      </c>
      <c r="G34" s="263" t="s">
        <v>2379</v>
      </c>
    </row>
    <row r="35" spans="1:7" ht="13.5" customHeight="1">
      <c r="A35" s="941" t="s">
        <v>796</v>
      </c>
      <c r="B35" s="259" t="s">
        <v>2380</v>
      </c>
      <c r="C35" s="264">
        <f ca="1">ROUND(C34*F35,0)</f>
        <v>273</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345</v>
      </c>
      <c r="D37" s="261">
        <f ca="1">D19</f>
        <v>17270.460000000003</v>
      </c>
      <c r="E37" s="293">
        <f>'数据-取费表'!B35</f>
        <v>200</v>
      </c>
      <c r="F37" s="303"/>
      <c r="G37" s="305" t="s">
        <v>2385</v>
      </c>
    </row>
    <row r="38" spans="1:7" ht="13.5" customHeight="1">
      <c r="A38" s="941" t="s">
        <v>799</v>
      </c>
      <c r="B38" s="259" t="s">
        <v>2386</v>
      </c>
      <c r="C38" s="264">
        <f ca="1">ROUND(C34*F38,0)</f>
        <v>137</v>
      </c>
      <c r="D38" s="264"/>
      <c r="E38" s="264"/>
      <c r="F38" s="303">
        <f>'数据-取费表'!B36</f>
        <v>1.4999999999999999E-2</v>
      </c>
      <c r="G38" s="263" t="s">
        <v>2381</v>
      </c>
    </row>
    <row r="39" spans="1:7" s="258" customFormat="1" ht="13.5" customHeight="1">
      <c r="A39" s="299" t="s">
        <v>2387</v>
      </c>
      <c r="B39" s="254" t="s">
        <v>2388</v>
      </c>
      <c r="C39" s="276">
        <f ca="1">ROUND(C33*F20,0)</f>
        <v>197</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478</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469</v>
      </c>
      <c r="D42" s="282"/>
      <c r="E42" s="282"/>
      <c r="F42" s="283"/>
      <c r="G42" s="3633" t="s">
        <v>2397</v>
      </c>
    </row>
    <row r="43" spans="1:7" ht="13.5" customHeight="1">
      <c r="A43" s="941" t="s">
        <v>792</v>
      </c>
      <c r="B43" s="259" t="s">
        <v>2359</v>
      </c>
      <c r="C43" s="282">
        <f ca="1">ROUND(IF('数据-取费表'!B22&lt;=1,C39*F22*'数据-取费表'!B21/2,C39*(POWER((1+F22),'数据-取费表'!B21/2)-1)),0)</f>
        <v>9</v>
      </c>
      <c r="D43" s="282"/>
      <c r="E43" s="282"/>
      <c r="F43" s="283"/>
      <c r="G43" s="3634"/>
    </row>
    <row r="44" spans="1:7" ht="13.5" customHeight="1">
      <c r="A44" s="941" t="s">
        <v>793</v>
      </c>
      <c r="B44" s="259" t="s">
        <v>2399</v>
      </c>
      <c r="C44" s="282">
        <f ca="1">ROUND(IF('数据-取费表'!B22&lt;=1,C40*F22*'数据-取费表'!B21/2,C40*(POWER((1+F22),'数据-取费表'!B21/2)-1)),4)</f>
        <v>1E-3</v>
      </c>
      <c r="D44" s="282"/>
      <c r="E44" s="282"/>
      <c r="F44" s="283"/>
      <c r="G44" s="3635"/>
    </row>
    <row r="45" spans="1:7" s="258" customFormat="1" ht="13.5" customHeight="1">
      <c r="A45" s="299" t="s">
        <v>2353</v>
      </c>
      <c r="B45" s="288" t="s">
        <v>2366</v>
      </c>
      <c r="C45" s="289">
        <f ca="1">C46</f>
        <v>1510</v>
      </c>
      <c r="D45" s="279">
        <f ca="1">C47</f>
        <v>3.0000000000000001E-3</v>
      </c>
      <c r="E45" s="280" t="s">
        <v>2392</v>
      </c>
      <c r="F45" s="290"/>
      <c r="G45" s="291" t="s">
        <v>2401</v>
      </c>
    </row>
    <row r="46" spans="1:7" s="258" customFormat="1" ht="13.5" customHeight="1">
      <c r="A46" s="941" t="s">
        <v>791</v>
      </c>
      <c r="B46" s="292" t="s">
        <v>2402</v>
      </c>
      <c r="C46" s="293">
        <f ca="1">ROUND((C33+C39)*F27,0)</f>
        <v>1510</v>
      </c>
      <c r="D46" s="307"/>
      <c r="E46" s="280"/>
      <c r="F46" s="290"/>
      <c r="G46" s="291"/>
    </row>
    <row r="47" spans="1:7" s="258" customFormat="1" ht="13.5" customHeight="1">
      <c r="A47" s="941" t="s">
        <v>792</v>
      </c>
      <c r="B47" s="292" t="s">
        <v>2403</v>
      </c>
      <c r="C47" s="282">
        <f ca="1">ROUND(C40*F27,4)</f>
        <v>3.0000000000000001E-3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13063</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10450</v>
      </c>
      <c r="D51" s="276"/>
      <c r="E51" s="276"/>
      <c r="F51" s="308"/>
      <c r="G51" s="278" t="s">
        <v>2413</v>
      </c>
    </row>
    <row r="52" spans="1:7" s="252" customFormat="1" ht="16.5" thickBot="1">
      <c r="A52" s="309" t="s">
        <v>2414</v>
      </c>
      <c r="B52" s="310"/>
      <c r="C52" s="311">
        <f ca="1">C31+C51</f>
        <v>80842</v>
      </c>
      <c r="D52" s="310"/>
      <c r="E52" s="310"/>
      <c r="F52" s="310"/>
      <c r="G52" s="312"/>
    </row>
    <row r="55" spans="1:7" ht="15">
      <c r="B55" s="314" t="s">
        <v>2415</v>
      </c>
      <c r="C55" s="315"/>
    </row>
    <row r="56" spans="1:7">
      <c r="B56" s="317" t="s">
        <v>1501</v>
      </c>
      <c r="C56" s="319">
        <f ca="1">1-C57</f>
        <v>0.871</v>
      </c>
    </row>
    <row r="57" spans="1:7">
      <c r="B57" s="317" t="s">
        <v>1502</v>
      </c>
      <c r="C57" s="318">
        <f ca="1">ROUND(C51/C52,3)</f>
        <v>0.129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50" t="str">
        <f>IF(项目基本情况!B9="房地产市场价值","估价结果一览表","结果表-2")</f>
        <v>结果表-2</v>
      </c>
      <c r="B1" s="3450"/>
      <c r="C1" s="3450"/>
      <c r="D1" s="3450"/>
      <c r="E1" s="3450"/>
      <c r="F1" s="3450"/>
      <c r="G1" s="3450"/>
      <c r="H1" s="3450"/>
      <c r="I1" s="3450"/>
    </row>
    <row r="2" spans="1:9" ht="30" customHeight="1" thickTop="1">
      <c r="A2" s="3451" t="s">
        <v>1629</v>
      </c>
      <c r="B2" s="3451" t="s">
        <v>1630</v>
      </c>
      <c r="C2" s="3451" t="s">
        <v>1631</v>
      </c>
      <c r="D2" s="3451" t="str">
        <f>结果表商!D116</f>
        <v>出让国有建设用地使用权价值</v>
      </c>
      <c r="E2" s="3451"/>
      <c r="F2" s="3451" t="str">
        <f>结果表商!F116</f>
        <v>在建建筑物价值</v>
      </c>
      <c r="G2" s="3451"/>
      <c r="H2" s="3451" t="str">
        <f>IF(项目基本情况!B9="房地产市场价值","房地产市场价值","房地产价值")</f>
        <v>房地产价值</v>
      </c>
      <c r="I2" s="3451"/>
    </row>
    <row r="3" spans="1:9" ht="15">
      <c r="A3" s="3452"/>
      <c r="B3" s="3452"/>
      <c r="C3" s="3452"/>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47823.990000000005</v>
      </c>
      <c r="C4" s="1034">
        <f>项目基本情况!C18</f>
        <v>10980.19</v>
      </c>
      <c r="D4" s="1034" t="e">
        <f ca="1">结果表商!D118</f>
        <v>#REF!</v>
      </c>
      <c r="E4" s="1034" t="e">
        <f ca="1">结果表商!E118</f>
        <v>#REF!</v>
      </c>
      <c r="F4" s="1034" t="e">
        <f ca="1">结果表商!F118</f>
        <v>#REF!</v>
      </c>
      <c r="G4" s="1034" t="e">
        <f ca="1">结果表商!G118</f>
        <v>#REF!</v>
      </c>
      <c r="H4" s="1034" t="e">
        <f ca="1">结果表商!H118</f>
        <v>#REF!</v>
      </c>
      <c r="I4" s="1034" t="e">
        <f ca="1">结果表商!I118</f>
        <v>#REF!</v>
      </c>
    </row>
    <row r="5" spans="1:9" ht="30" customHeight="1">
      <c r="A5" s="3452" t="s">
        <v>1628</v>
      </c>
      <c r="B5" s="3452"/>
      <c r="C5" s="3452"/>
      <c r="D5" s="3453" t="e">
        <f ca="1">结果表商!D119</f>
        <v>#REF!</v>
      </c>
      <c r="E5" s="3453"/>
      <c r="F5" s="3453" t="e">
        <f ca="1">结果表商!F119</f>
        <v>#REF!</v>
      </c>
      <c r="G5" s="3453"/>
      <c r="H5" s="3453" t="e">
        <f ca="1">结果表商!H119</f>
        <v>#REF!</v>
      </c>
      <c r="I5" s="3453"/>
    </row>
    <row r="6" spans="1:9" ht="15.75">
      <c r="A6" s="3454" t="str">
        <f>结果表商!A120</f>
        <v>估价师知悉的法定优先受偿款</v>
      </c>
      <c r="B6" s="3454"/>
      <c r="C6" s="3454"/>
      <c r="D6" s="3454">
        <f>结果表商!D120</f>
        <v>0</v>
      </c>
      <c r="E6" s="3454"/>
      <c r="F6" s="3454"/>
      <c r="G6" s="3454"/>
      <c r="H6" s="3454"/>
      <c r="I6" s="3454"/>
    </row>
    <row r="7" spans="1:9" ht="15">
      <c r="A7" s="3452" t="s">
        <v>1628</v>
      </c>
      <c r="B7" s="3452"/>
      <c r="C7" s="3452"/>
      <c r="D7" s="3455" t="str">
        <f>结果表商!D121</f>
        <v>零元整</v>
      </c>
      <c r="E7" s="3456"/>
      <c r="F7" s="3456"/>
      <c r="G7" s="3456"/>
      <c r="H7" s="3456"/>
      <c r="I7" s="3457"/>
    </row>
    <row r="8" spans="1:9" ht="15.75">
      <c r="A8" s="3454" t="str">
        <f>结果表商!A122</f>
        <v>房地产抵押价值</v>
      </c>
      <c r="B8" s="3454"/>
      <c r="C8" s="3454"/>
      <c r="D8" s="3454" t="e">
        <f ca="1">结果表商!D122</f>
        <v>#REF!</v>
      </c>
      <c r="E8" s="3454"/>
      <c r="F8" s="3454"/>
      <c r="G8" s="3454"/>
      <c r="H8" s="3454"/>
      <c r="I8" s="3454"/>
    </row>
    <row r="9" spans="1:9" ht="15">
      <c r="A9" s="3452" t="s">
        <v>1628</v>
      </c>
      <c r="B9" s="3452"/>
      <c r="C9" s="3452"/>
      <c r="D9" s="3453" t="e">
        <f ca="1">结果表商!D123</f>
        <v>#REF!</v>
      </c>
      <c r="E9" s="3453"/>
      <c r="F9" s="3453"/>
      <c r="G9" s="3453"/>
      <c r="H9" s="3453"/>
      <c r="I9" s="3453"/>
    </row>
    <row r="10" spans="1:9" ht="15.75">
      <c r="A10" s="3454" t="str">
        <f>结果表商!A124</f>
        <v/>
      </c>
      <c r="B10" s="3454"/>
      <c r="C10" s="3454"/>
      <c r="D10" s="3454" t="str">
        <f>结果表商!D124</f>
        <v>——</v>
      </c>
      <c r="E10" s="3454"/>
      <c r="F10" s="3454"/>
      <c r="G10" s="3454"/>
      <c r="H10" s="3454"/>
      <c r="I10" s="3454"/>
    </row>
    <row r="11" spans="1:9" ht="15">
      <c r="A11" s="3452" t="s">
        <v>1628</v>
      </c>
      <c r="B11" s="3452"/>
      <c r="C11" s="3452"/>
      <c r="D11" s="3453" t="e">
        <f>结果表商!D125</f>
        <v>#VALUE!</v>
      </c>
      <c r="E11" s="3453"/>
      <c r="F11" s="3453"/>
      <c r="G11" s="3453"/>
      <c r="H11" s="3453"/>
      <c r="I11" s="3453"/>
    </row>
    <row r="12" spans="1:9" ht="15.75">
      <c r="A12" s="3454" t="str">
        <f>结果表商!A126</f>
        <v/>
      </c>
      <c r="B12" s="3454"/>
      <c r="C12" s="3454"/>
      <c r="D12" s="3454" t="str">
        <f>结果表商!D126</f>
        <v>——</v>
      </c>
      <c r="E12" s="3454"/>
      <c r="F12" s="3454"/>
      <c r="G12" s="3454"/>
      <c r="H12" s="3454"/>
      <c r="I12" s="3454"/>
    </row>
    <row r="13" spans="1:9" ht="15.75" thickBot="1">
      <c r="A13" s="3458" t="s">
        <v>1628</v>
      </c>
      <c r="B13" s="3458"/>
      <c r="C13" s="3458"/>
      <c r="D13" s="3459" t="e">
        <f>结果表商!D127</f>
        <v>#VALUE!</v>
      </c>
      <c r="E13" s="3459"/>
      <c r="F13" s="3459"/>
      <c r="G13" s="3459"/>
      <c r="H13" s="3459"/>
      <c r="I13" s="3459"/>
    </row>
    <row r="14" spans="1:9" ht="15" thickTop="1">
      <c r="A14" s="3460" t="s">
        <v>1633</v>
      </c>
      <c r="B14" s="3460"/>
      <c r="C14" s="3460"/>
      <c r="D14" s="3460"/>
      <c r="E14" s="3460"/>
      <c r="F14" s="3460"/>
      <c r="G14" s="3460"/>
      <c r="H14" s="3460"/>
      <c r="I14" s="3460"/>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3052</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84"/>
      <c r="B4" s="3785"/>
      <c r="C4" s="3785"/>
      <c r="D4" s="3786"/>
      <c r="E4" s="3786"/>
      <c r="F4" s="3786"/>
      <c r="G4" s="3786"/>
      <c r="H4" s="3786"/>
      <c r="I4" s="3786"/>
      <c r="J4" s="3787"/>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68"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88"/>
      <c r="B8" s="198" t="s">
        <v>2815</v>
      </c>
      <c r="C8" s="2721" t="s">
        <v>3053</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81" t="s">
        <v>2818</v>
      </c>
      <c r="X8" s="3782"/>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88"/>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83"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88"/>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83"/>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88"/>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83"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68"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83"/>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89"/>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83"/>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89"/>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90"/>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8" t="s">
        <v>2861</v>
      </c>
      <c r="B16" s="2716" t="s">
        <v>2862</v>
      </c>
      <c r="C16" s="2903">
        <f>ROUND(IF(F17="与级别开发程度一致",0,(G17-E17)/C17),0)</f>
        <v>0</v>
      </c>
      <c r="D16" s="3779" t="s">
        <v>2866</v>
      </c>
      <c r="E16" s="3780"/>
      <c r="F16" s="3779" t="s">
        <v>2863</v>
      </c>
      <c r="G16" s="3780"/>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69"/>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3054</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1.6406000000000001</v>
      </c>
      <c r="D19" s="2760" t="s">
        <v>2870</v>
      </c>
      <c r="E19" s="915">
        <v>41640</v>
      </c>
      <c r="F19" s="2760" t="s">
        <v>2871</v>
      </c>
      <c r="G19" s="916">
        <f>'数据-取费表'!B2</f>
        <v>43983</v>
      </c>
      <c r="H19" s="2761" t="s">
        <v>3172</v>
      </c>
      <c r="I19" s="917">
        <f>IF(H19="季度增幅（自定义）",SUMIF(N21:N24,E2,O21:O24),"")</f>
        <v>0.02</v>
      </c>
      <c r="J19" s="2758"/>
      <c r="K19" s="1359"/>
      <c r="L19" s="2762" t="s">
        <v>2872</v>
      </c>
      <c r="M19" s="1714">
        <f>ROUND(SUMIF(地价!B2:F2,E2,地价!B28:F28),0)</f>
        <v>258</v>
      </c>
      <c r="N19" s="2763" t="s">
        <v>2873</v>
      </c>
      <c r="O19" s="918">
        <f>ROUNDDOWN(DATEDIF(E19,G19,"M")/3,0)</f>
        <v>25</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3055</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76"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77"/>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7"/>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78"/>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3056</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3056</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3057</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3057</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3058</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3056</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3056</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3056</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3057</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70" t="s">
        <v>2949</v>
      </c>
      <c r="B90" s="3770"/>
      <c r="C90" s="3770"/>
      <c r="D90" s="3770"/>
      <c r="E90" s="3770"/>
      <c r="F90" s="3770"/>
      <c r="G90" s="3770"/>
      <c r="H90" s="3770"/>
      <c r="I90" s="3770"/>
      <c r="J90" s="3770"/>
      <c r="K90" s="2855"/>
      <c r="L90" s="2855"/>
      <c r="M90" s="2855"/>
      <c r="N90" s="2855"/>
    </row>
    <row r="91" spans="1:37">
      <c r="A91" s="3772" t="s">
        <v>2950</v>
      </c>
      <c r="B91" s="3772" t="s">
        <v>2951</v>
      </c>
      <c r="C91" s="2809" t="s">
        <v>2952</v>
      </c>
      <c r="D91" s="2810"/>
      <c r="E91" s="2810"/>
      <c r="F91" s="2810"/>
      <c r="G91" s="2810"/>
      <c r="H91" s="2810"/>
      <c r="I91" s="2810"/>
      <c r="J91" s="2856"/>
      <c r="K91" s="2857"/>
      <c r="L91" s="2857"/>
      <c r="M91" s="2857"/>
      <c r="N91" s="2857"/>
    </row>
    <row r="92" spans="1:37">
      <c r="A92" s="3772"/>
      <c r="B92" s="3772"/>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73"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74"/>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74"/>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74"/>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74"/>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74"/>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74"/>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75"/>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73"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74"/>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74"/>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74"/>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74"/>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74"/>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74"/>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74"/>
      <c r="B108" s="3567"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75"/>
      <c r="B109" s="3568"/>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71" t="s">
        <v>2957</v>
      </c>
      <c r="B110" s="3771"/>
      <c r="C110" s="3771"/>
      <c r="D110" s="3771"/>
      <c r="E110" s="3771"/>
      <c r="F110" s="3771"/>
      <c r="G110" s="3771"/>
      <c r="H110" s="3771"/>
      <c r="I110" s="3771"/>
      <c r="J110" s="3771"/>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91" t="s">
        <v>183</v>
      </c>
      <c r="B18" s="872" t="s">
        <v>560</v>
      </c>
      <c r="C18" s="873" t="s">
        <v>561</v>
      </c>
      <c r="D18" s="874"/>
      <c r="E18" s="872">
        <v>1</v>
      </c>
      <c r="F18" s="875" t="s">
        <v>562</v>
      </c>
      <c r="G18" s="876"/>
      <c r="H18" s="868"/>
      <c r="I18" s="868"/>
    </row>
    <row r="19" spans="1:9" s="877" customFormat="1" ht="19.5" customHeight="1">
      <c r="A19" s="3791"/>
      <c r="B19" s="3791" t="s">
        <v>563</v>
      </c>
      <c r="C19" s="873" t="s">
        <v>564</v>
      </c>
      <c r="D19" s="874"/>
      <c r="E19" s="872">
        <v>0.9</v>
      </c>
      <c r="F19" s="875" t="s">
        <v>565</v>
      </c>
      <c r="G19" s="876"/>
      <c r="H19" s="868"/>
      <c r="I19" s="868"/>
    </row>
    <row r="20" spans="1:9" s="877" customFormat="1" ht="19.5" customHeight="1">
      <c r="A20" s="3791"/>
      <c r="B20" s="3791"/>
      <c r="C20" s="873" t="s">
        <v>566</v>
      </c>
      <c r="D20" s="874"/>
      <c r="E20" s="872">
        <v>1.1000000000000001</v>
      </c>
      <c r="F20" s="875" t="s">
        <v>567</v>
      </c>
      <c r="G20" s="876"/>
      <c r="H20" s="868"/>
      <c r="I20" s="868"/>
    </row>
    <row r="21" spans="1:9" s="877" customFormat="1" ht="19.5" customHeight="1">
      <c r="A21" s="3791"/>
      <c r="B21" s="3791"/>
      <c r="C21" s="873" t="s">
        <v>568</v>
      </c>
      <c r="D21" s="874"/>
      <c r="E21" s="872">
        <v>0.8</v>
      </c>
      <c r="F21" s="875" t="s">
        <v>569</v>
      </c>
      <c r="G21" s="876"/>
      <c r="H21" s="868"/>
      <c r="I21" s="868"/>
    </row>
    <row r="22" spans="1:9" s="877" customFormat="1" ht="19.5" customHeight="1">
      <c r="A22" s="3791"/>
      <c r="B22" s="3791"/>
      <c r="C22" s="873" t="s">
        <v>570</v>
      </c>
      <c r="D22" s="874"/>
      <c r="E22" s="872">
        <v>0.5</v>
      </c>
      <c r="F22" s="875"/>
      <c r="G22" s="876"/>
      <c r="H22" s="868"/>
      <c r="I22" s="868"/>
    </row>
    <row r="23" spans="1:9" s="877" customFormat="1" ht="19.5" customHeight="1">
      <c r="A23" s="3791" t="s">
        <v>184</v>
      </c>
      <c r="B23" s="872" t="s">
        <v>560</v>
      </c>
      <c r="C23" s="873" t="s">
        <v>571</v>
      </c>
      <c r="D23" s="874"/>
      <c r="E23" s="872">
        <v>1</v>
      </c>
      <c r="F23" s="875" t="s">
        <v>572</v>
      </c>
      <c r="G23" s="876"/>
      <c r="H23" s="868"/>
      <c r="I23" s="868"/>
    </row>
    <row r="24" spans="1:9" s="877" customFormat="1" ht="19.5" customHeight="1">
      <c r="A24" s="3791"/>
      <c r="B24" s="3791" t="s">
        <v>563</v>
      </c>
      <c r="C24" s="873" t="s">
        <v>573</v>
      </c>
      <c r="D24" s="874"/>
      <c r="E24" s="872">
        <v>0.5</v>
      </c>
      <c r="F24" s="875"/>
      <c r="G24" s="876"/>
      <c r="H24" s="868"/>
      <c r="I24" s="868"/>
    </row>
    <row r="25" spans="1:9" s="877" customFormat="1" ht="19.5" customHeight="1">
      <c r="A25" s="3791"/>
      <c r="B25" s="3791"/>
      <c r="C25" s="873" t="s">
        <v>574</v>
      </c>
      <c r="D25" s="874"/>
      <c r="E25" s="872">
        <v>1.1000000000000001</v>
      </c>
      <c r="F25" s="875"/>
      <c r="G25" s="876"/>
      <c r="H25" s="868"/>
      <c r="I25" s="868"/>
    </row>
    <row r="26" spans="1:9" s="877" customFormat="1" ht="19.5" customHeight="1">
      <c r="A26" s="3791"/>
      <c r="B26" s="3791"/>
      <c r="C26" s="873" t="s">
        <v>575</v>
      </c>
      <c r="D26" s="874"/>
      <c r="E26" s="872">
        <v>1.1000000000000001</v>
      </c>
      <c r="F26" s="875"/>
      <c r="G26" s="876"/>
      <c r="H26" s="868"/>
      <c r="I26" s="868"/>
    </row>
    <row r="27" spans="1:9" s="877" customFormat="1" ht="19.5" customHeight="1">
      <c r="A27" s="3791"/>
      <c r="B27" s="3791"/>
      <c r="C27" s="873" t="s">
        <v>576</v>
      </c>
      <c r="D27" s="874"/>
      <c r="E27" s="872">
        <v>0.9</v>
      </c>
      <c r="F27" s="875" t="s">
        <v>577</v>
      </c>
      <c r="G27" s="876"/>
      <c r="H27" s="868"/>
      <c r="I27" s="868"/>
    </row>
    <row r="28" spans="1:9" s="877" customFormat="1" ht="19.5" customHeight="1">
      <c r="A28" s="3791"/>
      <c r="B28" s="3791"/>
      <c r="C28" s="873" t="s">
        <v>578</v>
      </c>
      <c r="D28" s="874"/>
      <c r="E28" s="872">
        <v>0.9</v>
      </c>
      <c r="F28" s="875" t="s">
        <v>579</v>
      </c>
      <c r="G28" s="876"/>
      <c r="H28" s="868"/>
      <c r="I28" s="868"/>
    </row>
    <row r="29" spans="1:9" s="877" customFormat="1" ht="19.5" customHeight="1">
      <c r="A29" s="3791"/>
      <c r="B29" s="3791"/>
      <c r="C29" s="873" t="s">
        <v>580</v>
      </c>
      <c r="D29" s="874"/>
      <c r="E29" s="872">
        <v>0.9</v>
      </c>
      <c r="F29" s="875" t="s">
        <v>581</v>
      </c>
      <c r="G29" s="876"/>
      <c r="H29" s="868"/>
      <c r="I29" s="868"/>
    </row>
    <row r="30" spans="1:9" s="877" customFormat="1" ht="19.5" customHeight="1">
      <c r="A30" s="3791"/>
      <c r="B30" s="3791"/>
      <c r="C30" s="873" t="s">
        <v>582</v>
      </c>
      <c r="D30" s="874"/>
      <c r="E30" s="872">
        <v>0.9</v>
      </c>
      <c r="F30" s="875" t="s">
        <v>583</v>
      </c>
      <c r="G30" s="876"/>
      <c r="H30" s="868"/>
      <c r="I30" s="868"/>
    </row>
    <row r="31" spans="1:9" s="877" customFormat="1" ht="19.5" customHeight="1">
      <c r="A31" s="3791"/>
      <c r="B31" s="3791"/>
      <c r="C31" s="873" t="s">
        <v>584</v>
      </c>
      <c r="D31" s="874"/>
      <c r="E31" s="872">
        <v>0.8</v>
      </c>
      <c r="F31" s="875" t="s">
        <v>585</v>
      </c>
      <c r="G31" s="876"/>
      <c r="H31" s="868"/>
      <c r="I31" s="868"/>
    </row>
    <row r="32" spans="1:9" s="877" customFormat="1" ht="19.5" customHeight="1">
      <c r="A32" s="3791"/>
      <c r="B32" s="3791"/>
      <c r="C32" s="873" t="s">
        <v>586</v>
      </c>
      <c r="D32" s="874"/>
      <c r="E32" s="872">
        <v>0.8</v>
      </c>
      <c r="F32" s="875" t="s">
        <v>587</v>
      </c>
      <c r="G32" s="876"/>
      <c r="H32" s="868"/>
      <c r="I32" s="868"/>
    </row>
    <row r="33" spans="1:9" s="877" customFormat="1" ht="19.5" customHeight="1">
      <c r="A33" s="3791" t="s">
        <v>185</v>
      </c>
      <c r="B33" s="872" t="s">
        <v>560</v>
      </c>
      <c r="C33" s="873" t="s">
        <v>588</v>
      </c>
      <c r="D33" s="874"/>
      <c r="E33" s="872">
        <v>1</v>
      </c>
      <c r="F33" s="875" t="s">
        <v>589</v>
      </c>
      <c r="G33" s="876"/>
      <c r="H33" s="868"/>
      <c r="I33" s="868"/>
    </row>
    <row r="34" spans="1:9" s="877" customFormat="1" ht="19.5" customHeight="1">
      <c r="A34" s="3791"/>
      <c r="B34" s="872" t="s">
        <v>563</v>
      </c>
      <c r="C34" s="873" t="s">
        <v>590</v>
      </c>
      <c r="D34" s="874"/>
      <c r="E34" s="872">
        <v>1.5</v>
      </c>
      <c r="F34" s="875" t="s">
        <v>591</v>
      </c>
      <c r="G34" s="876"/>
      <c r="H34" s="868"/>
      <c r="I34" s="868"/>
    </row>
    <row r="35" spans="1:9" s="877" customFormat="1" ht="19.5" customHeight="1">
      <c r="A35" s="3791" t="s">
        <v>186</v>
      </c>
      <c r="B35" s="872" t="s">
        <v>560</v>
      </c>
      <c r="C35" s="873" t="s">
        <v>592</v>
      </c>
      <c r="D35" s="874"/>
      <c r="E35" s="872">
        <v>1</v>
      </c>
      <c r="F35" s="875" t="s">
        <v>593</v>
      </c>
      <c r="G35" s="876"/>
      <c r="H35" s="868"/>
      <c r="I35" s="868"/>
    </row>
    <row r="36" spans="1:9" s="877" customFormat="1" ht="19.5" customHeight="1">
      <c r="A36" s="3791"/>
      <c r="B36" s="3791" t="s">
        <v>563</v>
      </c>
      <c r="C36" s="873" t="s">
        <v>594</v>
      </c>
      <c r="D36" s="874"/>
      <c r="E36" s="872">
        <v>1</v>
      </c>
      <c r="F36" s="875" t="s">
        <v>595</v>
      </c>
      <c r="G36" s="876"/>
      <c r="H36" s="868"/>
      <c r="I36" s="868"/>
    </row>
    <row r="37" spans="1:9" s="877" customFormat="1" ht="19.5" customHeight="1">
      <c r="A37" s="3791"/>
      <c r="B37" s="3791"/>
      <c r="C37" s="873" t="s">
        <v>596</v>
      </c>
      <c r="D37" s="874"/>
      <c r="E37" s="872">
        <v>1.5</v>
      </c>
      <c r="F37" s="875" t="s">
        <v>597</v>
      </c>
      <c r="G37" s="876"/>
      <c r="H37" s="868"/>
      <c r="I37" s="868"/>
    </row>
    <row r="38" spans="1:9" s="877" customFormat="1" ht="19.5" customHeight="1">
      <c r="A38" s="3791"/>
      <c r="B38" s="3791"/>
      <c r="C38" s="873" t="s">
        <v>598</v>
      </c>
      <c r="D38" s="874"/>
      <c r="E38" s="872">
        <v>1</v>
      </c>
      <c r="F38" s="875" t="s">
        <v>599</v>
      </c>
      <c r="G38" s="876"/>
      <c r="H38" s="868"/>
      <c r="I38" s="868"/>
    </row>
    <row r="39" spans="1:9" s="877" customFormat="1" ht="19.5" customHeight="1">
      <c r="A39" s="3791"/>
      <c r="B39" s="3791"/>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91" t="s">
        <v>614</v>
      </c>
      <c r="C61" s="808" t="s">
        <v>615</v>
      </c>
      <c r="D61" s="808" t="s">
        <v>616</v>
      </c>
      <c r="E61" s="885">
        <v>0.5</v>
      </c>
      <c r="F61" s="872">
        <v>80</v>
      </c>
    </row>
    <row r="62" spans="1:8" s="868" customFormat="1" ht="24">
      <c r="A62" s="872">
        <v>2</v>
      </c>
      <c r="B62" s="3791"/>
      <c r="C62" s="808" t="s">
        <v>617</v>
      </c>
      <c r="D62" s="808" t="s">
        <v>618</v>
      </c>
      <c r="E62" s="885">
        <v>0.5</v>
      </c>
      <c r="F62" s="872">
        <v>80</v>
      </c>
    </row>
    <row r="63" spans="1:8" s="868" customFormat="1" ht="36">
      <c r="A63" s="872">
        <v>3</v>
      </c>
      <c r="B63" s="3791"/>
      <c r="C63" s="808" t="s">
        <v>619</v>
      </c>
      <c r="D63" s="808" t="s">
        <v>620</v>
      </c>
      <c r="E63" s="885">
        <v>0.5</v>
      </c>
      <c r="F63" s="872">
        <v>80</v>
      </c>
    </row>
    <row r="64" spans="1:8" s="868" customFormat="1" ht="36">
      <c r="A64" s="872">
        <v>4</v>
      </c>
      <c r="B64" s="3791"/>
      <c r="C64" s="808" t="s">
        <v>621</v>
      </c>
      <c r="D64" s="808" t="s">
        <v>622</v>
      </c>
      <c r="E64" s="885">
        <v>0.4</v>
      </c>
      <c r="F64" s="872">
        <v>60</v>
      </c>
    </row>
    <row r="65" spans="1:6" s="868" customFormat="1" ht="36">
      <c r="A65" s="872">
        <v>5</v>
      </c>
      <c r="B65" s="3791"/>
      <c r="C65" s="808" t="s">
        <v>623</v>
      </c>
      <c r="D65" s="808" t="s">
        <v>624</v>
      </c>
      <c r="E65" s="885">
        <v>0.2</v>
      </c>
      <c r="F65" s="872">
        <v>30</v>
      </c>
    </row>
    <row r="66" spans="1:6" s="868" customFormat="1" ht="36">
      <c r="A66" s="872">
        <v>6</v>
      </c>
      <c r="B66" s="3791"/>
      <c r="C66" s="808" t="s">
        <v>625</v>
      </c>
      <c r="D66" s="808" t="s">
        <v>626</v>
      </c>
      <c r="E66" s="885">
        <v>0.3</v>
      </c>
      <c r="F66" s="872">
        <v>50</v>
      </c>
    </row>
    <row r="67" spans="1:6" s="868" customFormat="1" ht="36">
      <c r="A67" s="872">
        <v>7</v>
      </c>
      <c r="B67" s="3791"/>
      <c r="C67" s="808" t="s">
        <v>627</v>
      </c>
      <c r="D67" s="808" t="s">
        <v>628</v>
      </c>
      <c r="E67" s="885">
        <v>0.2</v>
      </c>
      <c r="F67" s="872">
        <v>30</v>
      </c>
    </row>
    <row r="68" spans="1:6" s="868" customFormat="1" ht="36">
      <c r="A68" s="872">
        <v>8</v>
      </c>
      <c r="B68" s="3791"/>
      <c r="C68" s="808" t="s">
        <v>629</v>
      </c>
      <c r="D68" s="808" t="s">
        <v>630</v>
      </c>
      <c r="E68" s="885">
        <v>0.2</v>
      </c>
      <c r="F68" s="872">
        <v>30</v>
      </c>
    </row>
    <row r="69" spans="1:6" s="868" customFormat="1" ht="36">
      <c r="A69" s="872">
        <v>9</v>
      </c>
      <c r="B69" s="3791"/>
      <c r="C69" s="808" t="s">
        <v>631</v>
      </c>
      <c r="D69" s="808" t="s">
        <v>632</v>
      </c>
      <c r="E69" s="885">
        <v>0.2</v>
      </c>
      <c r="F69" s="872">
        <v>30</v>
      </c>
    </row>
    <row r="70" spans="1:6" s="868" customFormat="1" ht="48">
      <c r="A70" s="872">
        <v>10</v>
      </c>
      <c r="B70" s="3791"/>
      <c r="C70" s="808" t="s">
        <v>633</v>
      </c>
      <c r="D70" s="808" t="s">
        <v>634</v>
      </c>
      <c r="E70" s="885">
        <v>0.2</v>
      </c>
      <c r="F70" s="872">
        <v>30</v>
      </c>
    </row>
    <row r="71" spans="1:6" s="868" customFormat="1" ht="48">
      <c r="A71" s="872">
        <v>11</v>
      </c>
      <c r="B71" s="3791"/>
      <c r="C71" s="808" t="s">
        <v>635</v>
      </c>
      <c r="D71" s="808" t="s">
        <v>636</v>
      </c>
      <c r="E71" s="885">
        <v>0.2</v>
      </c>
      <c r="F71" s="872">
        <v>30</v>
      </c>
    </row>
    <row r="72" spans="1:6" s="868" customFormat="1" ht="36">
      <c r="A72" s="872">
        <v>12</v>
      </c>
      <c r="B72" s="3791"/>
      <c r="C72" s="808" t="s">
        <v>637</v>
      </c>
      <c r="D72" s="808" t="s">
        <v>638</v>
      </c>
      <c r="E72" s="885">
        <v>0.5</v>
      </c>
      <c r="F72" s="872">
        <v>80</v>
      </c>
    </row>
    <row r="73" spans="1:6" s="868" customFormat="1" ht="24">
      <c r="A73" s="872">
        <v>13</v>
      </c>
      <c r="B73" s="3791"/>
      <c r="C73" s="808" t="s">
        <v>639</v>
      </c>
      <c r="D73" s="808" t="s">
        <v>640</v>
      </c>
      <c r="E73" s="885">
        <v>0.4</v>
      </c>
      <c r="F73" s="872">
        <v>60</v>
      </c>
    </row>
    <row r="74" spans="1:6" s="868" customFormat="1" ht="24">
      <c r="A74" s="872">
        <v>14</v>
      </c>
      <c r="B74" s="3791"/>
      <c r="C74" s="808" t="s">
        <v>641</v>
      </c>
      <c r="D74" s="808" t="s">
        <v>642</v>
      </c>
      <c r="E74" s="885">
        <v>0.2</v>
      </c>
      <c r="F74" s="872">
        <v>30</v>
      </c>
    </row>
    <row r="75" spans="1:6" s="868" customFormat="1" ht="24">
      <c r="A75" s="872">
        <v>15</v>
      </c>
      <c r="B75" s="3791"/>
      <c r="C75" s="808" t="s">
        <v>643</v>
      </c>
      <c r="D75" s="808" t="s">
        <v>644</v>
      </c>
      <c r="E75" s="885">
        <v>0.2</v>
      </c>
      <c r="F75" s="872">
        <v>30</v>
      </c>
    </row>
    <row r="76" spans="1:6" s="868" customFormat="1" ht="24">
      <c r="A76" s="872">
        <v>16</v>
      </c>
      <c r="B76" s="3791" t="s">
        <v>645</v>
      </c>
      <c r="C76" s="808" t="s">
        <v>646</v>
      </c>
      <c r="D76" s="808" t="s">
        <v>647</v>
      </c>
      <c r="E76" s="885">
        <v>0.5</v>
      </c>
      <c r="F76" s="872">
        <v>80</v>
      </c>
    </row>
    <row r="77" spans="1:6" s="868" customFormat="1" ht="24">
      <c r="A77" s="872">
        <v>17</v>
      </c>
      <c r="B77" s="3791"/>
      <c r="C77" s="808" t="s">
        <v>648</v>
      </c>
      <c r="D77" s="808" t="s">
        <v>649</v>
      </c>
      <c r="E77" s="885">
        <v>0.5</v>
      </c>
      <c r="F77" s="872">
        <v>80</v>
      </c>
    </row>
    <row r="78" spans="1:6" s="868" customFormat="1" ht="24">
      <c r="A78" s="872">
        <v>18</v>
      </c>
      <c r="B78" s="3791"/>
      <c r="C78" s="808" t="s">
        <v>650</v>
      </c>
      <c r="D78" s="808" t="s">
        <v>651</v>
      </c>
      <c r="E78" s="885">
        <v>0.2</v>
      </c>
      <c r="F78" s="872">
        <v>30</v>
      </c>
    </row>
    <row r="79" spans="1:6" s="868" customFormat="1" ht="24">
      <c r="A79" s="872">
        <v>19</v>
      </c>
      <c r="B79" s="3791"/>
      <c r="C79" s="808" t="s">
        <v>652</v>
      </c>
      <c r="D79" s="808" t="s">
        <v>653</v>
      </c>
      <c r="E79" s="885">
        <v>0.5</v>
      </c>
      <c r="F79" s="872">
        <v>80</v>
      </c>
    </row>
    <row r="80" spans="1:6" s="868" customFormat="1" ht="36">
      <c r="A80" s="872">
        <v>20</v>
      </c>
      <c r="B80" s="3791"/>
      <c r="C80" s="808" t="s">
        <v>654</v>
      </c>
      <c r="D80" s="808" t="s">
        <v>655</v>
      </c>
      <c r="E80" s="885">
        <v>0.2</v>
      </c>
      <c r="F80" s="872">
        <v>30</v>
      </c>
    </row>
    <row r="81" spans="1:6" s="868" customFormat="1" ht="36">
      <c r="A81" s="872">
        <v>21</v>
      </c>
      <c r="B81" s="3791"/>
      <c r="C81" s="808" t="s">
        <v>656</v>
      </c>
      <c r="D81" s="808" t="s">
        <v>657</v>
      </c>
      <c r="E81" s="885">
        <v>0.2</v>
      </c>
      <c r="F81" s="872">
        <v>30</v>
      </c>
    </row>
    <row r="82" spans="1:6" s="868" customFormat="1" ht="48">
      <c r="A82" s="872">
        <v>22</v>
      </c>
      <c r="B82" s="3791"/>
      <c r="C82" s="808" t="s">
        <v>658</v>
      </c>
      <c r="D82" s="808" t="s">
        <v>659</v>
      </c>
      <c r="E82" s="885">
        <v>0.2</v>
      </c>
      <c r="F82" s="872">
        <v>30</v>
      </c>
    </row>
    <row r="83" spans="1:6" s="868" customFormat="1" ht="48">
      <c r="A83" s="872">
        <v>23</v>
      </c>
      <c r="B83" s="3791"/>
      <c r="C83" s="808" t="s">
        <v>660</v>
      </c>
      <c r="D83" s="808" t="s">
        <v>661</v>
      </c>
      <c r="E83" s="885">
        <v>0.2</v>
      </c>
      <c r="F83" s="872">
        <v>30</v>
      </c>
    </row>
    <row r="84" spans="1:6" s="868" customFormat="1" ht="36">
      <c r="A84" s="872">
        <v>24</v>
      </c>
      <c r="B84" s="3791"/>
      <c r="C84" s="808" t="s">
        <v>662</v>
      </c>
      <c r="D84" s="808" t="s">
        <v>663</v>
      </c>
      <c r="E84" s="885">
        <v>0.2</v>
      </c>
      <c r="F84" s="872">
        <v>30</v>
      </c>
    </row>
    <row r="85" spans="1:6" s="868" customFormat="1" ht="36">
      <c r="A85" s="872">
        <v>25</v>
      </c>
      <c r="B85" s="3791"/>
      <c r="C85" s="808" t="s">
        <v>664</v>
      </c>
      <c r="D85" s="808" t="s">
        <v>665</v>
      </c>
      <c r="E85" s="885">
        <v>0.5</v>
      </c>
      <c r="F85" s="872">
        <v>80</v>
      </c>
    </row>
    <row r="86" spans="1:6" s="868" customFormat="1" ht="36">
      <c r="A86" s="872">
        <v>26</v>
      </c>
      <c r="B86" s="3791"/>
      <c r="C86" s="808" t="s">
        <v>666</v>
      </c>
      <c r="D86" s="808" t="s">
        <v>667</v>
      </c>
      <c r="E86" s="885">
        <v>0.2</v>
      </c>
      <c r="F86" s="872">
        <v>30</v>
      </c>
    </row>
    <row r="87" spans="1:6" s="868" customFormat="1" ht="36">
      <c r="A87" s="872">
        <v>27</v>
      </c>
      <c r="B87" s="3791"/>
      <c r="C87" s="808" t="s">
        <v>668</v>
      </c>
      <c r="D87" s="808" t="s">
        <v>669</v>
      </c>
      <c r="E87" s="885">
        <v>0.2</v>
      </c>
      <c r="F87" s="872">
        <v>30</v>
      </c>
    </row>
    <row r="88" spans="1:6" s="868" customFormat="1" ht="36">
      <c r="A88" s="872">
        <v>28</v>
      </c>
      <c r="B88" s="3791"/>
      <c r="C88" s="808" t="s">
        <v>670</v>
      </c>
      <c r="D88" s="808" t="s">
        <v>671</v>
      </c>
      <c r="E88" s="885">
        <v>0.2</v>
      </c>
      <c r="F88" s="872">
        <v>30</v>
      </c>
    </row>
    <row r="89" spans="1:6" s="868" customFormat="1" ht="24">
      <c r="A89" s="872">
        <v>29</v>
      </c>
      <c r="B89" s="3791"/>
      <c r="C89" s="808" t="s">
        <v>672</v>
      </c>
      <c r="D89" s="808" t="s">
        <v>673</v>
      </c>
      <c r="E89" s="885">
        <v>0.2</v>
      </c>
      <c r="F89" s="872">
        <v>30</v>
      </c>
    </row>
    <row r="90" spans="1:6" s="868" customFormat="1" ht="24">
      <c r="A90" s="872">
        <v>30</v>
      </c>
      <c r="B90" s="3791"/>
      <c r="C90" s="808" t="s">
        <v>674</v>
      </c>
      <c r="D90" s="808" t="s">
        <v>675</v>
      </c>
      <c r="E90" s="885">
        <v>0.2</v>
      </c>
      <c r="F90" s="872">
        <v>30</v>
      </c>
    </row>
    <row r="91" spans="1:6" s="868" customFormat="1" ht="36">
      <c r="A91" s="872">
        <v>31</v>
      </c>
      <c r="B91" s="3791"/>
      <c r="C91" s="808" t="s">
        <v>676</v>
      </c>
      <c r="D91" s="808" t="s">
        <v>677</v>
      </c>
      <c r="E91" s="885">
        <v>0.2</v>
      </c>
      <c r="F91" s="872">
        <v>30</v>
      </c>
    </row>
    <row r="92" spans="1:6" s="868" customFormat="1" ht="24">
      <c r="A92" s="872">
        <v>32</v>
      </c>
      <c r="B92" s="3791" t="s">
        <v>678</v>
      </c>
      <c r="C92" s="872" t="s">
        <v>679</v>
      </c>
      <c r="D92" s="808" t="s">
        <v>680</v>
      </c>
      <c r="E92" s="885">
        <v>0.2</v>
      </c>
      <c r="F92" s="872">
        <v>30</v>
      </c>
    </row>
    <row r="93" spans="1:6" s="868" customFormat="1" ht="36">
      <c r="A93" s="872">
        <v>33</v>
      </c>
      <c r="B93" s="3791"/>
      <c r="C93" s="872" t="s">
        <v>681</v>
      </c>
      <c r="D93" s="808" t="s">
        <v>682</v>
      </c>
      <c r="E93" s="885">
        <v>0.2</v>
      </c>
      <c r="F93" s="872">
        <v>30</v>
      </c>
    </row>
    <row r="94" spans="1:6" s="868" customFormat="1" ht="48">
      <c r="A94" s="872">
        <v>34</v>
      </c>
      <c r="B94" s="3791"/>
      <c r="C94" s="872" t="s">
        <v>683</v>
      </c>
      <c r="D94" s="808" t="s">
        <v>684</v>
      </c>
      <c r="E94" s="885">
        <v>0.2</v>
      </c>
      <c r="F94" s="872">
        <v>30</v>
      </c>
    </row>
    <row r="95" spans="1:6" s="868" customFormat="1" ht="36">
      <c r="A95" s="872">
        <v>35</v>
      </c>
      <c r="B95" s="3791"/>
      <c r="C95" s="872" t="s">
        <v>685</v>
      </c>
      <c r="D95" s="808" t="s">
        <v>686</v>
      </c>
      <c r="E95" s="885">
        <v>0.2</v>
      </c>
      <c r="F95" s="872">
        <v>30</v>
      </c>
    </row>
    <row r="96" spans="1:6" s="868" customFormat="1" ht="48">
      <c r="A96" s="872">
        <v>36</v>
      </c>
      <c r="B96" s="3791"/>
      <c r="C96" s="808" t="s">
        <v>687</v>
      </c>
      <c r="D96" s="808" t="s">
        <v>688</v>
      </c>
      <c r="E96" s="885">
        <v>0.2</v>
      </c>
      <c r="F96" s="872">
        <v>30</v>
      </c>
    </row>
    <row r="97" spans="1:6" s="868" customFormat="1" ht="36">
      <c r="A97" s="872">
        <v>37</v>
      </c>
      <c r="B97" s="3791"/>
      <c r="C97" s="872" t="s">
        <v>689</v>
      </c>
      <c r="D97" s="808" t="s">
        <v>690</v>
      </c>
      <c r="E97" s="885">
        <v>0.2</v>
      </c>
      <c r="F97" s="872">
        <v>30</v>
      </c>
    </row>
    <row r="98" spans="1:6" s="868" customFormat="1" ht="36">
      <c r="A98" s="872">
        <v>38</v>
      </c>
      <c r="B98" s="3791"/>
      <c r="C98" s="872" t="s">
        <v>691</v>
      </c>
      <c r="D98" s="808" t="s">
        <v>692</v>
      </c>
      <c r="E98" s="885">
        <v>0.2</v>
      </c>
      <c r="F98" s="872">
        <v>30</v>
      </c>
    </row>
    <row r="99" spans="1:6" s="868" customFormat="1" ht="36">
      <c r="A99" s="872">
        <v>39</v>
      </c>
      <c r="B99" s="3791" t="s">
        <v>693</v>
      </c>
      <c r="C99" s="872" t="s">
        <v>694</v>
      </c>
      <c r="D99" s="808" t="s">
        <v>695</v>
      </c>
      <c r="E99" s="885">
        <v>0.3</v>
      </c>
      <c r="F99" s="872">
        <v>50</v>
      </c>
    </row>
    <row r="100" spans="1:6" s="868" customFormat="1" ht="24">
      <c r="A100" s="872">
        <v>40</v>
      </c>
      <c r="B100" s="3791"/>
      <c r="C100" s="872" t="s">
        <v>696</v>
      </c>
      <c r="D100" s="808" t="s">
        <v>697</v>
      </c>
      <c r="E100" s="885">
        <v>0.2</v>
      </c>
      <c r="F100" s="872">
        <v>30</v>
      </c>
    </row>
    <row r="101" spans="1:6" s="868" customFormat="1" ht="36">
      <c r="A101" s="872">
        <v>41</v>
      </c>
      <c r="B101" s="3791"/>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91" t="s">
        <v>708</v>
      </c>
      <c r="C105" s="872" t="s">
        <v>709</v>
      </c>
      <c r="D105" s="808" t="s">
        <v>710</v>
      </c>
      <c r="E105" s="885">
        <v>0.2</v>
      </c>
      <c r="F105" s="872">
        <v>30</v>
      </c>
    </row>
    <row r="106" spans="1:6" s="868" customFormat="1" ht="36">
      <c r="A106" s="872">
        <v>46</v>
      </c>
      <c r="B106" s="3791"/>
      <c r="C106" s="872" t="s">
        <v>711</v>
      </c>
      <c r="D106" s="808" t="s">
        <v>712</v>
      </c>
      <c r="E106" s="885">
        <v>0.2</v>
      </c>
      <c r="F106" s="872">
        <v>30</v>
      </c>
    </row>
    <row r="107" spans="1:6" s="868" customFormat="1" ht="36">
      <c r="A107" s="872">
        <v>47</v>
      </c>
      <c r="B107" s="3791" t="s">
        <v>713</v>
      </c>
      <c r="C107" s="872" t="s">
        <v>714</v>
      </c>
      <c r="D107" s="808" t="s">
        <v>715</v>
      </c>
      <c r="E107" s="885">
        <v>0.3</v>
      </c>
      <c r="F107" s="872">
        <v>50</v>
      </c>
    </row>
    <row r="108" spans="1:6" s="868" customFormat="1" ht="36">
      <c r="A108" s="872">
        <v>48</v>
      </c>
      <c r="B108" s="3791"/>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91" t="s">
        <v>724</v>
      </c>
      <c r="C111" s="872" t="s">
        <v>725</v>
      </c>
      <c r="D111" s="808" t="s">
        <v>726</v>
      </c>
      <c r="E111" s="885">
        <v>0.2</v>
      </c>
      <c r="F111" s="872">
        <v>30</v>
      </c>
    </row>
    <row r="112" spans="1:6" s="868" customFormat="1" ht="24">
      <c r="A112" s="872">
        <v>52</v>
      </c>
      <c r="B112" s="3791"/>
      <c r="C112" s="872" t="s">
        <v>727</v>
      </c>
      <c r="D112" s="808" t="s">
        <v>728</v>
      </c>
      <c r="E112" s="885">
        <v>0.2</v>
      </c>
      <c r="F112" s="872">
        <v>30</v>
      </c>
    </row>
    <row r="113" spans="1:6" s="868" customFormat="1" ht="24">
      <c r="A113" s="872">
        <v>53</v>
      </c>
      <c r="B113" s="3791"/>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91" t="s">
        <v>737</v>
      </c>
      <c r="C116" s="872" t="s">
        <v>738</v>
      </c>
      <c r="D116" s="808" t="s">
        <v>739</v>
      </c>
      <c r="E116" s="885">
        <v>0.2</v>
      </c>
      <c r="F116" s="872">
        <v>30</v>
      </c>
    </row>
    <row r="117" spans="1:6" ht="36">
      <c r="A117" s="872">
        <v>57</v>
      </c>
      <c r="B117" s="3791"/>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3636</v>
      </c>
      <c r="D1" s="1800" t="s">
        <v>70</v>
      </c>
      <c r="E1" s="1801" t="s">
        <v>1375</v>
      </c>
      <c r="F1" s="1265">
        <f ca="1">J53</f>
        <v>22.8</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37323</v>
      </c>
      <c r="C2" s="1825" t="s">
        <v>1504</v>
      </c>
      <c r="D2" s="1825"/>
      <c r="E2" s="1826"/>
      <c r="F2" s="1827"/>
      <c r="G2" s="1828"/>
      <c r="H2" s="1820"/>
      <c r="I2" s="1820"/>
      <c r="J2" s="1820"/>
      <c r="K2" s="1821"/>
      <c r="L2" s="1820"/>
      <c r="M2" s="1820"/>
    </row>
    <row r="3" spans="1:37" ht="18" customHeight="1" thickBot="1">
      <c r="A3" s="1829" t="s">
        <v>1505</v>
      </c>
      <c r="B3" s="1830">
        <f ca="1">IF(ISERROR(B2*10000/F43),0,ROUND(B2*10000/F43,0))</f>
        <v>22525</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2833</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2833</v>
      </c>
      <c r="D6" s="164" t="s">
        <v>3004</v>
      </c>
      <c r="E6" s="347" t="s">
        <v>1393</v>
      </c>
      <c r="F6" s="348">
        <f ca="1">INDIRECT("'数据-取费表'!u"&amp;$G$1)</f>
        <v>3147.54</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2942" t="s">
        <v>1394</v>
      </c>
      <c r="F7" s="348">
        <f ca="1">IF(INDIRECT("'数据-取费表'!ah"&amp;$G$1)="",INDIRECT("'数据-取费表'!k"&amp;$G$1),INDIRECT("'数据-取费表'!ah"&amp;$G$1))</f>
        <v>10000</v>
      </c>
      <c r="G7" s="1831"/>
      <c r="H7" s="349"/>
      <c r="I7" s="3687"/>
      <c r="J7" s="351"/>
      <c r="K7" s="352"/>
      <c r="L7" s="347" t="s">
        <v>1394</v>
      </c>
      <c r="M7" s="348">
        <f ca="1">F7</f>
        <v>10000</v>
      </c>
    </row>
    <row r="8" spans="1:37" ht="18" customHeight="1">
      <c r="A8" s="349"/>
      <c r="B8" s="3687"/>
      <c r="C8" s="351"/>
      <c r="D8" s="352"/>
      <c r="E8" s="347" t="s">
        <v>1395</v>
      </c>
      <c r="F8" s="348">
        <f ca="1">INDIRECT("'数据-取费表'!ai"&amp;$G$1)</f>
        <v>1</v>
      </c>
      <c r="G8" s="1831"/>
      <c r="H8" s="349"/>
      <c r="I8" s="3687"/>
      <c r="J8" s="351"/>
      <c r="K8" s="352"/>
      <c r="L8" s="347" t="s">
        <v>1395</v>
      </c>
      <c r="M8" s="348">
        <f ca="1">INDIRECT("'数据-取费表'!ai"&amp;$G$1)</f>
        <v>1</v>
      </c>
    </row>
    <row r="9" spans="1:37" ht="18" customHeight="1">
      <c r="A9" s="349"/>
      <c r="B9" s="3688"/>
      <c r="C9" s="351"/>
      <c r="D9" s="352"/>
      <c r="E9" s="347" t="s">
        <v>1396</v>
      </c>
      <c r="F9" s="357">
        <f ca="1">INDIRECT("'数据-取费表'!w"&amp;$G$1)</f>
        <v>0.1</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3667</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10450</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9113</v>
      </c>
      <c r="D14" s="2930" t="s">
        <v>1406</v>
      </c>
      <c r="E14" s="2925"/>
      <c r="F14" s="364"/>
      <c r="G14" s="1831"/>
      <c r="H14" s="1183" t="s">
        <v>1032</v>
      </c>
      <c r="I14" s="347" t="s">
        <v>1407</v>
      </c>
      <c r="J14" s="24">
        <f ca="1">C29</f>
        <v>13063</v>
      </c>
      <c r="K14" s="2941"/>
      <c r="L14" s="969"/>
      <c r="M14" s="970"/>
    </row>
    <row r="15" spans="1:37" s="1838" customFormat="1" ht="18" customHeight="1" thickBot="1">
      <c r="A15" s="1183" t="s">
        <v>1033</v>
      </c>
      <c r="B15" s="347" t="s">
        <v>1408</v>
      </c>
      <c r="C15" s="24">
        <f ca="1">ROUND(C14*F15,0)</f>
        <v>273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307</v>
      </c>
      <c r="K16" s="1319" t="s">
        <v>1413</v>
      </c>
      <c r="L16" s="2932"/>
      <c r="M16" s="1276"/>
    </row>
    <row r="17" spans="1:37" s="1838" customFormat="1" ht="18" customHeight="1">
      <c r="A17" s="1183" t="s">
        <v>1378</v>
      </c>
      <c r="B17" s="347" t="s">
        <v>1414</v>
      </c>
      <c r="C17" s="24">
        <f ca="1">ROUND(F17*(F43+INDIRECT("'数据-取费表'!S"&amp;$G$1))/10000,0)</f>
        <v>345</v>
      </c>
      <c r="D17" s="347" t="s">
        <v>1415</v>
      </c>
      <c r="E17" s="347" t="s">
        <v>1416</v>
      </c>
      <c r="F17" s="26">
        <f>'数据-取费表'!B35</f>
        <v>200</v>
      </c>
      <c r="G17" s="1834"/>
      <c r="H17" s="1183" t="s">
        <v>1032</v>
      </c>
      <c r="I17" s="347" t="s">
        <v>1417</v>
      </c>
      <c r="J17" s="24">
        <f ca="1">ROUND(IF(项目基本情况!B11="自然人",J6*M17/(1+'数据-取费表'!C42),J18+J19+J20),1)</f>
        <v>110.9</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137</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9868</v>
      </c>
      <c r="D19" s="140" t="s">
        <v>1424</v>
      </c>
      <c r="E19" s="2939"/>
      <c r="F19" s="26"/>
      <c r="G19" s="1831"/>
      <c r="H19" s="1183" t="s">
        <v>1033</v>
      </c>
      <c r="I19" s="347" t="s">
        <v>1425</v>
      </c>
      <c r="J19" s="24">
        <f ca="1">IF(K19="按租金收入计税",ROUND(J6*M19/(1+'数据-取费表'!C42),2),ROUND(C29*M19*0.7,2))</f>
        <v>109.73</v>
      </c>
      <c r="K19" s="1808" t="s">
        <v>1426</v>
      </c>
      <c r="L19" s="347" t="s">
        <v>1410</v>
      </c>
      <c r="M19" s="367">
        <f>IF(K19="按租金收入计税",'数据-取费表'!B51,'数据-取费表'!B50)</f>
        <v>1.2E-2</v>
      </c>
    </row>
    <row r="20" spans="1:37" s="1838" customFormat="1" ht="18" customHeight="1">
      <c r="A20" s="1183" t="s">
        <v>1036</v>
      </c>
      <c r="B20" s="347" t="s">
        <v>1427</v>
      </c>
      <c r="C20" s="24">
        <f ca="1">ROUND(C19*F20,0)</f>
        <v>197</v>
      </c>
      <c r="D20" s="369" t="s">
        <v>1428</v>
      </c>
      <c r="E20" s="347" t="s">
        <v>1410</v>
      </c>
      <c r="F20" s="367">
        <f>'数据-取费表'!B37</f>
        <v>0.02</v>
      </c>
      <c r="G20" s="1834"/>
      <c r="H20" s="1183" t="s">
        <v>1377</v>
      </c>
      <c r="I20" s="164" t="s">
        <v>1429</v>
      </c>
      <c r="J20" s="25">
        <f ca="1">ROUND(M20*M21/10000,2)</f>
        <v>1.19</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3965.2200000000003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195.9</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478</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-307</v>
      </c>
      <c r="K25" s="1327" t="s">
        <v>1452</v>
      </c>
      <c r="L25" s="1328"/>
      <c r="M25" s="1329"/>
    </row>
    <row r="26" spans="1:37">
      <c r="A26" s="1183" t="s">
        <v>1031</v>
      </c>
      <c r="B26" s="347" t="s">
        <v>1453</v>
      </c>
      <c r="C26" s="24">
        <f ca="1">ROUND((C19+C20)*F26,0)</f>
        <v>1510</v>
      </c>
      <c r="D26" s="369" t="s">
        <v>1454</v>
      </c>
      <c r="E26" s="358" t="s">
        <v>1455</v>
      </c>
      <c r="F26" s="357">
        <f ca="1">INDIRECT("'数据-取费表'!q"&amp;$G$1)</f>
        <v>0.15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3.0000000000000001E-3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13063</v>
      </c>
      <c r="D29" s="1324"/>
      <c r="E29" s="1322"/>
      <c r="F29" s="1325"/>
      <c r="G29" s="1834"/>
      <c r="H29" s="380" t="s">
        <v>1030</v>
      </c>
      <c r="I29" s="381" t="s">
        <v>1467</v>
      </c>
      <c r="J29" s="382">
        <f ca="1">ROUND(J26/(1+F40)^F41,0)</f>
        <v>0</v>
      </c>
      <c r="K29" s="383" t="s">
        <v>1468</v>
      </c>
      <c r="L29" s="384"/>
      <c r="M29" s="385">
        <f ca="1">INDIRECT("'数据-取费表'!k"&amp;$G$1)</f>
        <v>16569.820000000003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502</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262</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151.09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109.73</v>
      </c>
      <c r="D33" s="1808" t="s">
        <v>3677</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1.19</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3965.2200000000003</v>
      </c>
      <c r="G35" s="1831"/>
      <c r="H35" s="741"/>
      <c r="I35" s="1840"/>
      <c r="J35" s="1841"/>
      <c r="K35" s="1842"/>
      <c r="L35" s="1839"/>
      <c r="M35" s="1839"/>
    </row>
    <row r="36" spans="1:18" ht="18" customHeight="1">
      <c r="A36" s="1334" t="s">
        <v>1036</v>
      </c>
      <c r="B36" s="347" t="s">
        <v>1437</v>
      </c>
      <c r="C36" s="24">
        <f ca="1">ROUND(C29*F36,1)</f>
        <v>195.9</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15.7</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28.3</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2331</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37323</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22.8</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22525</v>
      </c>
      <c r="D43" s="383" t="s">
        <v>1476</v>
      </c>
      <c r="E43" s="384" t="s">
        <v>1477</v>
      </c>
      <c r="F43" s="385">
        <f ca="1">INDIRECT("'数据-取费表'!k"&amp;$G$1)</f>
        <v>16569.820000000003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-41280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37323</v>
      </c>
      <c r="R47" s="1866" t="s">
        <v>1517</v>
      </c>
    </row>
    <row r="48" spans="1:18" s="1822" customFormat="1" ht="28.5" thickBot="1">
      <c r="A48" s="1342" t="s">
        <v>1125</v>
      </c>
      <c r="B48" s="345" t="s">
        <v>1389</v>
      </c>
      <c r="C48" s="2938">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13063</v>
      </c>
      <c r="R49" s="1866" t="s">
        <v>1517</v>
      </c>
    </row>
    <row r="50" spans="1:18" s="1822" customFormat="1" ht="13.5" thickBot="1">
      <c r="A50" s="1177"/>
      <c r="B50" s="1180"/>
      <c r="C50" s="1350"/>
      <c r="D50" s="1154"/>
      <c r="E50" s="1259" t="s">
        <v>1394</v>
      </c>
      <c r="F50" s="1260">
        <f ca="1">F7</f>
        <v>10000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1</v>
      </c>
      <c r="I51" s="1878" t="s">
        <v>1528</v>
      </c>
      <c r="J51" s="1879">
        <f>IF(J49="",J50,J49+J50-YEAR('数据-取费表'!B2))</f>
        <v>37</v>
      </c>
      <c r="K51" s="1880" t="s">
        <v>1529</v>
      </c>
      <c r="L51" s="1881">
        <f ca="1">ROUND(-PV(INDIRECT("'数据-取费表'!h"&amp;$G$1),L48,(C39-C13*C76),0),0)</f>
        <v>19369</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89" t="s">
        <v>1536</v>
      </c>
      <c r="L53" s="3690"/>
      <c r="O53" s="1864" t="s">
        <v>1043</v>
      </c>
      <c r="P53" s="1865" t="s">
        <v>1537</v>
      </c>
      <c r="Q53" s="1866">
        <f ca="1">Q47+Q48</f>
        <v>37323</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10450</v>
      </c>
      <c r="D56" s="1893"/>
      <c r="E56" s="1894"/>
      <c r="F56" s="1886"/>
      <c r="I56" s="1895" t="s">
        <v>1542</v>
      </c>
      <c r="J56" s="1896" t="s">
        <v>3042</v>
      </c>
      <c r="K56" s="1867" t="s">
        <v>1543</v>
      </c>
      <c r="L56" s="1870" t="str">
        <f ca="1">IF(L48&lt;J51,"——",L48-J53)</f>
        <v>——</v>
      </c>
      <c r="O56" s="1864" t="s">
        <v>1037</v>
      </c>
      <c r="P56" s="1865" t="s">
        <v>1516</v>
      </c>
      <c r="Q56" s="1866">
        <f ca="1">C40+J29</f>
        <v>37323</v>
      </c>
      <c r="R56" s="1866" t="s">
        <v>1517</v>
      </c>
    </row>
    <row r="57" spans="1:18" s="1822" customFormat="1" ht="24.75" thickBot="1">
      <c r="A57" s="1897"/>
      <c r="B57" s="1151" t="s">
        <v>1466</v>
      </c>
      <c r="C57" s="282">
        <f ca="1">C29</f>
        <v>13063</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323</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110.9</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109.73</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1.19</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37323</v>
      </c>
      <c r="R62" s="1866" t="s">
        <v>1044</v>
      </c>
    </row>
    <row r="63" spans="1:18" s="1822" customFormat="1" ht="13.5" thickBot="1">
      <c r="A63" s="372"/>
      <c r="B63" s="1157"/>
      <c r="C63" s="29"/>
      <c r="D63" s="1167"/>
      <c r="E63" s="1151" t="s">
        <v>1435</v>
      </c>
      <c r="F63" s="348">
        <f t="shared" ca="1" si="0"/>
        <v>3965.2200000000003</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195.9</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15.7</v>
      </c>
      <c r="D65" s="1165" t="s">
        <v>1442</v>
      </c>
      <c r="E65" s="1151" t="s">
        <v>1410</v>
      </c>
      <c r="F65" s="376">
        <f t="shared" ca="1" si="0"/>
        <v>1.5E-3</v>
      </c>
      <c r="I65" s="1908" t="s">
        <v>1567</v>
      </c>
      <c r="J65" s="1909">
        <v>40</v>
      </c>
      <c r="K65" s="1909">
        <v>30</v>
      </c>
      <c r="L65" s="1909">
        <v>50</v>
      </c>
      <c r="M65" s="1911">
        <v>0.02</v>
      </c>
      <c r="O65" s="1864" t="s">
        <v>1037</v>
      </c>
      <c r="P65" s="1865" t="s">
        <v>1516</v>
      </c>
      <c r="Q65" s="1866">
        <f ca="1">C40+J29</f>
        <v>37323</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-323</v>
      </c>
      <c r="D67" s="1164" t="s">
        <v>1452</v>
      </c>
      <c r="E67" s="1169"/>
      <c r="F67" s="1170"/>
      <c r="O67" s="1874" t="s">
        <v>1039</v>
      </c>
      <c r="P67" s="1865" t="s">
        <v>1550</v>
      </c>
      <c r="Q67" s="1912">
        <f ca="1">L51</f>
        <v>19369</v>
      </c>
      <c r="R67" s="1866" t="s">
        <v>1570</v>
      </c>
    </row>
    <row r="68" spans="1:18" s="1822" customFormat="1" ht="16.5" thickBot="1">
      <c r="A68" s="1148" t="s">
        <v>1029</v>
      </c>
      <c r="B68" s="1149" t="s">
        <v>1473</v>
      </c>
      <c r="C68" s="346">
        <f ca="1">ROUND(C67*(1-((1+F70)/(1+F68))^F69)/(F68-F70),0)</f>
        <v>-3957</v>
      </c>
      <c r="D68" s="1166" t="s">
        <v>1457</v>
      </c>
      <c r="E68" s="1151" t="s">
        <v>1458</v>
      </c>
      <c r="F68" s="357">
        <f ca="1">F40</f>
        <v>0.06</v>
      </c>
      <c r="O68" s="1874" t="s">
        <v>1040</v>
      </c>
      <c r="P68" s="1913" t="s">
        <v>1571</v>
      </c>
      <c r="Q68" s="1866">
        <f ca="1">ROUND(Q69-Q70*Q71,0)</f>
        <v>1443</v>
      </c>
      <c r="R68" s="1866" t="s">
        <v>1048</v>
      </c>
    </row>
    <row r="69" spans="1:18" s="1822" customFormat="1" ht="13.5" thickBot="1">
      <c r="A69" s="1152"/>
      <c r="B69" s="1153"/>
      <c r="C69" s="351"/>
      <c r="D69" s="1171" t="s">
        <v>1461</v>
      </c>
      <c r="E69" s="1151" t="s">
        <v>1462</v>
      </c>
      <c r="F69" s="379">
        <f ca="1">F41</f>
        <v>22.8</v>
      </c>
      <c r="O69" s="1874" t="s">
        <v>1045</v>
      </c>
      <c r="P69" s="1913" t="s">
        <v>1572</v>
      </c>
      <c r="Q69" s="1866">
        <f ca="1">C39</f>
        <v>2331</v>
      </c>
      <c r="R69" s="1866" t="s">
        <v>1517</v>
      </c>
    </row>
    <row r="70" spans="1:18" s="1822" customFormat="1" ht="13.5" thickBot="1">
      <c r="A70" s="1155"/>
      <c r="B70" s="1156"/>
      <c r="C70" s="355"/>
      <c r="D70" s="1167"/>
      <c r="E70" s="1151" t="s">
        <v>1465</v>
      </c>
      <c r="F70" s="1257"/>
      <c r="O70" s="1874" t="s">
        <v>1046</v>
      </c>
      <c r="P70" s="1913" t="s">
        <v>1573</v>
      </c>
      <c r="Q70" s="1866">
        <f ca="1">C13</f>
        <v>10450</v>
      </c>
      <c r="R70" s="1866" t="s">
        <v>1517</v>
      </c>
    </row>
    <row r="71" spans="1:18" s="1822" customFormat="1" ht="13.5" thickBot="1">
      <c r="A71" s="1172" t="s">
        <v>1030</v>
      </c>
      <c r="B71" s="1173" t="s">
        <v>1475</v>
      </c>
      <c r="C71" s="382">
        <f ca="1">ROUND(C68*10000/F71,0)</f>
        <v>-2388</v>
      </c>
      <c r="D71" s="1174" t="s">
        <v>1476</v>
      </c>
      <c r="E71" s="1175" t="s">
        <v>1477</v>
      </c>
      <c r="F71" s="385">
        <f ca="1">F43</f>
        <v>16569.820000000003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888</v>
      </c>
      <c r="D75" s="1822"/>
      <c r="E75" s="1822"/>
      <c r="F75" s="1822"/>
      <c r="K75" s="1848"/>
      <c r="L75" s="1822"/>
      <c r="O75" s="1864" t="s">
        <v>1043</v>
      </c>
      <c r="P75" s="1865" t="s">
        <v>1537</v>
      </c>
      <c r="Q75" s="1866">
        <f ca="1">Q65+Q66</f>
        <v>37323</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0.61899999999999999</v>
      </c>
    </row>
    <row r="80" spans="1:18">
      <c r="B80" s="386" t="s">
        <v>1499</v>
      </c>
      <c r="C80" s="318">
        <f ca="1">ROUND(C75/C39,3)</f>
        <v>0.38100000000000001</v>
      </c>
    </row>
    <row r="81" spans="2:3">
      <c r="B81" s="314" t="s">
        <v>1500</v>
      </c>
      <c r="C81" s="282"/>
    </row>
    <row r="82" spans="2:3">
      <c r="B82" s="317" t="s">
        <v>1501</v>
      </c>
      <c r="C82" s="319">
        <f ca="1">1-C83</f>
        <v>0.72</v>
      </c>
    </row>
    <row r="83" spans="2:3">
      <c r="B83" s="317" t="s">
        <v>1502</v>
      </c>
      <c r="C83" s="318">
        <f ca="1">ROUND(C13/C40,3)</f>
        <v>0.28000000000000003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topLeftCell="A10" workbookViewId="0">
      <selection activeCell="H44" sqref="H44"/>
    </sheetView>
  </sheetViews>
  <sheetFormatPr defaultRowHeight="13.5"/>
  <cols>
    <col min="1" max="1" width="10.5" customWidth="1"/>
    <col min="2" max="2" width="12.875" customWidth="1"/>
    <col min="3" max="3" width="8.75" customWidth="1"/>
    <col min="15" max="16" width="11" bestFit="1" customWidth="1"/>
  </cols>
  <sheetData>
    <row r="1" spans="1:16" ht="14.25">
      <c r="A1" s="3792" t="s">
        <v>1073</v>
      </c>
      <c r="B1" s="3793"/>
      <c r="C1" s="3794"/>
      <c r="D1" s="3795">
        <f>SUM(I10,I15,I20,I21,I23)</f>
        <v>5522</v>
      </c>
      <c r="E1" s="3795"/>
      <c r="F1" s="3795"/>
      <c r="G1" s="3795"/>
      <c r="H1" s="3795"/>
      <c r="I1" s="3796"/>
    </row>
    <row r="2" spans="1:16">
      <c r="A2" s="3797" t="s">
        <v>1074</v>
      </c>
      <c r="B2" s="3798" t="s">
        <v>1075</v>
      </c>
      <c r="C2" s="3798"/>
      <c r="D2" s="1283" t="s">
        <v>1076</v>
      </c>
      <c r="E2" s="1283" t="s">
        <v>1077</v>
      </c>
      <c r="F2" s="1283" t="s">
        <v>1078</v>
      </c>
      <c r="G2" s="1283" t="s">
        <v>1079</v>
      </c>
      <c r="H2" s="1283" t="s">
        <v>1080</v>
      </c>
      <c r="I2" s="1284" t="s">
        <v>1081</v>
      </c>
    </row>
    <row r="3" spans="1:16" ht="15.75">
      <c r="A3" s="3797"/>
      <c r="B3" s="3799" t="s">
        <v>3644</v>
      </c>
      <c r="C3" s="3800"/>
      <c r="D3" s="3395">
        <v>198</v>
      </c>
      <c r="E3" s="3395">
        <v>500</v>
      </c>
      <c r="F3" s="3396">
        <v>1</v>
      </c>
      <c r="G3" s="3396">
        <v>0.9</v>
      </c>
      <c r="H3" s="1287">
        <v>365</v>
      </c>
      <c r="I3" s="1288">
        <f>ROUND(D3*E3*F3*G3*H3/10000,0)</f>
        <v>3252</v>
      </c>
    </row>
    <row r="4" spans="1:16" ht="15.75">
      <c r="A4" s="3797"/>
      <c r="B4" s="3799" t="s">
        <v>3645</v>
      </c>
      <c r="C4" s="3800"/>
      <c r="D4" s="3395">
        <v>86</v>
      </c>
      <c r="E4" s="3395">
        <v>520</v>
      </c>
      <c r="F4" s="3396">
        <v>1</v>
      </c>
      <c r="G4" s="3396">
        <v>0.85</v>
      </c>
      <c r="H4" s="1287">
        <v>365</v>
      </c>
      <c r="I4" s="1288">
        <f t="shared" ref="I4:I9" si="0">ROUND(D4*E4*F4*G4*H4/10000,0)</f>
        <v>1387</v>
      </c>
    </row>
    <row r="5" spans="1:16" ht="15.75">
      <c r="A5" s="3797"/>
      <c r="B5" s="3799" t="s">
        <v>3646</v>
      </c>
      <c r="C5" s="3800"/>
      <c r="D5" s="3395">
        <v>9</v>
      </c>
      <c r="E5" s="3395">
        <v>900</v>
      </c>
      <c r="F5" s="3396">
        <v>1</v>
      </c>
      <c r="G5" s="3396">
        <v>0.77</v>
      </c>
      <c r="H5" s="1287">
        <v>365</v>
      </c>
      <c r="I5" s="1288">
        <f t="shared" si="0"/>
        <v>228</v>
      </c>
      <c r="K5" s="3391" t="s">
        <v>3637</v>
      </c>
      <c r="L5" s="3391" t="s">
        <v>3638</v>
      </c>
      <c r="M5" s="3391" t="s">
        <v>3639</v>
      </c>
      <c r="N5" s="3391" t="s">
        <v>3640</v>
      </c>
      <c r="O5" s="3391" t="s">
        <v>3641</v>
      </c>
      <c r="P5" s="3391" t="s">
        <v>3642</v>
      </c>
    </row>
    <row r="6" spans="1:16" ht="15.75">
      <c r="A6" s="3797"/>
      <c r="B6" s="3799" t="s">
        <v>3647</v>
      </c>
      <c r="C6" s="3800"/>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97"/>
      <c r="B7" s="3798"/>
      <c r="C7" s="3798"/>
      <c r="D7" s="1285"/>
      <c r="E7" s="1283"/>
      <c r="F7" s="1286"/>
      <c r="G7" s="1286"/>
      <c r="H7" s="1287"/>
      <c r="I7" s="1288">
        <f t="shared" si="0"/>
        <v>0</v>
      </c>
      <c r="K7" s="3391">
        <v>2017</v>
      </c>
      <c r="L7" s="3391">
        <v>313</v>
      </c>
      <c r="M7" s="3392">
        <v>0.86260000000000003</v>
      </c>
      <c r="N7" s="3391">
        <v>432.99</v>
      </c>
      <c r="O7" s="3393">
        <v>4763.54</v>
      </c>
      <c r="P7" s="3394">
        <v>2186.4299999999998</v>
      </c>
    </row>
    <row r="8" spans="1:16">
      <c r="A8" s="3797"/>
      <c r="B8" s="3798"/>
      <c r="C8" s="3798"/>
      <c r="D8" s="1285"/>
      <c r="E8" s="1283"/>
      <c r="F8" s="1286"/>
      <c r="G8" s="1286"/>
      <c r="H8" s="1287"/>
      <c r="I8" s="1288">
        <f t="shared" si="0"/>
        <v>0</v>
      </c>
      <c r="K8" s="3391">
        <v>2018</v>
      </c>
      <c r="L8" s="3391">
        <v>313</v>
      </c>
      <c r="M8" s="3392">
        <v>0.85750000000000004</v>
      </c>
      <c r="N8" s="3391">
        <v>490.61</v>
      </c>
      <c r="O8" s="3393">
        <v>5636.54</v>
      </c>
      <c r="P8" s="3394">
        <v>2910.75</v>
      </c>
    </row>
    <row r="9" spans="1:16">
      <c r="A9" s="3797"/>
      <c r="B9" s="3798"/>
      <c r="C9" s="3798"/>
      <c r="D9" s="1285"/>
      <c r="E9" s="1283"/>
      <c r="F9" s="1286"/>
      <c r="G9" s="1286"/>
      <c r="H9" s="1287"/>
      <c r="I9" s="1288">
        <f t="shared" si="0"/>
        <v>0</v>
      </c>
      <c r="K9" s="3391" t="s">
        <v>3643</v>
      </c>
      <c r="L9" s="3391">
        <v>313</v>
      </c>
      <c r="M9" s="3392">
        <v>0.89019999999999999</v>
      </c>
      <c r="N9" s="3391">
        <v>489.52</v>
      </c>
      <c r="O9" s="3393">
        <v>4419.04</v>
      </c>
      <c r="P9" s="3394">
        <v>2299.9899999999998</v>
      </c>
    </row>
    <row r="10" spans="1:16">
      <c r="A10" s="3797"/>
      <c r="B10" s="3801" t="s">
        <v>1082</v>
      </c>
      <c r="C10" s="3801"/>
      <c r="D10" s="1289"/>
      <c r="E10" s="1289" t="e">
        <f>ROUND(D1*10000/D10/H9,0)</f>
        <v>#DIV/0!</v>
      </c>
      <c r="F10" s="1290"/>
      <c r="G10" s="1290"/>
      <c r="H10" s="1291">
        <v>365</v>
      </c>
      <c r="I10" s="1292">
        <f>SUM(I3:I9)</f>
        <v>5227</v>
      </c>
    </row>
    <row r="11" spans="1:16" ht="14.25">
      <c r="A11" s="3797" t="s">
        <v>1083</v>
      </c>
      <c r="B11" s="3798" t="s">
        <v>1084</v>
      </c>
      <c r="C11" s="3798"/>
      <c r="D11" s="1285" t="s">
        <v>1085</v>
      </c>
      <c r="E11" s="1285" t="s">
        <v>1086</v>
      </c>
      <c r="F11" s="1286" t="s">
        <v>1087</v>
      </c>
      <c r="G11" s="1286" t="s">
        <v>1080</v>
      </c>
      <c r="H11" s="1293" t="s">
        <v>1</v>
      </c>
      <c r="I11" s="1284" t="s">
        <v>1081</v>
      </c>
    </row>
    <row r="12" spans="1:16">
      <c r="A12" s="3797"/>
      <c r="B12" s="3798" t="s">
        <v>1089</v>
      </c>
      <c r="C12" s="3798"/>
      <c r="D12" s="1285">
        <f>40*2</f>
        <v>80</v>
      </c>
      <c r="E12" s="1285">
        <v>108</v>
      </c>
      <c r="F12" s="1286">
        <v>0.8</v>
      </c>
      <c r="G12" s="1287">
        <v>365</v>
      </c>
      <c r="H12" s="1294"/>
      <c r="I12" s="1284">
        <f>ROUND(D12*E12*F12*G12/10000,0)</f>
        <v>252</v>
      </c>
    </row>
    <row r="13" spans="1:16">
      <c r="A13" s="3797"/>
      <c r="B13" s="3798" t="s">
        <v>1090</v>
      </c>
      <c r="C13" s="3798"/>
      <c r="D13" s="1285"/>
      <c r="E13" s="1285"/>
      <c r="F13" s="1286"/>
      <c r="G13" s="1287"/>
      <c r="H13" s="1294"/>
      <c r="I13" s="1284">
        <f>ROUND(D13*E13*F13*G13/10000,0)</f>
        <v>0</v>
      </c>
    </row>
    <row r="14" spans="1:16">
      <c r="A14" s="3797"/>
      <c r="B14" s="3798" t="s">
        <v>1091</v>
      </c>
      <c r="C14" s="3798"/>
      <c r="D14" s="1285"/>
      <c r="E14" s="1285"/>
      <c r="F14" s="1286"/>
      <c r="G14" s="1287"/>
      <c r="H14" s="1294"/>
      <c r="I14" s="1284">
        <f>ROUND(D14*E14*F14*G14/10000,0)</f>
        <v>0</v>
      </c>
      <c r="N14">
        <f>D3*G3+D4*G4+D5*G5+D6*G6</f>
        <v>275.23</v>
      </c>
    </row>
    <row r="15" spans="1:16">
      <c r="A15" s="3797"/>
      <c r="B15" s="3801" t="s">
        <v>1082</v>
      </c>
      <c r="C15" s="3801"/>
      <c r="D15" s="1289"/>
      <c r="E15" s="1289">
        <f>SUM(E12:E14)</f>
        <v>108</v>
      </c>
      <c r="F15" s="1290"/>
      <c r="G15" s="1287"/>
      <c r="H15" s="1294"/>
      <c r="I15" s="1295">
        <f>SUM(I12:I14)</f>
        <v>252</v>
      </c>
      <c r="N15">
        <f>N14/L9</f>
        <v>0.87932907348242817</v>
      </c>
    </row>
    <row r="16" spans="1:16" ht="24">
      <c r="A16" s="3797" t="s">
        <v>1092</v>
      </c>
      <c r="B16" s="3798" t="s">
        <v>1093</v>
      </c>
      <c r="C16" s="3798"/>
      <c r="D16" s="1285" t="s">
        <v>1076</v>
      </c>
      <c r="E16" s="1296" t="s">
        <v>1094</v>
      </c>
      <c r="F16" s="1286" t="s">
        <v>1095</v>
      </c>
      <c r="G16" s="1287" t="s">
        <v>1080</v>
      </c>
      <c r="H16" s="1293" t="s">
        <v>1088</v>
      </c>
      <c r="I16" s="1284" t="s">
        <v>1081</v>
      </c>
    </row>
    <row r="17" spans="1:9" ht="14.25">
      <c r="A17" s="3797"/>
      <c r="B17" s="3798" t="s">
        <v>1096</v>
      </c>
      <c r="C17" s="3798"/>
      <c r="D17" s="1285">
        <v>1</v>
      </c>
      <c r="E17" s="1285">
        <v>6000</v>
      </c>
      <c r="F17" s="1286">
        <f>6*12/365</f>
        <v>0.19726027397260273</v>
      </c>
      <c r="G17" s="1287">
        <v>365</v>
      </c>
      <c r="H17" s="1297"/>
      <c r="I17" s="1298">
        <f>ROUND(D17*E17*F17*G17/10000,0)</f>
        <v>43</v>
      </c>
    </row>
    <row r="18" spans="1:9" ht="14.25">
      <c r="A18" s="3797"/>
      <c r="B18" s="3798" t="s">
        <v>1097</v>
      </c>
      <c r="C18" s="3798"/>
      <c r="D18" s="1285"/>
      <c r="E18" s="1285"/>
      <c r="F18" s="1286"/>
      <c r="G18" s="1287"/>
      <c r="H18" s="1297"/>
      <c r="I18" s="1298">
        <f>ROUND(D18*E18*F18*G18/10000,0)</f>
        <v>0</v>
      </c>
    </row>
    <row r="19" spans="1:9" ht="14.25">
      <c r="A19" s="3797"/>
      <c r="B19" s="3798" t="s">
        <v>1098</v>
      </c>
      <c r="C19" s="3798"/>
      <c r="D19" s="1285"/>
      <c r="E19" s="1285"/>
      <c r="F19" s="1286"/>
      <c r="G19" s="1287"/>
      <c r="H19" s="1297"/>
      <c r="I19" s="1298">
        <f>ROUND(D19*E19*F19*G19/10000,0)</f>
        <v>0</v>
      </c>
    </row>
    <row r="20" spans="1:9">
      <c r="A20" s="3797"/>
      <c r="B20" s="3801" t="s">
        <v>1082</v>
      </c>
      <c r="C20" s="3801"/>
      <c r="D20" s="1289">
        <f>SUM(D17:D19)</f>
        <v>1</v>
      </c>
      <c r="E20" s="1289"/>
      <c r="F20" s="1290"/>
      <c r="G20" s="1287"/>
      <c r="H20" s="1294"/>
      <c r="I20" s="1295">
        <f>SUM(I17:I19)</f>
        <v>43</v>
      </c>
    </row>
    <row r="21" spans="1:9">
      <c r="A21" s="3797" t="s">
        <v>1099</v>
      </c>
      <c r="B21" s="3803"/>
      <c r="C21" s="3803"/>
      <c r="D21" s="3803"/>
      <c r="E21" s="3803"/>
      <c r="F21" s="3803"/>
      <c r="G21" s="3803"/>
      <c r="H21" s="1745"/>
      <c r="I21" s="1292">
        <f>ROUND(I10*H21,0)</f>
        <v>0</v>
      </c>
    </row>
    <row r="22" spans="1:9" ht="14.25">
      <c r="A22" s="3804" t="s">
        <v>1100</v>
      </c>
      <c r="B22" s="3805"/>
      <c r="C22" s="3806"/>
      <c r="D22" s="1299" t="s">
        <v>1101</v>
      </c>
      <c r="E22" s="1299" t="s">
        <v>1102</v>
      </c>
      <c r="F22" s="1300" t="s">
        <v>1103</v>
      </c>
      <c r="G22" s="1300" t="s">
        <v>1104</v>
      </c>
      <c r="H22" s="1293" t="s">
        <v>1105</v>
      </c>
      <c r="I22" s="1284" t="s">
        <v>1106</v>
      </c>
    </row>
    <row r="23" spans="1:9" ht="14.25" thickBot="1">
      <c r="A23" s="3807"/>
      <c r="B23" s="3808"/>
      <c r="C23" s="3809"/>
      <c r="D23" s="1301"/>
      <c r="E23" s="1301"/>
      <c r="F23" s="1301"/>
      <c r="G23" s="1302"/>
      <c r="H23" s="1303"/>
      <c r="I23" s="1304">
        <f>ROUND(E23*D23*F23*(1-G23)/10000,0)</f>
        <v>0</v>
      </c>
    </row>
    <row r="26" spans="1:9">
      <c r="A26" s="1305" t="s">
        <v>1107</v>
      </c>
      <c r="B26" s="1305"/>
      <c r="C26" s="1305"/>
      <c r="D26" s="1305"/>
      <c r="E26" s="3810">
        <f>C27-C30-C31-C32</f>
        <v>3147.54</v>
      </c>
      <c r="F26" s="3810"/>
      <c r="G26" s="3810"/>
      <c r="H26" s="1717" t="s">
        <v>1329</v>
      </c>
    </row>
    <row r="27" spans="1:9">
      <c r="A27" s="1306">
        <v>1</v>
      </c>
      <c r="B27" s="1307" t="s">
        <v>1108</v>
      </c>
      <c r="C27" s="1307">
        <f>C28+C29</f>
        <v>5522</v>
      </c>
      <c r="D27" s="1307"/>
      <c r="E27" s="3811"/>
      <c r="F27" s="3811"/>
      <c r="G27" s="3811"/>
    </row>
    <row r="28" spans="1:9">
      <c r="A28" s="1308" t="s">
        <v>1109</v>
      </c>
      <c r="B28" s="1307" t="s">
        <v>1110</v>
      </c>
      <c r="C28" s="1307">
        <f>I10</f>
        <v>5227</v>
      </c>
      <c r="D28" s="1307"/>
      <c r="E28" s="3811"/>
      <c r="F28" s="3811"/>
      <c r="G28" s="3811"/>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441.76</v>
      </c>
      <c r="D32" s="1309">
        <v>0.08</v>
      </c>
      <c r="E32" s="3802"/>
      <c r="F32" s="3802"/>
      <c r="G32" s="3802"/>
    </row>
    <row r="33" spans="1:7" hidden="1">
      <c r="A33" s="3812" t="s">
        <v>1119</v>
      </c>
      <c r="B33" s="3813"/>
      <c r="C33" s="3813"/>
      <c r="D33" s="3814"/>
      <c r="E33" s="3810"/>
      <c r="F33" s="3810"/>
      <c r="G33" s="3810"/>
    </row>
    <row r="34" spans="1:7" hidden="1">
      <c r="A34" s="1310">
        <v>1</v>
      </c>
      <c r="B34" s="1307" t="s">
        <v>1120</v>
      </c>
      <c r="C34" s="1307"/>
      <c r="D34" s="1307"/>
      <c r="E34" s="3811"/>
      <c r="F34" s="3811"/>
      <c r="G34" s="3811"/>
    </row>
    <row r="35" spans="1:7" hidden="1">
      <c r="A35" s="1310">
        <v>2</v>
      </c>
      <c r="B35" s="1307" t="s">
        <v>1121</v>
      </c>
      <c r="C35" s="1307"/>
      <c r="D35" s="1307"/>
      <c r="E35" s="3811"/>
      <c r="F35" s="3811"/>
      <c r="G35" s="3811"/>
    </row>
    <row r="36" spans="1:7" hidden="1">
      <c r="A36" s="1310">
        <v>3</v>
      </c>
      <c r="B36" s="1307" t="s">
        <v>1122</v>
      </c>
      <c r="C36" s="1307"/>
      <c r="D36" s="1307"/>
      <c r="E36" s="3811"/>
      <c r="F36" s="3811"/>
      <c r="G36" s="3811"/>
    </row>
    <row r="37" spans="1:7" hidden="1">
      <c r="A37" s="1310">
        <v>4</v>
      </c>
      <c r="B37" s="1307" t="s">
        <v>1123</v>
      </c>
      <c r="C37" s="1307"/>
      <c r="D37" s="1307"/>
      <c r="E37" s="3811"/>
      <c r="F37" s="3811"/>
      <c r="G37" s="3811"/>
    </row>
    <row r="38" spans="1:7" hidden="1">
      <c r="A38" s="3812" t="s">
        <v>1124</v>
      </c>
      <c r="B38" s="3813"/>
      <c r="C38" s="3813"/>
      <c r="D38" s="3814"/>
      <c r="E38" s="3810"/>
      <c r="F38" s="3810"/>
      <c r="G38" s="38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20" t="s">
        <v>1139</v>
      </c>
      <c r="C1" s="3820"/>
      <c r="D1" s="3820"/>
      <c r="E1" s="3820"/>
      <c r="F1" s="3820"/>
      <c r="G1" s="3816" t="s">
        <v>1140</v>
      </c>
      <c r="H1" s="3816"/>
      <c r="I1" s="3816"/>
      <c r="J1" s="3816"/>
      <c r="K1" s="3816"/>
      <c r="L1" s="3816"/>
      <c r="N1" s="3816" t="s">
        <v>1141</v>
      </c>
      <c r="O1" s="3816"/>
      <c r="P1" s="3816"/>
      <c r="Q1" s="3816"/>
      <c r="R1" s="1427"/>
      <c r="S1" s="3816" t="s">
        <v>1142</v>
      </c>
      <c r="T1" s="3816"/>
      <c r="U1" s="3816"/>
      <c r="V1" s="3816"/>
      <c r="X1" s="3815" t="s">
        <v>1143</v>
      </c>
      <c r="Y1" s="3816"/>
      <c r="Z1" s="3816"/>
      <c r="AA1" s="3816"/>
      <c r="AB1" s="3816"/>
      <c r="AD1" s="3815" t="s">
        <v>1144</v>
      </c>
      <c r="AE1" s="3816"/>
      <c r="AF1" s="3816"/>
      <c r="AG1" s="3816"/>
      <c r="AH1" s="3816"/>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18">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18"/>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18"/>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25"/>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21">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18"/>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18"/>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25"/>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21">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18"/>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18"/>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19"/>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17">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18"/>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18"/>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19"/>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17">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18"/>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18"/>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19"/>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22">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23"/>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23"/>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24"/>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17">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18"/>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18"/>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19"/>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17">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18">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18">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19">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17">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18">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18">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19">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17">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18">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18">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19">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17">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18">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18">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19">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17">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18">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18">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19">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17">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18">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18">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19">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17">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18">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18">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19">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17">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18">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18">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19">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17">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18">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18">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19">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17">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18">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18">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19">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51728</v>
      </c>
      <c r="C2" s="2" t="s">
        <v>133</v>
      </c>
      <c r="D2" s="243"/>
      <c r="E2" s="243"/>
      <c r="F2" s="243"/>
      <c r="G2" s="243"/>
    </row>
    <row r="3" spans="1:7" s="244" customFormat="1" ht="18" customHeight="1" thickBot="1">
      <c r="A3" s="247" t="s">
        <v>85</v>
      </c>
      <c r="B3" s="248">
        <f ca="1">ROUND(B2*10000/'数据-汇总表'!E3,0)</f>
        <v>10816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956</v>
      </c>
      <c r="D10" s="1022">
        <f>'数据-汇总表'!E6</f>
        <v>47823.990000000005</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956</v>
      </c>
      <c r="D19" s="1026">
        <f>'数据-汇总表'!E3</f>
        <v>47823.990000000005</v>
      </c>
      <c r="E19" s="255">
        <f>'数据-取费表'!B31</f>
        <v>200</v>
      </c>
      <c r="F19" s="275"/>
      <c r="G19" s="1" t="s">
        <v>1071</v>
      </c>
    </row>
    <row r="20" spans="1:7" s="258" customFormat="1" ht="13.5" customHeight="1">
      <c r="A20" s="938" t="s">
        <v>1054</v>
      </c>
      <c r="B20" s="254" t="s">
        <v>104</v>
      </c>
      <c r="C20" s="276">
        <f>ROUND((C5+C19)*F20,0)</f>
        <v>431</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2117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93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3080</v>
      </c>
      <c r="D27" s="279">
        <f>C29</f>
        <v>2.8E-3</v>
      </c>
      <c r="E27" s="280" t="s">
        <v>126</v>
      </c>
      <c r="F27" s="290">
        <f>'数据-取费表'!Q16</f>
        <v>0.14000000000000001</v>
      </c>
      <c r="G27" s="291" t="s">
        <v>1066</v>
      </c>
    </row>
    <row r="28" spans="1:7" s="258" customFormat="1" ht="13.5" customHeight="1">
      <c r="A28" s="941" t="s">
        <v>794</v>
      </c>
      <c r="B28" s="292" t="s">
        <v>1059</v>
      </c>
      <c r="C28" s="293">
        <f>ROUND((C5+C19+C20)*F27*'数据-取费表'!B21/'数据-取费表'!B20,0)</f>
        <v>3080</v>
      </c>
      <c r="D28" s="279"/>
      <c r="E28" s="280"/>
      <c r="F28" s="290"/>
      <c r="G28" s="291"/>
    </row>
    <row r="29" spans="1:7" s="258" customFormat="1" ht="13.5" customHeight="1">
      <c r="A29" s="941" t="s">
        <v>792</v>
      </c>
      <c r="B29" s="292" t="s">
        <v>1060</v>
      </c>
      <c r="C29" s="282">
        <f>ROUND(C21*F27*'数据-取费表'!B21/'数据-取费表'!B20,4)</f>
        <v>2.8E-3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29467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21201</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19373</v>
      </c>
      <c r="D34" s="261"/>
      <c r="E34" s="264"/>
      <c r="F34" s="301">
        <f>IF('数据-取费表'!B24=0,1,'数据-取费表'!N16)</f>
        <v>1</v>
      </c>
      <c r="G34" s="263" t="s">
        <v>116</v>
      </c>
    </row>
    <row r="35" spans="1:7" ht="13.5" customHeight="1">
      <c r="A35" s="941" t="s">
        <v>796</v>
      </c>
      <c r="B35" s="259" t="s">
        <v>60</v>
      </c>
      <c r="C35" s="264">
        <f>ROUND(C34*F35,0)</f>
        <v>581</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956</v>
      </c>
      <c r="D37" s="261">
        <f>'数据-汇总表'!E3</f>
        <v>47823.990000000005</v>
      </c>
      <c r="E37" s="293">
        <f>'数据-取费表'!B35</f>
        <v>200</v>
      </c>
      <c r="F37" s="303"/>
      <c r="G37" s="305" t="s">
        <v>119</v>
      </c>
    </row>
    <row r="38" spans="1:7" ht="13.5" customHeight="1">
      <c r="A38" s="941" t="s">
        <v>799</v>
      </c>
      <c r="B38" s="259" t="s">
        <v>63</v>
      </c>
      <c r="C38" s="264">
        <f>ROUND(C34*F38,0)</f>
        <v>291</v>
      </c>
      <c r="D38" s="264"/>
      <c r="E38" s="264"/>
      <c r="F38" s="303">
        <f>'数据-取费表'!B36</f>
        <v>1.4999999999999999E-2</v>
      </c>
      <c r="G38" s="263" t="s">
        <v>117</v>
      </c>
    </row>
    <row r="39" spans="1:7" s="258" customFormat="1" ht="13.5" customHeight="1">
      <c r="A39" s="938" t="s">
        <v>783</v>
      </c>
      <c r="B39" s="254" t="s">
        <v>104</v>
      </c>
      <c r="C39" s="276">
        <f>ROUND(C33*F20,0)</f>
        <v>424</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1027</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1007</v>
      </c>
      <c r="D42" s="282"/>
      <c r="E42" s="282"/>
      <c r="F42" s="283"/>
      <c r="G42" s="3633" t="s">
        <v>121</v>
      </c>
    </row>
    <row r="43" spans="1:7" ht="13.5" customHeight="1">
      <c r="A43" s="941" t="s">
        <v>792</v>
      </c>
      <c r="B43" s="259" t="s">
        <v>1061</v>
      </c>
      <c r="C43" s="282">
        <f ca="1">ROUND(IF('数据-取费表'!B22&lt;=1,C39*F22*'数据-取费表'!B21/2,C39*(POWER((1+F22),'数据-取费表'!B21/2)-1)),0)</f>
        <v>20</v>
      </c>
      <c r="D43" s="282"/>
      <c r="E43" s="282"/>
      <c r="F43" s="283"/>
      <c r="G43" s="3634"/>
    </row>
    <row r="44" spans="1:7" ht="13.5" customHeight="1">
      <c r="A44" s="941" t="s">
        <v>793</v>
      </c>
      <c r="B44" s="259" t="s">
        <v>1063</v>
      </c>
      <c r="C44" s="282">
        <f ca="1">ROUND(IF('数据-取费表'!B22&lt;=1,C40*F22*'数据-取费表'!B21/2,C40*(POWER((1+F22),'数据-取费表'!B21/2)-1)),4)</f>
        <v>1E-3</v>
      </c>
      <c r="D44" s="282"/>
      <c r="E44" s="282"/>
      <c r="F44" s="283"/>
      <c r="G44" s="3635"/>
    </row>
    <row r="45" spans="1:7" s="258" customFormat="1" ht="13.5" customHeight="1">
      <c r="A45" s="938" t="s">
        <v>786</v>
      </c>
      <c r="B45" s="288" t="s">
        <v>112</v>
      </c>
      <c r="C45" s="289">
        <f>C46</f>
        <v>3028</v>
      </c>
      <c r="D45" s="279">
        <f>C47</f>
        <v>2.8E-3</v>
      </c>
      <c r="E45" s="280" t="s">
        <v>129</v>
      </c>
      <c r="F45" s="290"/>
      <c r="G45" s="291" t="s">
        <v>1069</v>
      </c>
    </row>
    <row r="46" spans="1:7" s="258" customFormat="1" ht="13.5" customHeight="1">
      <c r="A46" s="941" t="s">
        <v>794</v>
      </c>
      <c r="B46" s="292" t="s">
        <v>1062</v>
      </c>
      <c r="C46" s="293">
        <f>ROUND((C33+C39)*F27,0)</f>
        <v>3028</v>
      </c>
      <c r="D46" s="307"/>
      <c r="E46" s="280"/>
      <c r="F46" s="290"/>
      <c r="G46" s="291"/>
    </row>
    <row r="47" spans="1:7" s="258" customFormat="1" ht="13.5" customHeight="1">
      <c r="A47" s="941" t="s">
        <v>792</v>
      </c>
      <c r="B47" s="292" t="s">
        <v>1064</v>
      </c>
      <c r="C47" s="282">
        <f>ROUND(C40*F27,4)</f>
        <v>2.8E-3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27826</v>
      </c>
      <c r="D49" s="276"/>
      <c r="E49" s="276"/>
      <c r="F49" s="308"/>
      <c r="G49" s="278" t="s">
        <v>1070</v>
      </c>
    </row>
    <row r="50" spans="1:7" s="302" customFormat="1" ht="24">
      <c r="A50" s="938" t="s">
        <v>789</v>
      </c>
      <c r="B50" s="254" t="s">
        <v>124</v>
      </c>
      <c r="C50" s="276"/>
      <c r="D50" s="276"/>
      <c r="E50" s="276"/>
      <c r="F50" s="308">
        <f>IF('数据-取费表'!B24=0,'数据-取费表'!N16,1)</f>
        <v>0.8</v>
      </c>
      <c r="G50" s="291" t="s">
        <v>125</v>
      </c>
    </row>
    <row r="51" spans="1:7" ht="16.5" customHeight="1">
      <c r="A51" s="938" t="s">
        <v>790</v>
      </c>
      <c r="B51" s="254" t="s">
        <v>132</v>
      </c>
      <c r="C51" s="276">
        <f ca="1">ROUND(C49*F50,0)</f>
        <v>22261</v>
      </c>
      <c r="D51" s="276"/>
      <c r="E51" s="276"/>
      <c r="F51" s="308"/>
      <c r="G51" s="278" t="s">
        <v>64</v>
      </c>
    </row>
    <row r="52" spans="1:7" s="252" customFormat="1" ht="16.5" thickBot="1">
      <c r="A52" s="309" t="s">
        <v>65</v>
      </c>
      <c r="B52" s="310"/>
      <c r="C52" s="311">
        <f ca="1">C31+C51</f>
        <v>51728</v>
      </c>
      <c r="D52" s="310"/>
      <c r="E52" s="310"/>
      <c r="F52" s="310"/>
      <c r="G52" s="312"/>
    </row>
    <row r="55" spans="1:7" ht="15">
      <c r="B55" s="314" t="s">
        <v>66</v>
      </c>
      <c r="C55" s="315"/>
    </row>
    <row r="56" spans="1:7">
      <c r="B56" s="317" t="s">
        <v>67</v>
      </c>
      <c r="C56" s="318">
        <f ca="1">ROUND(C51/C52,3)</f>
        <v>0.43</v>
      </c>
    </row>
    <row r="57" spans="1:7">
      <c r="B57" s="317" t="s">
        <v>68</v>
      </c>
      <c r="C57" s="319">
        <f ca="1">1-C56</f>
        <v>0.57000000000000006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26" t="s">
        <v>156</v>
      </c>
      <c r="B1" s="3826"/>
      <c r="C1" s="3826"/>
      <c r="D1" s="3826"/>
      <c r="E1" s="3826"/>
      <c r="F1" s="3826"/>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27" t="s">
        <v>169</v>
      </c>
      <c r="B2" s="3827"/>
      <c r="C2" s="3827"/>
      <c r="D2" s="3827"/>
      <c r="E2" s="3827"/>
      <c r="F2" s="3827"/>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28"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29"/>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26" t="s">
        <v>868</v>
      </c>
      <c r="B1" s="3826"/>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61" t="s">
        <v>1650</v>
      </c>
      <c r="B1" s="3461"/>
      <c r="C1" s="3461"/>
      <c r="D1" s="3461"/>
    </row>
    <row r="2" spans="1:4" ht="18">
      <c r="A2" s="3462" t="s">
        <v>1634</v>
      </c>
      <c r="B2" s="3462"/>
      <c r="C2" s="3462"/>
      <c r="D2" s="3462"/>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62" t="s">
        <v>1640</v>
      </c>
      <c r="B6" s="3462"/>
      <c r="C6" s="3462"/>
      <c r="D6" s="3462"/>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63" t="s">
        <v>1643</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7" t="s">
        <v>1644</v>
      </c>
      <c r="B16" s="3467"/>
      <c r="C16" s="3467"/>
      <c r="D16" s="3467"/>
    </row>
    <row r="17" spans="1:4" ht="144" customHeight="1">
      <c r="A17" s="3467" t="s">
        <v>1645</v>
      </c>
      <c r="B17" s="3467"/>
      <c r="C17" s="3467"/>
      <c r="D17" s="3467"/>
    </row>
    <row r="18" spans="1:4" ht="15.75" customHeight="1">
      <c r="A18" s="3464" t="str">
        <f>IF(项目基本情况!B8="抵押",结果表商!K120,"——")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4"/>
      <c r="C20" s="3464"/>
      <c r="D20" s="3464"/>
    </row>
    <row r="21" spans="1:4" ht="57.75" customHeight="1">
      <c r="A21" s="3468"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1646</v>
      </c>
      <c r="B22" s="3469"/>
      <c r="C22" s="3469"/>
      <c r="D22" s="3469"/>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66">
        <v>42551</v>
      </c>
      <c r="D31" s="34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43983</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75" t="s">
        <v>1657</v>
      </c>
      <c r="B15" s="3470" t="s">
        <v>136</v>
      </c>
      <c r="C15" s="3471"/>
    </row>
    <row r="16" spans="1:7" ht="13.5">
      <c r="A16" s="3476"/>
      <c r="B16" s="3470" t="s">
        <v>69</v>
      </c>
      <c r="C16" s="3471"/>
    </row>
    <row r="17" spans="1:3" ht="13.5">
      <c r="A17" s="3476"/>
      <c r="B17" s="3473" t="s">
        <v>1658</v>
      </c>
      <c r="C17" s="1979" t="s">
        <v>1657</v>
      </c>
    </row>
    <row r="18" spans="1:3" ht="13.5">
      <c r="A18" s="3476"/>
      <c r="B18" s="3473"/>
      <c r="C18" s="1979" t="s">
        <v>1659</v>
      </c>
    </row>
    <row r="19" spans="1:3" ht="13.5">
      <c r="A19" s="3476"/>
      <c r="B19" s="3473"/>
      <c r="C19" s="1979" t="s">
        <v>1660</v>
      </c>
    </row>
    <row r="20" spans="1:3" ht="13.5">
      <c r="A20" s="3477"/>
      <c r="B20" s="3472" t="s">
        <v>1661</v>
      </c>
      <c r="C20" s="3471"/>
    </row>
    <row r="21" spans="1:3" ht="13.5">
      <c r="A21" s="1980" t="s">
        <v>1662</v>
      </c>
      <c r="B21" s="1981"/>
      <c r="C21" s="1982"/>
    </row>
    <row r="22" spans="1:3" ht="13.5">
      <c r="A22" s="3474" t="s">
        <v>1663</v>
      </c>
      <c r="B22" s="3472" t="s">
        <v>1664</v>
      </c>
      <c r="C22" s="3471"/>
    </row>
    <row r="23" spans="1:3" ht="13.5">
      <c r="A23" s="3474"/>
      <c r="B23" s="3472" t="s">
        <v>1665</v>
      </c>
      <c r="C23" s="3471"/>
    </row>
    <row r="24" spans="1:3" ht="13.5">
      <c r="A24" s="3474"/>
      <c r="B24" s="3472" t="s">
        <v>1666</v>
      </c>
      <c r="C24" s="3471"/>
    </row>
    <row r="25" spans="1:3" ht="13.5">
      <c r="A25" s="3474"/>
      <c r="B25" s="3473" t="s">
        <v>1667</v>
      </c>
      <c r="C25" s="1979" t="s">
        <v>1668</v>
      </c>
    </row>
    <row r="26" spans="1:3" ht="13.5">
      <c r="A26" s="3474"/>
      <c r="B26" s="3473"/>
      <c r="C26" s="1979" t="s">
        <v>1669</v>
      </c>
    </row>
    <row r="27" spans="1:3" ht="13.5">
      <c r="A27" s="3474"/>
      <c r="B27" s="3473"/>
      <c r="C27" s="1979" t="s">
        <v>1670</v>
      </c>
    </row>
    <row r="28" spans="1:3" ht="13.5">
      <c r="A28" s="3474"/>
      <c r="B28" s="3473"/>
      <c r="C28" s="1979" t="s">
        <v>1671</v>
      </c>
    </row>
    <row r="29" spans="1:3" ht="13.5">
      <c r="A29" s="3474"/>
      <c r="B29" s="3473"/>
      <c r="C29" s="1979" t="s">
        <v>1672</v>
      </c>
    </row>
    <row r="30" spans="1:3" ht="13.5">
      <c r="A30" s="3474"/>
      <c r="B30" s="3473"/>
      <c r="C30" s="1979" t="s">
        <v>1673</v>
      </c>
    </row>
    <row r="31" spans="1:3" ht="13.5">
      <c r="A31" s="3474"/>
      <c r="B31" s="3473"/>
      <c r="C31" s="1979" t="s">
        <v>1674</v>
      </c>
    </row>
    <row r="32" spans="1:3" ht="13.5">
      <c r="A32" s="3474"/>
      <c r="B32" s="3473"/>
      <c r="C32" s="1979" t="s">
        <v>1675</v>
      </c>
    </row>
    <row r="33" spans="1:3" ht="13.5">
      <c r="A33" s="3474"/>
      <c r="B33" s="3473"/>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43994</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t="str">
        <f ca="1">IF(C9&lt;B2,"已过期",1419970001)</f>
        <v>已过期</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78" t="s">
        <v>843</v>
      </c>
      <c r="B25" s="3478"/>
      <c r="C25" s="3478"/>
      <c r="D25" s="3478"/>
      <c r="E25" s="3478"/>
      <c r="F25" s="3478"/>
      <c r="G25" s="3478"/>
    </row>
    <row r="26" spans="1:7" s="1015" customFormat="1" ht="24" customHeight="1">
      <c r="A26" s="3479" t="s">
        <v>844</v>
      </c>
      <c r="B26" s="3479"/>
      <c r="C26" s="3480"/>
      <c r="D26" s="3481" t="s">
        <v>845</v>
      </c>
      <c r="E26" s="3479"/>
      <c r="F26" s="3479"/>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按楼清单</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结果表商</vt:lpstr>
      <vt:lpstr>土地案例</vt:lpstr>
      <vt:lpstr>成本法商租</vt:lpstr>
      <vt:lpstr>比较法-商业</vt:lpstr>
      <vt:lpstr>典型户型修正</vt:lpstr>
      <vt:lpstr>成本法商自</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土地比较法-住宅、综合</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2020-06-12T04:41:34Z</dcterms:modified>
</cp:coreProperties>
</file>