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可抵押车位明细清单" sheetId="80" r:id="rId17"/>
    <sheet name="系统读取表" sheetId="74" r:id="rId18"/>
    <sheet name="结果表" sheetId="9" r:id="rId19"/>
    <sheet name="比较法-车位" sheetId="35" r:id="rId20"/>
    <sheet name="收益法 (元)" sheetId="67" r:id="rId21"/>
    <sheet name="成本法" sheetId="68"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典型户型修正-车位用途" sheetId="86" r:id="rId37"/>
    <sheet name="中海云筑" sheetId="81" r:id="rId38"/>
    <sheet name="和悦春风" sheetId="82" r:id="rId39"/>
    <sheet name="中海云熙" sheetId="83" r:id="rId40"/>
    <sheet name="采育兴创荣墅" sheetId="84" r:id="rId41"/>
    <sheet name="国誉府" sheetId="87" r:id="rId42"/>
    <sheet name="住总如院" sheetId="88"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36">'典型户型修正-车位用途'!$5:$5</definedName>
    <definedName name="一修多修正项2">#REF!</definedName>
    <definedName name="一修多修正项3" localSheetId="36">'典型户型修正-车位用途'!$7:$7</definedName>
    <definedName name="一修多修正项3">#REF!</definedName>
    <definedName name="一修多修正项4" localSheetId="36">'典型户型修正-车位用途'!$9:$9</definedName>
    <definedName name="一修多修正项4">#REF!</definedName>
    <definedName name="一修多修正项5" localSheetId="36">'典型户型修正-车位用途'!$11:$11</definedName>
    <definedName name="一修多修正项5">#REF!</definedName>
    <definedName name="一修多修正项6" localSheetId="36">'典型户型修正-车位用途'!$13:$13</definedName>
    <definedName name="一修多修正项6">#REF!</definedName>
    <definedName name="一修多修正项7" localSheetId="36">'典型户型修正-车位用途'!$15:$15</definedName>
    <definedName name="一修多修正项7">#REF!</definedName>
    <definedName name="一修多修正项8" localSheetId="36">'典型户型修正-车位用途'!$17:$17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T25" i="87"/>
  <c r="AL64" i="84"/>
  <c r="AL23" i="84"/>
  <c r="AL21" i="84"/>
  <c r="T12" i="83"/>
  <c r="AL65" i="82"/>
  <c r="AL17" i="82"/>
  <c r="AL60" i="81"/>
  <c r="AL21" i="81"/>
  <c r="AL18" i="81"/>
  <c r="R638" i="86"/>
  <c r="S638" i="86" s="1"/>
  <c r="Q638" i="86"/>
  <c r="O638" i="86"/>
  <c r="M638" i="86"/>
  <c r="K638" i="86"/>
  <c r="I638" i="86"/>
  <c r="G638" i="86"/>
  <c r="E638" i="86"/>
  <c r="C638" i="86"/>
  <c r="Q637" i="86"/>
  <c r="P637" i="86"/>
  <c r="O637" i="86"/>
  <c r="M637" i="86"/>
  <c r="L637" i="86"/>
  <c r="K637" i="86"/>
  <c r="I637" i="86"/>
  <c r="G637" i="86"/>
  <c r="E637" i="86"/>
  <c r="C637" i="86"/>
  <c r="B637" i="86"/>
  <c r="A637" i="86"/>
  <c r="Q636" i="86"/>
  <c r="P636" i="86"/>
  <c r="O636" i="86"/>
  <c r="M636" i="86"/>
  <c r="L636" i="86"/>
  <c r="K636" i="86"/>
  <c r="I636" i="86"/>
  <c r="G636" i="86"/>
  <c r="E636" i="86"/>
  <c r="C636" i="86"/>
  <c r="B636" i="86"/>
  <c r="A636" i="86"/>
  <c r="Q635" i="86"/>
  <c r="P635" i="86"/>
  <c r="O635" i="86"/>
  <c r="M635" i="86"/>
  <c r="L635" i="86"/>
  <c r="K635" i="86"/>
  <c r="I635" i="86"/>
  <c r="G635" i="86"/>
  <c r="E635" i="86"/>
  <c r="C635" i="86"/>
  <c r="B635" i="86"/>
  <c r="A635" i="86"/>
  <c r="Q634" i="86"/>
  <c r="P634" i="86"/>
  <c r="O634" i="86"/>
  <c r="M634" i="86"/>
  <c r="L634" i="86"/>
  <c r="K634" i="86"/>
  <c r="I634" i="86"/>
  <c r="G634" i="86"/>
  <c r="E634" i="86"/>
  <c r="C634" i="86"/>
  <c r="B634" i="86"/>
  <c r="A634" i="86"/>
  <c r="Q633" i="86"/>
  <c r="P633" i="86"/>
  <c r="O633" i="86"/>
  <c r="M633" i="86"/>
  <c r="L633" i="86"/>
  <c r="K633" i="86"/>
  <c r="I633" i="86"/>
  <c r="G633" i="86"/>
  <c r="E633" i="86"/>
  <c r="C633" i="86"/>
  <c r="B633" i="86"/>
  <c r="A633" i="86"/>
  <c r="Q632" i="86"/>
  <c r="P632" i="86"/>
  <c r="O632" i="86"/>
  <c r="M632" i="86"/>
  <c r="L632" i="86"/>
  <c r="K632" i="86"/>
  <c r="I632" i="86"/>
  <c r="G632" i="86"/>
  <c r="E632" i="86"/>
  <c r="C632" i="86"/>
  <c r="B632" i="86"/>
  <c r="A632" i="86"/>
  <c r="Q631" i="86"/>
  <c r="P631" i="86"/>
  <c r="O631" i="86"/>
  <c r="M631" i="86"/>
  <c r="L631" i="86"/>
  <c r="K631" i="86"/>
  <c r="I631" i="86"/>
  <c r="G631" i="86"/>
  <c r="E631" i="86"/>
  <c r="C631" i="86"/>
  <c r="B631" i="86"/>
  <c r="A631" i="86"/>
  <c r="Q630" i="86"/>
  <c r="P630" i="86"/>
  <c r="O630" i="86"/>
  <c r="M630" i="86"/>
  <c r="L630" i="86"/>
  <c r="K630" i="86"/>
  <c r="I630" i="86"/>
  <c r="G630" i="86"/>
  <c r="E630" i="86"/>
  <c r="C630" i="86"/>
  <c r="B630" i="86"/>
  <c r="A630" i="86"/>
  <c r="Q629" i="86"/>
  <c r="P629" i="86"/>
  <c r="O629" i="86"/>
  <c r="M629" i="86"/>
  <c r="L629" i="86"/>
  <c r="K629" i="86"/>
  <c r="I629" i="86"/>
  <c r="G629" i="86"/>
  <c r="E629" i="86"/>
  <c r="C629" i="86"/>
  <c r="B629" i="86"/>
  <c r="A629" i="86"/>
  <c r="Q628" i="86"/>
  <c r="P628" i="86"/>
  <c r="O628" i="86"/>
  <c r="M628" i="86"/>
  <c r="L628" i="86"/>
  <c r="K628" i="86"/>
  <c r="I628" i="86"/>
  <c r="G628" i="86"/>
  <c r="E628" i="86"/>
  <c r="C628" i="86"/>
  <c r="B628" i="86"/>
  <c r="A628" i="86"/>
  <c r="Q627" i="86"/>
  <c r="P627" i="86"/>
  <c r="O627" i="86"/>
  <c r="M627" i="86"/>
  <c r="L627" i="86"/>
  <c r="K627" i="86"/>
  <c r="I627" i="86"/>
  <c r="G627" i="86"/>
  <c r="E627" i="86"/>
  <c r="C627" i="86"/>
  <c r="B627" i="86"/>
  <c r="A627" i="86"/>
  <c r="Q626" i="86"/>
  <c r="P626" i="86"/>
  <c r="O626" i="86"/>
  <c r="M626" i="86"/>
  <c r="L626" i="86"/>
  <c r="K626" i="86"/>
  <c r="I626" i="86"/>
  <c r="G626" i="86"/>
  <c r="E626" i="86"/>
  <c r="C626" i="86"/>
  <c r="B626" i="86"/>
  <c r="A626" i="86"/>
  <c r="Q625" i="86"/>
  <c r="P625" i="86"/>
  <c r="O625" i="86"/>
  <c r="M625" i="86"/>
  <c r="L625" i="86"/>
  <c r="K625" i="86"/>
  <c r="I625" i="86"/>
  <c r="G625" i="86"/>
  <c r="E625" i="86"/>
  <c r="C625" i="86"/>
  <c r="B625" i="86"/>
  <c r="A625" i="86"/>
  <c r="Q624" i="86"/>
  <c r="P624" i="86"/>
  <c r="O624" i="86"/>
  <c r="M624" i="86"/>
  <c r="L624" i="86"/>
  <c r="K624" i="86"/>
  <c r="I624" i="86"/>
  <c r="G624" i="86"/>
  <c r="E624" i="86"/>
  <c r="C624" i="86"/>
  <c r="B624" i="86"/>
  <c r="A624" i="86"/>
  <c r="Q623" i="86"/>
  <c r="P623" i="86"/>
  <c r="O623" i="86"/>
  <c r="M623" i="86"/>
  <c r="L623" i="86"/>
  <c r="K623" i="86"/>
  <c r="I623" i="86"/>
  <c r="G623" i="86"/>
  <c r="E623" i="86"/>
  <c r="C623" i="86"/>
  <c r="B623" i="86"/>
  <c r="A623" i="86"/>
  <c r="Q622" i="86"/>
  <c r="P622" i="86"/>
  <c r="O622" i="86"/>
  <c r="M622" i="86"/>
  <c r="L622" i="86"/>
  <c r="K622" i="86"/>
  <c r="I622" i="86"/>
  <c r="G622" i="86"/>
  <c r="E622" i="86"/>
  <c r="C622" i="86"/>
  <c r="B622" i="86"/>
  <c r="A622" i="86"/>
  <c r="Q621" i="86"/>
  <c r="P621" i="86"/>
  <c r="O621" i="86"/>
  <c r="M621" i="86"/>
  <c r="L621" i="86"/>
  <c r="K621" i="86"/>
  <c r="I621" i="86"/>
  <c r="G621" i="86"/>
  <c r="E621" i="86"/>
  <c r="C621" i="86"/>
  <c r="B621" i="86"/>
  <c r="A621" i="86"/>
  <c r="Q620" i="86"/>
  <c r="P620" i="86"/>
  <c r="O620" i="86"/>
  <c r="M620" i="86"/>
  <c r="L620" i="86"/>
  <c r="K620" i="86"/>
  <c r="I620" i="86"/>
  <c r="G620" i="86"/>
  <c r="E620" i="86"/>
  <c r="C620" i="86"/>
  <c r="B620" i="86"/>
  <c r="A620" i="86"/>
  <c r="Q619" i="86"/>
  <c r="P619" i="86"/>
  <c r="O619" i="86"/>
  <c r="M619" i="86"/>
  <c r="L619" i="86"/>
  <c r="K619" i="86"/>
  <c r="I619" i="86"/>
  <c r="G619" i="86"/>
  <c r="E619" i="86"/>
  <c r="C619" i="86"/>
  <c r="B619" i="86"/>
  <c r="A619" i="86"/>
  <c r="Q618" i="86"/>
  <c r="P618" i="86"/>
  <c r="O618" i="86"/>
  <c r="M618" i="86"/>
  <c r="L618" i="86"/>
  <c r="K618" i="86"/>
  <c r="I618" i="86"/>
  <c r="G618" i="86"/>
  <c r="E618" i="86"/>
  <c r="C618" i="86"/>
  <c r="B618" i="86"/>
  <c r="A618" i="86"/>
  <c r="Q617" i="86"/>
  <c r="P617" i="86"/>
  <c r="O617" i="86"/>
  <c r="M617" i="86"/>
  <c r="L617" i="86"/>
  <c r="K617" i="86"/>
  <c r="I617" i="86"/>
  <c r="G617" i="86"/>
  <c r="E617" i="86"/>
  <c r="C617" i="86"/>
  <c r="B617" i="86"/>
  <c r="A617" i="86"/>
  <c r="Q616" i="86"/>
  <c r="P616" i="86"/>
  <c r="O616" i="86"/>
  <c r="M616" i="86"/>
  <c r="L616" i="86"/>
  <c r="K616" i="86"/>
  <c r="I616" i="86"/>
  <c r="G616" i="86"/>
  <c r="E616" i="86"/>
  <c r="C616" i="86"/>
  <c r="B616" i="86"/>
  <c r="A616" i="86"/>
  <c r="Q615" i="86"/>
  <c r="P615" i="86"/>
  <c r="O615" i="86"/>
  <c r="M615" i="86"/>
  <c r="L615" i="86"/>
  <c r="K615" i="86"/>
  <c r="I615" i="86"/>
  <c r="G615" i="86"/>
  <c r="E615" i="86"/>
  <c r="C615" i="86"/>
  <c r="B615" i="86"/>
  <c r="A615" i="86"/>
  <c r="Q614" i="86"/>
  <c r="P614" i="86"/>
  <c r="O614" i="86"/>
  <c r="M614" i="86"/>
  <c r="L614" i="86"/>
  <c r="K614" i="86"/>
  <c r="I614" i="86"/>
  <c r="G614" i="86"/>
  <c r="E614" i="86"/>
  <c r="C614" i="86"/>
  <c r="B614" i="86"/>
  <c r="A614" i="86"/>
  <c r="Q613" i="86"/>
  <c r="P613" i="86"/>
  <c r="O613" i="86"/>
  <c r="M613" i="86"/>
  <c r="L613" i="86"/>
  <c r="K613" i="86"/>
  <c r="I613" i="86"/>
  <c r="G613" i="86"/>
  <c r="E613" i="86"/>
  <c r="C613" i="86"/>
  <c r="B613" i="86"/>
  <c r="A613" i="86"/>
  <c r="Q612" i="86"/>
  <c r="P612" i="86"/>
  <c r="O612" i="86"/>
  <c r="M612" i="86"/>
  <c r="L612" i="86"/>
  <c r="K612" i="86"/>
  <c r="I612" i="86"/>
  <c r="G612" i="86"/>
  <c r="E612" i="86"/>
  <c r="C612" i="86"/>
  <c r="B612" i="86"/>
  <c r="A612" i="86"/>
  <c r="Q611" i="86"/>
  <c r="P611" i="86"/>
  <c r="O611" i="86"/>
  <c r="M611" i="86"/>
  <c r="L611" i="86"/>
  <c r="K611" i="86"/>
  <c r="I611" i="86"/>
  <c r="G611" i="86"/>
  <c r="E611" i="86"/>
  <c r="C611" i="86"/>
  <c r="B611" i="86"/>
  <c r="A611" i="86"/>
  <c r="Q610" i="86"/>
  <c r="P610" i="86"/>
  <c r="O610" i="86"/>
  <c r="M610" i="86"/>
  <c r="L610" i="86"/>
  <c r="K610" i="86"/>
  <c r="I610" i="86"/>
  <c r="G610" i="86"/>
  <c r="E610" i="86"/>
  <c r="C610" i="86"/>
  <c r="B610" i="86"/>
  <c r="A610" i="86"/>
  <c r="Q609" i="86"/>
  <c r="P609" i="86"/>
  <c r="O609" i="86"/>
  <c r="M609" i="86"/>
  <c r="L609" i="86"/>
  <c r="K609" i="86"/>
  <c r="I609" i="86"/>
  <c r="G609" i="86"/>
  <c r="E609" i="86"/>
  <c r="C609" i="86"/>
  <c r="B609" i="86"/>
  <c r="A609" i="86"/>
  <c r="Q608" i="86"/>
  <c r="P608" i="86"/>
  <c r="O608" i="86"/>
  <c r="M608" i="86"/>
  <c r="L608" i="86"/>
  <c r="K608" i="86"/>
  <c r="I608" i="86"/>
  <c r="G608" i="86"/>
  <c r="E608" i="86"/>
  <c r="C608" i="86"/>
  <c r="B608" i="86"/>
  <c r="A608" i="86"/>
  <c r="Q607" i="86"/>
  <c r="P607" i="86"/>
  <c r="O607" i="86"/>
  <c r="M607" i="86"/>
  <c r="L607" i="86"/>
  <c r="K607" i="86"/>
  <c r="I607" i="86"/>
  <c r="G607" i="86"/>
  <c r="E607" i="86"/>
  <c r="C607" i="86"/>
  <c r="B607" i="86"/>
  <c r="A607" i="86"/>
  <c r="Q606" i="86"/>
  <c r="P606" i="86"/>
  <c r="O606" i="86"/>
  <c r="M606" i="86"/>
  <c r="L606" i="86"/>
  <c r="K606" i="86"/>
  <c r="I606" i="86"/>
  <c r="G606" i="86"/>
  <c r="E606" i="86"/>
  <c r="C606" i="86"/>
  <c r="B606" i="86"/>
  <c r="A606" i="86"/>
  <c r="Q605" i="86"/>
  <c r="P605" i="86"/>
  <c r="O605" i="86"/>
  <c r="M605" i="86"/>
  <c r="L605" i="86"/>
  <c r="K605" i="86"/>
  <c r="I605" i="86"/>
  <c r="G605" i="86"/>
  <c r="E605" i="86"/>
  <c r="C605" i="86"/>
  <c r="B605" i="86"/>
  <c r="A605" i="86"/>
  <c r="Q604" i="86"/>
  <c r="P604" i="86"/>
  <c r="O604" i="86"/>
  <c r="M604" i="86"/>
  <c r="L604" i="86"/>
  <c r="K604" i="86"/>
  <c r="I604" i="86"/>
  <c r="G604" i="86"/>
  <c r="E604" i="86"/>
  <c r="C604" i="86"/>
  <c r="B604" i="86"/>
  <c r="A604" i="86"/>
  <c r="Q603" i="86"/>
  <c r="P603" i="86"/>
  <c r="O603" i="86"/>
  <c r="M603" i="86"/>
  <c r="L603" i="86"/>
  <c r="K603" i="86"/>
  <c r="I603" i="86"/>
  <c r="G603" i="86"/>
  <c r="E603" i="86"/>
  <c r="C603" i="86"/>
  <c r="B603" i="86"/>
  <c r="A603" i="86"/>
  <c r="Q602" i="86"/>
  <c r="P602" i="86"/>
  <c r="O602" i="86"/>
  <c r="M602" i="86"/>
  <c r="L602" i="86"/>
  <c r="K602" i="86"/>
  <c r="I602" i="86"/>
  <c r="G602" i="86"/>
  <c r="E602" i="86"/>
  <c r="C602" i="86"/>
  <c r="B602" i="86"/>
  <c r="A602" i="86"/>
  <c r="Q601" i="86"/>
  <c r="P601" i="86"/>
  <c r="O601" i="86"/>
  <c r="M601" i="86"/>
  <c r="L601" i="86"/>
  <c r="K601" i="86"/>
  <c r="I601" i="86"/>
  <c r="G601" i="86"/>
  <c r="E601" i="86"/>
  <c r="C601" i="86"/>
  <c r="B601" i="86"/>
  <c r="A601" i="86"/>
  <c r="Q600" i="86"/>
  <c r="P600" i="86"/>
  <c r="O600" i="86"/>
  <c r="M600" i="86"/>
  <c r="L600" i="86"/>
  <c r="K600" i="86"/>
  <c r="I600" i="86"/>
  <c r="G600" i="86"/>
  <c r="E600" i="86"/>
  <c r="C600" i="86"/>
  <c r="B600" i="86"/>
  <c r="A600" i="86"/>
  <c r="Q599" i="86"/>
  <c r="P599" i="86"/>
  <c r="O599" i="86"/>
  <c r="M599" i="86"/>
  <c r="L599" i="86"/>
  <c r="K599" i="86"/>
  <c r="I599" i="86"/>
  <c r="G599" i="86"/>
  <c r="E599" i="86"/>
  <c r="C599" i="86"/>
  <c r="B599" i="86"/>
  <c r="A599" i="86"/>
  <c r="Q598" i="86"/>
  <c r="P598" i="86"/>
  <c r="O598" i="86"/>
  <c r="M598" i="86"/>
  <c r="L598" i="86"/>
  <c r="K598" i="86"/>
  <c r="I598" i="86"/>
  <c r="G598" i="86"/>
  <c r="E598" i="86"/>
  <c r="C598" i="86"/>
  <c r="B598" i="86"/>
  <c r="A598" i="86"/>
  <c r="Q597" i="86"/>
  <c r="P597" i="86"/>
  <c r="O597" i="86"/>
  <c r="M597" i="86"/>
  <c r="L597" i="86"/>
  <c r="K597" i="86"/>
  <c r="I597" i="86"/>
  <c r="G597" i="86"/>
  <c r="E597" i="86"/>
  <c r="C597" i="86"/>
  <c r="B597" i="86"/>
  <c r="A597" i="86"/>
  <c r="Q596" i="86"/>
  <c r="P596" i="86"/>
  <c r="O596" i="86"/>
  <c r="M596" i="86"/>
  <c r="L596" i="86"/>
  <c r="K596" i="86"/>
  <c r="I596" i="86"/>
  <c r="G596" i="86"/>
  <c r="E596" i="86"/>
  <c r="C596" i="86"/>
  <c r="B596" i="86"/>
  <c r="A596" i="86"/>
  <c r="Q595" i="86"/>
  <c r="P595" i="86"/>
  <c r="O595" i="86"/>
  <c r="M595" i="86"/>
  <c r="L595" i="86"/>
  <c r="K595" i="86"/>
  <c r="I595" i="86"/>
  <c r="G595" i="86"/>
  <c r="E595" i="86"/>
  <c r="C595" i="86"/>
  <c r="B595" i="86"/>
  <c r="A595" i="86"/>
  <c r="Q594" i="86"/>
  <c r="P594" i="86"/>
  <c r="O594" i="86"/>
  <c r="M594" i="86"/>
  <c r="L594" i="86"/>
  <c r="K594" i="86"/>
  <c r="I594" i="86"/>
  <c r="G594" i="86"/>
  <c r="E594" i="86"/>
  <c r="C594" i="86"/>
  <c r="B594" i="86"/>
  <c r="A594" i="86"/>
  <c r="Q593" i="86"/>
  <c r="P593" i="86"/>
  <c r="O593" i="86"/>
  <c r="M593" i="86"/>
  <c r="L593" i="86"/>
  <c r="K593" i="86"/>
  <c r="I593" i="86"/>
  <c r="G593" i="86"/>
  <c r="E593" i="86"/>
  <c r="C593" i="86"/>
  <c r="B593" i="86"/>
  <c r="A593" i="86"/>
  <c r="Q592" i="86"/>
  <c r="P592" i="86"/>
  <c r="O592" i="86"/>
  <c r="M592" i="86"/>
  <c r="L592" i="86"/>
  <c r="K592" i="86"/>
  <c r="I592" i="86"/>
  <c r="G592" i="86"/>
  <c r="E592" i="86"/>
  <c r="C592" i="86"/>
  <c r="B592" i="86"/>
  <c r="A592" i="86"/>
  <c r="Q591" i="86"/>
  <c r="P591" i="86"/>
  <c r="O591" i="86"/>
  <c r="M591" i="86"/>
  <c r="L591" i="86"/>
  <c r="K591" i="86"/>
  <c r="I591" i="86"/>
  <c r="G591" i="86"/>
  <c r="E591" i="86"/>
  <c r="C591" i="86"/>
  <c r="B591" i="86"/>
  <c r="A591" i="86"/>
  <c r="Q590" i="86"/>
  <c r="P590" i="86"/>
  <c r="O590" i="86"/>
  <c r="M590" i="86"/>
  <c r="L590" i="86"/>
  <c r="K590" i="86"/>
  <c r="I590" i="86"/>
  <c r="G590" i="86"/>
  <c r="E590" i="86"/>
  <c r="C590" i="86"/>
  <c r="B590" i="86"/>
  <c r="A590" i="86"/>
  <c r="Q589" i="86"/>
  <c r="P589" i="86"/>
  <c r="O589" i="86"/>
  <c r="M589" i="86"/>
  <c r="L589" i="86"/>
  <c r="K589" i="86"/>
  <c r="I589" i="86"/>
  <c r="G589" i="86"/>
  <c r="E589" i="86"/>
  <c r="C589" i="86"/>
  <c r="B589" i="86"/>
  <c r="A589" i="86"/>
  <c r="Q588" i="86"/>
  <c r="P588" i="86"/>
  <c r="O588" i="86"/>
  <c r="M588" i="86"/>
  <c r="L588" i="86"/>
  <c r="K588" i="86"/>
  <c r="I588" i="86"/>
  <c r="G588" i="86"/>
  <c r="E588" i="86"/>
  <c r="C588" i="86"/>
  <c r="B588" i="86"/>
  <c r="A588" i="86"/>
  <c r="Q587" i="86"/>
  <c r="P587" i="86"/>
  <c r="O587" i="86"/>
  <c r="M587" i="86"/>
  <c r="L587" i="86"/>
  <c r="K587" i="86"/>
  <c r="I587" i="86"/>
  <c r="G587" i="86"/>
  <c r="E587" i="86"/>
  <c r="C587" i="86"/>
  <c r="B587" i="86"/>
  <c r="A587" i="86"/>
  <c r="Q586" i="86"/>
  <c r="P586" i="86"/>
  <c r="O586" i="86"/>
  <c r="M586" i="86"/>
  <c r="L586" i="86"/>
  <c r="K586" i="86"/>
  <c r="I586" i="86"/>
  <c r="G586" i="86"/>
  <c r="E586" i="86"/>
  <c r="C586" i="86"/>
  <c r="B586" i="86"/>
  <c r="A586" i="86"/>
  <c r="Q585" i="86"/>
  <c r="P585" i="86"/>
  <c r="O585" i="86"/>
  <c r="M585" i="86"/>
  <c r="L585" i="86"/>
  <c r="K585" i="86"/>
  <c r="I585" i="86"/>
  <c r="G585" i="86"/>
  <c r="E585" i="86"/>
  <c r="C585" i="86"/>
  <c r="B585" i="86"/>
  <c r="A585" i="86"/>
  <c r="Q584" i="86"/>
  <c r="P584" i="86"/>
  <c r="O584" i="86"/>
  <c r="M584" i="86"/>
  <c r="L584" i="86"/>
  <c r="K584" i="86"/>
  <c r="I584" i="86"/>
  <c r="G584" i="86"/>
  <c r="E584" i="86"/>
  <c r="C584" i="86"/>
  <c r="B584" i="86"/>
  <c r="A584" i="86"/>
  <c r="Q583" i="86"/>
  <c r="P583" i="86"/>
  <c r="O583" i="86"/>
  <c r="M583" i="86"/>
  <c r="L583" i="86"/>
  <c r="K583" i="86"/>
  <c r="I583" i="86"/>
  <c r="G583" i="86"/>
  <c r="E583" i="86"/>
  <c r="C583" i="86"/>
  <c r="B583" i="86"/>
  <c r="A583" i="86"/>
  <c r="Q582" i="86"/>
  <c r="P582" i="86"/>
  <c r="O582" i="86"/>
  <c r="M582" i="86"/>
  <c r="L582" i="86"/>
  <c r="K582" i="86"/>
  <c r="I582" i="86"/>
  <c r="G582" i="86"/>
  <c r="E582" i="86"/>
  <c r="C582" i="86"/>
  <c r="B582" i="86"/>
  <c r="A582" i="86"/>
  <c r="Q581" i="86"/>
  <c r="P581" i="86"/>
  <c r="O581" i="86"/>
  <c r="M581" i="86"/>
  <c r="L581" i="86"/>
  <c r="K581" i="86"/>
  <c r="I581" i="86"/>
  <c r="G581" i="86"/>
  <c r="E581" i="86"/>
  <c r="C581" i="86"/>
  <c r="B581" i="86"/>
  <c r="A581" i="86"/>
  <c r="Q580" i="86"/>
  <c r="P580" i="86"/>
  <c r="O580" i="86"/>
  <c r="M580" i="86"/>
  <c r="L580" i="86"/>
  <c r="K580" i="86"/>
  <c r="I580" i="86"/>
  <c r="G580" i="86"/>
  <c r="E580" i="86"/>
  <c r="C580" i="86"/>
  <c r="B580" i="86"/>
  <c r="A580" i="86"/>
  <c r="Q579" i="86"/>
  <c r="P579" i="86"/>
  <c r="O579" i="86"/>
  <c r="M579" i="86"/>
  <c r="L579" i="86"/>
  <c r="K579" i="86"/>
  <c r="I579" i="86"/>
  <c r="G579" i="86"/>
  <c r="E579" i="86"/>
  <c r="C579" i="86"/>
  <c r="B579" i="86"/>
  <c r="A579" i="86"/>
  <c r="Q578" i="86"/>
  <c r="P578" i="86"/>
  <c r="O578" i="86"/>
  <c r="M578" i="86"/>
  <c r="L578" i="86"/>
  <c r="K578" i="86"/>
  <c r="I578" i="86"/>
  <c r="G578" i="86"/>
  <c r="E578" i="86"/>
  <c r="C578" i="86"/>
  <c r="B578" i="86"/>
  <c r="A578" i="86"/>
  <c r="Q577" i="86"/>
  <c r="P577" i="86"/>
  <c r="O577" i="86"/>
  <c r="M577" i="86"/>
  <c r="L577" i="86"/>
  <c r="K577" i="86"/>
  <c r="I577" i="86"/>
  <c r="G577" i="86"/>
  <c r="E577" i="86"/>
  <c r="C577" i="86"/>
  <c r="B577" i="86"/>
  <c r="A577" i="86"/>
  <c r="Q576" i="86"/>
  <c r="P576" i="86"/>
  <c r="O576" i="86"/>
  <c r="M576" i="86"/>
  <c r="L576" i="86"/>
  <c r="K576" i="86"/>
  <c r="I576" i="86"/>
  <c r="G576" i="86"/>
  <c r="E576" i="86"/>
  <c r="C576" i="86"/>
  <c r="B576" i="86"/>
  <c r="A576" i="86"/>
  <c r="Q575" i="86"/>
  <c r="P575" i="86"/>
  <c r="O575" i="86"/>
  <c r="M575" i="86"/>
  <c r="L575" i="86"/>
  <c r="K575" i="86"/>
  <c r="I575" i="86"/>
  <c r="G575" i="86"/>
  <c r="E575" i="86"/>
  <c r="C575" i="86"/>
  <c r="B575" i="86"/>
  <c r="A575" i="86"/>
  <c r="Q574" i="86"/>
  <c r="P574" i="86"/>
  <c r="O574" i="86"/>
  <c r="M574" i="86"/>
  <c r="L574" i="86"/>
  <c r="K574" i="86"/>
  <c r="I574" i="86"/>
  <c r="G574" i="86"/>
  <c r="E574" i="86"/>
  <c r="C574" i="86"/>
  <c r="B574" i="86"/>
  <c r="A574" i="86"/>
  <c r="Q573" i="86"/>
  <c r="P573" i="86"/>
  <c r="O573" i="86"/>
  <c r="M573" i="86"/>
  <c r="L573" i="86"/>
  <c r="K573" i="86"/>
  <c r="I573" i="86"/>
  <c r="G573" i="86"/>
  <c r="E573" i="86"/>
  <c r="C573" i="86"/>
  <c r="B573" i="86"/>
  <c r="A573" i="86"/>
  <c r="Q572" i="86"/>
  <c r="P572" i="86"/>
  <c r="O572" i="86"/>
  <c r="M572" i="86"/>
  <c r="L572" i="86"/>
  <c r="K572" i="86"/>
  <c r="I572" i="86"/>
  <c r="G572" i="86"/>
  <c r="E572" i="86"/>
  <c r="C572" i="86"/>
  <c r="B572" i="86"/>
  <c r="A572" i="86"/>
  <c r="Q571" i="86"/>
  <c r="P571" i="86"/>
  <c r="O571" i="86"/>
  <c r="M571" i="86"/>
  <c r="L571" i="86"/>
  <c r="K571" i="86"/>
  <c r="I571" i="86"/>
  <c r="G571" i="86"/>
  <c r="E571" i="86"/>
  <c r="C571" i="86"/>
  <c r="B571" i="86"/>
  <c r="A571" i="86"/>
  <c r="Q570" i="86"/>
  <c r="P570" i="86"/>
  <c r="O570" i="86"/>
  <c r="M570" i="86"/>
  <c r="L570" i="86"/>
  <c r="K570" i="86"/>
  <c r="I570" i="86"/>
  <c r="G570" i="86"/>
  <c r="E570" i="86"/>
  <c r="C570" i="86"/>
  <c r="B570" i="86"/>
  <c r="A570" i="86"/>
  <c r="Q569" i="86"/>
  <c r="P569" i="86"/>
  <c r="O569" i="86"/>
  <c r="M569" i="86"/>
  <c r="L569" i="86"/>
  <c r="K569" i="86"/>
  <c r="I569" i="86"/>
  <c r="G569" i="86"/>
  <c r="E569" i="86"/>
  <c r="C569" i="86"/>
  <c r="B569" i="86"/>
  <c r="A569" i="86"/>
  <c r="Q568" i="86"/>
  <c r="P568" i="86"/>
  <c r="O568" i="86"/>
  <c r="M568" i="86"/>
  <c r="L568" i="86"/>
  <c r="K568" i="86"/>
  <c r="I568" i="86"/>
  <c r="G568" i="86"/>
  <c r="E568" i="86"/>
  <c r="C568" i="86"/>
  <c r="B568" i="86"/>
  <c r="A568" i="86"/>
  <c r="Q567" i="86"/>
  <c r="P567" i="86"/>
  <c r="O567" i="86"/>
  <c r="M567" i="86"/>
  <c r="L567" i="86"/>
  <c r="K567" i="86"/>
  <c r="I567" i="86"/>
  <c r="G567" i="86"/>
  <c r="E567" i="86"/>
  <c r="C567" i="86"/>
  <c r="B567" i="86"/>
  <c r="A567" i="86"/>
  <c r="Q566" i="86"/>
  <c r="P566" i="86"/>
  <c r="O566" i="86"/>
  <c r="M566" i="86"/>
  <c r="L566" i="86"/>
  <c r="K566" i="86"/>
  <c r="I566" i="86"/>
  <c r="G566" i="86"/>
  <c r="E566" i="86"/>
  <c r="C566" i="86"/>
  <c r="B566" i="86"/>
  <c r="A566" i="86"/>
  <c r="Q565" i="86"/>
  <c r="P565" i="86"/>
  <c r="O565" i="86"/>
  <c r="M565" i="86"/>
  <c r="L565" i="86"/>
  <c r="K565" i="86"/>
  <c r="I565" i="86"/>
  <c r="G565" i="86"/>
  <c r="E565" i="86"/>
  <c r="C565" i="86"/>
  <c r="B565" i="86"/>
  <c r="A565" i="86"/>
  <c r="Q564" i="86"/>
  <c r="P564" i="86"/>
  <c r="O564" i="86"/>
  <c r="M564" i="86"/>
  <c r="L564" i="86"/>
  <c r="K564" i="86"/>
  <c r="I564" i="86"/>
  <c r="G564" i="86"/>
  <c r="E564" i="86"/>
  <c r="C564" i="86"/>
  <c r="B564" i="86"/>
  <c r="A564" i="86"/>
  <c r="Q563" i="86"/>
  <c r="P563" i="86"/>
  <c r="O563" i="86"/>
  <c r="M563" i="86"/>
  <c r="L563" i="86"/>
  <c r="K563" i="86"/>
  <c r="I563" i="86"/>
  <c r="G563" i="86"/>
  <c r="E563" i="86"/>
  <c r="C563" i="86"/>
  <c r="B563" i="86"/>
  <c r="A563" i="86"/>
  <c r="Q562" i="86"/>
  <c r="P562" i="86"/>
  <c r="O562" i="86"/>
  <c r="M562" i="86"/>
  <c r="L562" i="86"/>
  <c r="K562" i="86"/>
  <c r="I562" i="86"/>
  <c r="G562" i="86"/>
  <c r="E562" i="86"/>
  <c r="C562" i="86"/>
  <c r="B562" i="86"/>
  <c r="A562" i="86"/>
  <c r="Q561" i="86"/>
  <c r="P561" i="86"/>
  <c r="O561" i="86"/>
  <c r="M561" i="86"/>
  <c r="L561" i="86"/>
  <c r="K561" i="86"/>
  <c r="I561" i="86"/>
  <c r="G561" i="86"/>
  <c r="E561" i="86"/>
  <c r="C561" i="86"/>
  <c r="B561" i="86"/>
  <c r="A561" i="86"/>
  <c r="Q560" i="86"/>
  <c r="P560" i="86"/>
  <c r="O560" i="86"/>
  <c r="M560" i="86"/>
  <c r="L560" i="86"/>
  <c r="K560" i="86"/>
  <c r="I560" i="86"/>
  <c r="G560" i="86"/>
  <c r="E560" i="86"/>
  <c r="C560" i="86"/>
  <c r="B560" i="86"/>
  <c r="A560" i="86"/>
  <c r="Q559" i="86"/>
  <c r="P559" i="86"/>
  <c r="O559" i="86"/>
  <c r="M559" i="86"/>
  <c r="L559" i="86"/>
  <c r="K559" i="86"/>
  <c r="I559" i="86"/>
  <c r="G559" i="86"/>
  <c r="E559" i="86"/>
  <c r="C559" i="86"/>
  <c r="B559" i="86"/>
  <c r="A559" i="86"/>
  <c r="Q558" i="86"/>
  <c r="P558" i="86"/>
  <c r="O558" i="86"/>
  <c r="M558" i="86"/>
  <c r="L558" i="86"/>
  <c r="K558" i="86"/>
  <c r="I558" i="86"/>
  <c r="G558" i="86"/>
  <c r="E558" i="86"/>
  <c r="C558" i="86"/>
  <c r="B558" i="86"/>
  <c r="A558" i="86"/>
  <c r="Q557" i="86"/>
  <c r="P557" i="86"/>
  <c r="O557" i="86"/>
  <c r="M557" i="86"/>
  <c r="L557" i="86"/>
  <c r="K557" i="86"/>
  <c r="I557" i="86"/>
  <c r="G557" i="86"/>
  <c r="E557" i="86"/>
  <c r="C557" i="86"/>
  <c r="B557" i="86"/>
  <c r="A557" i="86"/>
  <c r="Q556" i="86"/>
  <c r="P556" i="86"/>
  <c r="O556" i="86"/>
  <c r="M556" i="86"/>
  <c r="L556" i="86"/>
  <c r="K556" i="86"/>
  <c r="I556" i="86"/>
  <c r="G556" i="86"/>
  <c r="E556" i="86"/>
  <c r="C556" i="86"/>
  <c r="B556" i="86"/>
  <c r="A556" i="86"/>
  <c r="Q555" i="86"/>
  <c r="P555" i="86"/>
  <c r="O555" i="86"/>
  <c r="M555" i="86"/>
  <c r="L555" i="86"/>
  <c r="K555" i="86"/>
  <c r="I555" i="86"/>
  <c r="G555" i="86"/>
  <c r="E555" i="86"/>
  <c r="C555" i="86"/>
  <c r="B555" i="86"/>
  <c r="A555" i="86"/>
  <c r="Q554" i="86"/>
  <c r="P554" i="86"/>
  <c r="O554" i="86"/>
  <c r="M554" i="86"/>
  <c r="L554" i="86"/>
  <c r="K554" i="86"/>
  <c r="I554" i="86"/>
  <c r="G554" i="86"/>
  <c r="E554" i="86"/>
  <c r="C554" i="86"/>
  <c r="B554" i="86"/>
  <c r="A554" i="86"/>
  <c r="Q553" i="86"/>
  <c r="P553" i="86"/>
  <c r="O553" i="86"/>
  <c r="M553" i="86"/>
  <c r="L553" i="86"/>
  <c r="K553" i="86"/>
  <c r="I553" i="86"/>
  <c r="G553" i="86"/>
  <c r="E553" i="86"/>
  <c r="C553" i="86"/>
  <c r="B553" i="86"/>
  <c r="A553" i="86"/>
  <c r="Q552" i="86"/>
  <c r="P552" i="86"/>
  <c r="O552" i="86"/>
  <c r="M552" i="86"/>
  <c r="L552" i="86"/>
  <c r="K552" i="86"/>
  <c r="I552" i="86"/>
  <c r="G552" i="86"/>
  <c r="E552" i="86"/>
  <c r="C552" i="86"/>
  <c r="B552" i="86"/>
  <c r="A552" i="86"/>
  <c r="Q551" i="86"/>
  <c r="P551" i="86"/>
  <c r="O551" i="86"/>
  <c r="M551" i="86"/>
  <c r="L551" i="86"/>
  <c r="K551" i="86"/>
  <c r="I551" i="86"/>
  <c r="G551" i="86"/>
  <c r="E551" i="86"/>
  <c r="C551" i="86"/>
  <c r="B551" i="86"/>
  <c r="A551" i="86"/>
  <c r="Q550" i="86"/>
  <c r="P550" i="86"/>
  <c r="O550" i="86"/>
  <c r="M550" i="86"/>
  <c r="L550" i="86"/>
  <c r="K550" i="86"/>
  <c r="I550" i="86"/>
  <c r="G550" i="86"/>
  <c r="E550" i="86"/>
  <c r="C550" i="86"/>
  <c r="B550" i="86"/>
  <c r="A550" i="86"/>
  <c r="Q549" i="86"/>
  <c r="P549" i="86"/>
  <c r="O549" i="86"/>
  <c r="M549" i="86"/>
  <c r="L549" i="86"/>
  <c r="K549" i="86"/>
  <c r="I549" i="86"/>
  <c r="G549" i="86"/>
  <c r="E549" i="86"/>
  <c r="C549" i="86"/>
  <c r="B549" i="86"/>
  <c r="A549" i="86"/>
  <c r="Q548" i="86"/>
  <c r="P548" i="86"/>
  <c r="O548" i="86"/>
  <c r="M548" i="86"/>
  <c r="L548" i="86"/>
  <c r="K548" i="86"/>
  <c r="I548" i="86"/>
  <c r="G548" i="86"/>
  <c r="E548" i="86"/>
  <c r="C548" i="86"/>
  <c r="B548" i="86"/>
  <c r="A548" i="86"/>
  <c r="Q547" i="86"/>
  <c r="P547" i="86"/>
  <c r="O547" i="86"/>
  <c r="M547" i="86"/>
  <c r="L547" i="86"/>
  <c r="K547" i="86"/>
  <c r="I547" i="86"/>
  <c r="G547" i="86"/>
  <c r="E547" i="86"/>
  <c r="C547" i="86"/>
  <c r="B547" i="86"/>
  <c r="A547" i="86"/>
  <c r="Q546" i="86"/>
  <c r="P546" i="86"/>
  <c r="O546" i="86"/>
  <c r="M546" i="86"/>
  <c r="L546" i="86"/>
  <c r="K546" i="86"/>
  <c r="I546" i="86"/>
  <c r="G546" i="86"/>
  <c r="E546" i="86"/>
  <c r="C546" i="86"/>
  <c r="B546" i="86"/>
  <c r="A546" i="86"/>
  <c r="Q545" i="86"/>
  <c r="P545" i="86"/>
  <c r="O545" i="86"/>
  <c r="M545" i="86"/>
  <c r="L545" i="86"/>
  <c r="K545" i="86"/>
  <c r="I545" i="86"/>
  <c r="G545" i="86"/>
  <c r="E545" i="86"/>
  <c r="C545" i="86"/>
  <c r="B545" i="86"/>
  <c r="A545" i="86"/>
  <c r="Q544" i="86"/>
  <c r="P544" i="86"/>
  <c r="O544" i="86"/>
  <c r="M544" i="86"/>
  <c r="L544" i="86"/>
  <c r="K544" i="86"/>
  <c r="I544" i="86"/>
  <c r="G544" i="86"/>
  <c r="E544" i="86"/>
  <c r="C544" i="86"/>
  <c r="B544" i="86"/>
  <c r="A544" i="86"/>
  <c r="Q543" i="86"/>
  <c r="P543" i="86"/>
  <c r="O543" i="86"/>
  <c r="M543" i="86"/>
  <c r="L543" i="86"/>
  <c r="K543" i="86"/>
  <c r="I543" i="86"/>
  <c r="G543" i="86"/>
  <c r="E543" i="86"/>
  <c r="C543" i="86"/>
  <c r="B543" i="86"/>
  <c r="A543" i="86"/>
  <c r="Q542" i="86"/>
  <c r="P542" i="86"/>
  <c r="O542" i="86"/>
  <c r="M542" i="86"/>
  <c r="L542" i="86"/>
  <c r="K542" i="86"/>
  <c r="I542" i="86"/>
  <c r="G542" i="86"/>
  <c r="E542" i="86"/>
  <c r="C542" i="86"/>
  <c r="B542" i="86"/>
  <c r="A542" i="86"/>
  <c r="Q541" i="86"/>
  <c r="P541" i="86"/>
  <c r="O541" i="86"/>
  <c r="M541" i="86"/>
  <c r="L541" i="86"/>
  <c r="K541" i="86"/>
  <c r="I541" i="86"/>
  <c r="G541" i="86"/>
  <c r="E541" i="86"/>
  <c r="C541" i="86"/>
  <c r="B541" i="86"/>
  <c r="A541" i="86"/>
  <c r="Q540" i="86"/>
  <c r="P540" i="86"/>
  <c r="O540" i="86"/>
  <c r="M540" i="86"/>
  <c r="L540" i="86"/>
  <c r="K540" i="86"/>
  <c r="I540" i="86"/>
  <c r="G540" i="86"/>
  <c r="E540" i="86"/>
  <c r="C540" i="86"/>
  <c r="B540" i="86"/>
  <c r="A540" i="86"/>
  <c r="Q539" i="86"/>
  <c r="P539" i="86"/>
  <c r="O539" i="86"/>
  <c r="M539" i="86"/>
  <c r="L539" i="86"/>
  <c r="K539" i="86"/>
  <c r="I539" i="86"/>
  <c r="G539" i="86"/>
  <c r="E539" i="86"/>
  <c r="C539" i="86"/>
  <c r="B539" i="86"/>
  <c r="A539" i="86"/>
  <c r="Q538" i="86"/>
  <c r="P538" i="86"/>
  <c r="O538" i="86"/>
  <c r="M538" i="86"/>
  <c r="L538" i="86"/>
  <c r="K538" i="86"/>
  <c r="I538" i="86"/>
  <c r="G538" i="86"/>
  <c r="E538" i="86"/>
  <c r="C538" i="86"/>
  <c r="B538" i="86"/>
  <c r="A538" i="86"/>
  <c r="Q537" i="86"/>
  <c r="P537" i="86"/>
  <c r="O537" i="86"/>
  <c r="M537" i="86"/>
  <c r="L537" i="86"/>
  <c r="K537" i="86"/>
  <c r="I537" i="86"/>
  <c r="G537" i="86"/>
  <c r="E537" i="86"/>
  <c r="C537" i="86"/>
  <c r="B537" i="86"/>
  <c r="A537" i="86"/>
  <c r="Q536" i="86"/>
  <c r="P536" i="86"/>
  <c r="O536" i="86"/>
  <c r="M536" i="86"/>
  <c r="L536" i="86"/>
  <c r="K536" i="86"/>
  <c r="I536" i="86"/>
  <c r="G536" i="86"/>
  <c r="E536" i="86"/>
  <c r="C536" i="86"/>
  <c r="B536" i="86"/>
  <c r="A536" i="86"/>
  <c r="Q535" i="86"/>
  <c r="P535" i="86"/>
  <c r="O535" i="86"/>
  <c r="M535" i="86"/>
  <c r="L535" i="86"/>
  <c r="K535" i="86"/>
  <c r="I535" i="86"/>
  <c r="G535" i="86"/>
  <c r="E535" i="86"/>
  <c r="C535" i="86"/>
  <c r="B535" i="86"/>
  <c r="A535" i="86"/>
  <c r="Q534" i="86"/>
  <c r="P534" i="86"/>
  <c r="O534" i="86"/>
  <c r="M534" i="86"/>
  <c r="L534" i="86"/>
  <c r="K534" i="86"/>
  <c r="I534" i="86"/>
  <c r="G534" i="86"/>
  <c r="E534" i="86"/>
  <c r="C534" i="86"/>
  <c r="B534" i="86"/>
  <c r="A534" i="86"/>
  <c r="Q533" i="86"/>
  <c r="P533" i="86"/>
  <c r="O533" i="86"/>
  <c r="M533" i="86"/>
  <c r="L533" i="86"/>
  <c r="K533" i="86"/>
  <c r="I533" i="86"/>
  <c r="G533" i="86"/>
  <c r="E533" i="86"/>
  <c r="C533" i="86"/>
  <c r="B533" i="86"/>
  <c r="A533" i="86"/>
  <c r="Q532" i="86"/>
  <c r="P532" i="86"/>
  <c r="O532" i="86"/>
  <c r="M532" i="86"/>
  <c r="L532" i="86"/>
  <c r="K532" i="86"/>
  <c r="I532" i="86"/>
  <c r="G532" i="86"/>
  <c r="E532" i="86"/>
  <c r="C532" i="86"/>
  <c r="B532" i="86"/>
  <c r="A532" i="86"/>
  <c r="Q531" i="86"/>
  <c r="P531" i="86"/>
  <c r="O531" i="86"/>
  <c r="M531" i="86"/>
  <c r="L531" i="86"/>
  <c r="K531" i="86"/>
  <c r="I531" i="86"/>
  <c r="G531" i="86"/>
  <c r="E531" i="86"/>
  <c r="C531" i="86"/>
  <c r="B531" i="86"/>
  <c r="A531" i="86"/>
  <c r="Q530" i="86"/>
  <c r="P530" i="86"/>
  <c r="O530" i="86"/>
  <c r="M530" i="86"/>
  <c r="L530" i="86"/>
  <c r="K530" i="86"/>
  <c r="I530" i="86"/>
  <c r="G530" i="86"/>
  <c r="E530" i="86"/>
  <c r="C530" i="86"/>
  <c r="B530" i="86"/>
  <c r="A530" i="86"/>
  <c r="Q529" i="86"/>
  <c r="P529" i="86"/>
  <c r="O529" i="86"/>
  <c r="M529" i="86"/>
  <c r="L529" i="86"/>
  <c r="K529" i="86"/>
  <c r="I529" i="86"/>
  <c r="G529" i="86"/>
  <c r="E529" i="86"/>
  <c r="C529" i="86"/>
  <c r="B529" i="86"/>
  <c r="A529" i="86"/>
  <c r="Q528" i="86"/>
  <c r="P528" i="86"/>
  <c r="O528" i="86"/>
  <c r="M528" i="86"/>
  <c r="L528" i="86"/>
  <c r="K528" i="86"/>
  <c r="I528" i="86"/>
  <c r="G528" i="86"/>
  <c r="E528" i="86"/>
  <c r="C528" i="86"/>
  <c r="B528" i="86"/>
  <c r="A528" i="86"/>
  <c r="Q527" i="86"/>
  <c r="P527" i="86"/>
  <c r="O527" i="86"/>
  <c r="M527" i="86"/>
  <c r="L527" i="86"/>
  <c r="K527" i="86"/>
  <c r="I527" i="86"/>
  <c r="G527" i="86"/>
  <c r="E527" i="86"/>
  <c r="C527" i="86"/>
  <c r="B527" i="86"/>
  <c r="A527" i="86"/>
  <c r="Q526" i="86"/>
  <c r="P526" i="86"/>
  <c r="O526" i="86"/>
  <c r="M526" i="86"/>
  <c r="L526" i="86"/>
  <c r="K526" i="86"/>
  <c r="I526" i="86"/>
  <c r="G526" i="86"/>
  <c r="E526" i="86"/>
  <c r="C526" i="86"/>
  <c r="B526" i="86"/>
  <c r="A526" i="86"/>
  <c r="Q525" i="86"/>
  <c r="P525" i="86"/>
  <c r="O525" i="86"/>
  <c r="M525" i="86"/>
  <c r="L525" i="86"/>
  <c r="K525" i="86"/>
  <c r="I525" i="86"/>
  <c r="G525" i="86"/>
  <c r="E525" i="86"/>
  <c r="C525" i="86"/>
  <c r="B525" i="86"/>
  <c r="A525" i="86"/>
  <c r="Q524" i="86"/>
  <c r="P524" i="86"/>
  <c r="O524" i="86"/>
  <c r="M524" i="86"/>
  <c r="L524" i="86"/>
  <c r="K524" i="86"/>
  <c r="I524" i="86"/>
  <c r="G524" i="86"/>
  <c r="E524" i="86"/>
  <c r="C524" i="86"/>
  <c r="B524" i="86"/>
  <c r="A524" i="86"/>
  <c r="Q523" i="86"/>
  <c r="P523" i="86"/>
  <c r="O523" i="86"/>
  <c r="M523" i="86"/>
  <c r="L523" i="86"/>
  <c r="K523" i="86"/>
  <c r="I523" i="86"/>
  <c r="G523" i="86"/>
  <c r="E523" i="86"/>
  <c r="C523" i="86"/>
  <c r="B523" i="86"/>
  <c r="A523" i="86"/>
  <c r="Q522" i="86"/>
  <c r="P522" i="86"/>
  <c r="O522" i="86"/>
  <c r="M522" i="86"/>
  <c r="L522" i="86"/>
  <c r="K522" i="86"/>
  <c r="I522" i="86"/>
  <c r="G522" i="86"/>
  <c r="E522" i="86"/>
  <c r="C522" i="86"/>
  <c r="B522" i="86"/>
  <c r="A522" i="86"/>
  <c r="Q521" i="86"/>
  <c r="P521" i="86"/>
  <c r="O521" i="86"/>
  <c r="M521" i="86"/>
  <c r="L521" i="86"/>
  <c r="K521" i="86"/>
  <c r="I521" i="86"/>
  <c r="G521" i="86"/>
  <c r="E521" i="86"/>
  <c r="C521" i="86"/>
  <c r="B521" i="86"/>
  <c r="A521" i="86"/>
  <c r="Q520" i="86"/>
  <c r="P520" i="86"/>
  <c r="O520" i="86"/>
  <c r="M520" i="86"/>
  <c r="L520" i="86"/>
  <c r="K520" i="86"/>
  <c r="I520" i="86"/>
  <c r="G520" i="86"/>
  <c r="E520" i="86"/>
  <c r="C520" i="86"/>
  <c r="B520" i="86"/>
  <c r="A520" i="86"/>
  <c r="Q519" i="86"/>
  <c r="P519" i="86"/>
  <c r="O519" i="86"/>
  <c r="M519" i="86"/>
  <c r="L519" i="86"/>
  <c r="K519" i="86"/>
  <c r="I519" i="86"/>
  <c r="G519" i="86"/>
  <c r="E519" i="86"/>
  <c r="C519" i="86"/>
  <c r="B519" i="86"/>
  <c r="A519" i="86"/>
  <c r="Q518" i="86"/>
  <c r="P518" i="86"/>
  <c r="O518" i="86"/>
  <c r="M518" i="86"/>
  <c r="L518" i="86"/>
  <c r="K518" i="86"/>
  <c r="I518" i="86"/>
  <c r="G518" i="86"/>
  <c r="E518" i="86"/>
  <c r="C518" i="86"/>
  <c r="B518" i="86"/>
  <c r="A518" i="86"/>
  <c r="Q517" i="86"/>
  <c r="P517" i="86"/>
  <c r="O517" i="86"/>
  <c r="M517" i="86"/>
  <c r="L517" i="86"/>
  <c r="K517" i="86"/>
  <c r="I517" i="86"/>
  <c r="G517" i="86"/>
  <c r="E517" i="86"/>
  <c r="C517" i="86"/>
  <c r="B517" i="86"/>
  <c r="A517" i="86"/>
  <c r="Q516" i="86"/>
  <c r="P516" i="86"/>
  <c r="O516" i="86"/>
  <c r="M516" i="86"/>
  <c r="L516" i="86"/>
  <c r="K516" i="86"/>
  <c r="I516" i="86"/>
  <c r="G516" i="86"/>
  <c r="E516" i="86"/>
  <c r="C516" i="86"/>
  <c r="B516" i="86"/>
  <c r="A516" i="86"/>
  <c r="Q515" i="86"/>
  <c r="P515" i="86"/>
  <c r="O515" i="86"/>
  <c r="M515" i="86"/>
  <c r="L515" i="86"/>
  <c r="K515" i="86"/>
  <c r="I515" i="86"/>
  <c r="G515" i="86"/>
  <c r="E515" i="86"/>
  <c r="C515" i="86"/>
  <c r="B515" i="86"/>
  <c r="A515" i="86"/>
  <c r="Q514" i="86"/>
  <c r="P514" i="86"/>
  <c r="O514" i="86"/>
  <c r="M514" i="86"/>
  <c r="L514" i="86"/>
  <c r="K514" i="86"/>
  <c r="I514" i="86"/>
  <c r="G514" i="86"/>
  <c r="E514" i="86"/>
  <c r="C514" i="86"/>
  <c r="B514" i="86"/>
  <c r="A514" i="86"/>
  <c r="Q513" i="86"/>
  <c r="P513" i="86"/>
  <c r="O513" i="86"/>
  <c r="M513" i="86"/>
  <c r="L513" i="86"/>
  <c r="K513" i="86"/>
  <c r="I513" i="86"/>
  <c r="G513" i="86"/>
  <c r="E513" i="86"/>
  <c r="C513" i="86"/>
  <c r="B513" i="86"/>
  <c r="A513" i="86"/>
  <c r="Q512" i="86"/>
  <c r="P512" i="86"/>
  <c r="O512" i="86"/>
  <c r="M512" i="86"/>
  <c r="L512" i="86"/>
  <c r="K512" i="86"/>
  <c r="I512" i="86"/>
  <c r="G512" i="86"/>
  <c r="E512" i="86"/>
  <c r="C512" i="86"/>
  <c r="B512" i="86"/>
  <c r="A512" i="86"/>
  <c r="Q511" i="86"/>
  <c r="P511" i="86"/>
  <c r="O511" i="86"/>
  <c r="M511" i="86"/>
  <c r="L511" i="86"/>
  <c r="K511" i="86"/>
  <c r="I511" i="86"/>
  <c r="G511" i="86"/>
  <c r="E511" i="86"/>
  <c r="C511" i="86"/>
  <c r="B511" i="86"/>
  <c r="A511" i="86"/>
  <c r="Q510" i="86"/>
  <c r="P510" i="86"/>
  <c r="O510" i="86"/>
  <c r="M510" i="86"/>
  <c r="L510" i="86"/>
  <c r="K510" i="86"/>
  <c r="I510" i="86"/>
  <c r="G510" i="86"/>
  <c r="E510" i="86"/>
  <c r="C510" i="86"/>
  <c r="B510" i="86"/>
  <c r="A510" i="86"/>
  <c r="Q509" i="86"/>
  <c r="P509" i="86"/>
  <c r="O509" i="86"/>
  <c r="M509" i="86"/>
  <c r="L509" i="86"/>
  <c r="K509" i="86"/>
  <c r="I509" i="86"/>
  <c r="G509" i="86"/>
  <c r="E509" i="86"/>
  <c r="C509" i="86"/>
  <c r="B509" i="86"/>
  <c r="A509" i="86"/>
  <c r="Q508" i="86"/>
  <c r="P508" i="86"/>
  <c r="O508" i="86"/>
  <c r="M508" i="86"/>
  <c r="L508" i="86"/>
  <c r="K508" i="86"/>
  <c r="I508" i="86"/>
  <c r="G508" i="86"/>
  <c r="E508" i="86"/>
  <c r="C508" i="86"/>
  <c r="B508" i="86"/>
  <c r="A508" i="86"/>
  <c r="Q507" i="86"/>
  <c r="P507" i="86"/>
  <c r="O507" i="86"/>
  <c r="M507" i="86"/>
  <c r="L507" i="86"/>
  <c r="K507" i="86"/>
  <c r="I507" i="86"/>
  <c r="G507" i="86"/>
  <c r="E507" i="86"/>
  <c r="C507" i="86"/>
  <c r="B507" i="86"/>
  <c r="A507" i="86"/>
  <c r="Q506" i="86"/>
  <c r="P506" i="86"/>
  <c r="O506" i="86"/>
  <c r="M506" i="86"/>
  <c r="L506" i="86"/>
  <c r="K506" i="86"/>
  <c r="I506" i="86"/>
  <c r="G506" i="86"/>
  <c r="E506" i="86"/>
  <c r="C506" i="86"/>
  <c r="B506" i="86"/>
  <c r="A506" i="86"/>
  <c r="Q505" i="86"/>
  <c r="P505" i="86"/>
  <c r="O505" i="86"/>
  <c r="M505" i="86"/>
  <c r="L505" i="86"/>
  <c r="K505" i="86"/>
  <c r="I505" i="86"/>
  <c r="G505" i="86"/>
  <c r="E505" i="86"/>
  <c r="C505" i="86"/>
  <c r="B505" i="86"/>
  <c r="A505" i="86"/>
  <c r="Q504" i="86"/>
  <c r="P504" i="86"/>
  <c r="O504" i="86"/>
  <c r="M504" i="86"/>
  <c r="L504" i="86"/>
  <c r="K504" i="86"/>
  <c r="I504" i="86"/>
  <c r="G504" i="86"/>
  <c r="E504" i="86"/>
  <c r="C504" i="86"/>
  <c r="B504" i="86"/>
  <c r="A504" i="86"/>
  <c r="Q503" i="86"/>
  <c r="P503" i="86"/>
  <c r="O503" i="86"/>
  <c r="M503" i="86"/>
  <c r="L503" i="86"/>
  <c r="K503" i="86"/>
  <c r="I503" i="86"/>
  <c r="G503" i="86"/>
  <c r="E503" i="86"/>
  <c r="C503" i="86"/>
  <c r="B503" i="86"/>
  <c r="A503" i="86"/>
  <c r="Q502" i="86"/>
  <c r="P502" i="86"/>
  <c r="O502" i="86"/>
  <c r="M502" i="86"/>
  <c r="L502" i="86"/>
  <c r="K502" i="86"/>
  <c r="I502" i="86"/>
  <c r="G502" i="86"/>
  <c r="E502" i="86"/>
  <c r="C502" i="86"/>
  <c r="B502" i="86"/>
  <c r="A502" i="86"/>
  <c r="Q501" i="86"/>
  <c r="P501" i="86"/>
  <c r="O501" i="86"/>
  <c r="M501" i="86"/>
  <c r="L501" i="86"/>
  <c r="K501" i="86"/>
  <c r="I501" i="86"/>
  <c r="G501" i="86"/>
  <c r="E501" i="86"/>
  <c r="C501" i="86"/>
  <c r="B501" i="86"/>
  <c r="A501" i="86"/>
  <c r="Q500" i="86"/>
  <c r="P500" i="86"/>
  <c r="O500" i="86"/>
  <c r="M500" i="86"/>
  <c r="L500" i="86"/>
  <c r="K500" i="86"/>
  <c r="I500" i="86"/>
  <c r="G500" i="86"/>
  <c r="E500" i="86"/>
  <c r="C500" i="86"/>
  <c r="B500" i="86"/>
  <c r="A500" i="86"/>
  <c r="Q499" i="86"/>
  <c r="P499" i="86"/>
  <c r="O499" i="86"/>
  <c r="M499" i="86"/>
  <c r="L499" i="86"/>
  <c r="K499" i="86"/>
  <c r="I499" i="86"/>
  <c r="G499" i="86"/>
  <c r="E499" i="86"/>
  <c r="C499" i="86"/>
  <c r="B499" i="86"/>
  <c r="A499" i="86"/>
  <c r="Q498" i="86"/>
  <c r="P498" i="86"/>
  <c r="O498" i="86"/>
  <c r="M498" i="86"/>
  <c r="L498" i="86"/>
  <c r="K498" i="86"/>
  <c r="I498" i="86"/>
  <c r="G498" i="86"/>
  <c r="E498" i="86"/>
  <c r="C498" i="86"/>
  <c r="B498" i="86"/>
  <c r="A498" i="86"/>
  <c r="Q497" i="86"/>
  <c r="P497" i="86"/>
  <c r="O497" i="86"/>
  <c r="M497" i="86"/>
  <c r="L497" i="86"/>
  <c r="K497" i="86"/>
  <c r="I497" i="86"/>
  <c r="G497" i="86"/>
  <c r="E497" i="86"/>
  <c r="C497" i="86"/>
  <c r="B497" i="86"/>
  <c r="A497" i="86"/>
  <c r="Q496" i="86"/>
  <c r="P496" i="86"/>
  <c r="O496" i="86"/>
  <c r="M496" i="86"/>
  <c r="L496" i="86"/>
  <c r="K496" i="86"/>
  <c r="I496" i="86"/>
  <c r="G496" i="86"/>
  <c r="E496" i="86"/>
  <c r="C496" i="86"/>
  <c r="B496" i="86"/>
  <c r="A496" i="86"/>
  <c r="Q495" i="86"/>
  <c r="P495" i="86"/>
  <c r="O495" i="86"/>
  <c r="M495" i="86"/>
  <c r="L495" i="86"/>
  <c r="K495" i="86"/>
  <c r="I495" i="86"/>
  <c r="G495" i="86"/>
  <c r="E495" i="86"/>
  <c r="C495" i="86"/>
  <c r="B495" i="86"/>
  <c r="A495" i="86"/>
  <c r="Q494" i="86"/>
  <c r="P494" i="86"/>
  <c r="O494" i="86"/>
  <c r="M494" i="86"/>
  <c r="L494" i="86"/>
  <c r="K494" i="86"/>
  <c r="I494" i="86"/>
  <c r="G494" i="86"/>
  <c r="E494" i="86"/>
  <c r="C494" i="86"/>
  <c r="B494" i="86"/>
  <c r="A494" i="86"/>
  <c r="Q493" i="86"/>
  <c r="P493" i="86"/>
  <c r="O493" i="86"/>
  <c r="M493" i="86"/>
  <c r="L493" i="86"/>
  <c r="K493" i="86"/>
  <c r="I493" i="86"/>
  <c r="G493" i="86"/>
  <c r="E493" i="86"/>
  <c r="C493" i="86"/>
  <c r="B493" i="86"/>
  <c r="A493" i="86"/>
  <c r="Q492" i="86"/>
  <c r="P492" i="86"/>
  <c r="O492" i="86"/>
  <c r="M492" i="86"/>
  <c r="L492" i="86"/>
  <c r="K492" i="86"/>
  <c r="I492" i="86"/>
  <c r="G492" i="86"/>
  <c r="E492" i="86"/>
  <c r="C492" i="86"/>
  <c r="B492" i="86"/>
  <c r="A492" i="86"/>
  <c r="Q491" i="86"/>
  <c r="P491" i="86"/>
  <c r="O491" i="86"/>
  <c r="M491" i="86"/>
  <c r="L491" i="86"/>
  <c r="K491" i="86"/>
  <c r="I491" i="86"/>
  <c r="G491" i="86"/>
  <c r="E491" i="86"/>
  <c r="C491" i="86"/>
  <c r="B491" i="86"/>
  <c r="A491" i="86"/>
  <c r="Q490" i="86"/>
  <c r="P490" i="86"/>
  <c r="O490" i="86"/>
  <c r="M490" i="86"/>
  <c r="L490" i="86"/>
  <c r="K490" i="86"/>
  <c r="I490" i="86"/>
  <c r="G490" i="86"/>
  <c r="E490" i="86"/>
  <c r="C490" i="86"/>
  <c r="B490" i="86"/>
  <c r="A490" i="86"/>
  <c r="Q489" i="86"/>
  <c r="P489" i="86"/>
  <c r="O489" i="86"/>
  <c r="M489" i="86"/>
  <c r="L489" i="86"/>
  <c r="K489" i="86"/>
  <c r="I489" i="86"/>
  <c r="G489" i="86"/>
  <c r="E489" i="86"/>
  <c r="C489" i="86"/>
  <c r="B489" i="86"/>
  <c r="A489" i="86"/>
  <c r="Q488" i="86"/>
  <c r="P488" i="86"/>
  <c r="O488" i="86"/>
  <c r="M488" i="86"/>
  <c r="L488" i="86"/>
  <c r="K488" i="86"/>
  <c r="I488" i="86"/>
  <c r="G488" i="86"/>
  <c r="E488" i="86"/>
  <c r="C488" i="86"/>
  <c r="B488" i="86"/>
  <c r="A488" i="86"/>
  <c r="Q487" i="86"/>
  <c r="P487" i="86"/>
  <c r="O487" i="86"/>
  <c r="M487" i="86"/>
  <c r="L487" i="86"/>
  <c r="K487" i="86"/>
  <c r="I487" i="86"/>
  <c r="G487" i="86"/>
  <c r="E487" i="86"/>
  <c r="C487" i="86"/>
  <c r="B487" i="86"/>
  <c r="A487" i="86"/>
  <c r="Q486" i="86"/>
  <c r="P486" i="86"/>
  <c r="O486" i="86"/>
  <c r="M486" i="86"/>
  <c r="L486" i="86"/>
  <c r="K486" i="86"/>
  <c r="I486" i="86"/>
  <c r="G486" i="86"/>
  <c r="E486" i="86"/>
  <c r="C486" i="86"/>
  <c r="B486" i="86"/>
  <c r="A486" i="86"/>
  <c r="Q485" i="86"/>
  <c r="P485" i="86"/>
  <c r="O485" i="86"/>
  <c r="M485" i="86"/>
  <c r="L485" i="86"/>
  <c r="K485" i="86"/>
  <c r="I485" i="86"/>
  <c r="G485" i="86"/>
  <c r="E485" i="86"/>
  <c r="C485" i="86"/>
  <c r="B485" i="86"/>
  <c r="A485" i="86"/>
  <c r="Q484" i="86"/>
  <c r="P484" i="86"/>
  <c r="O484" i="86"/>
  <c r="M484" i="86"/>
  <c r="L484" i="86"/>
  <c r="K484" i="86"/>
  <c r="I484" i="86"/>
  <c r="G484" i="86"/>
  <c r="E484" i="86"/>
  <c r="C484" i="86"/>
  <c r="B484" i="86"/>
  <c r="A484" i="86"/>
  <c r="Q483" i="86"/>
  <c r="P483" i="86"/>
  <c r="O483" i="86"/>
  <c r="M483" i="86"/>
  <c r="L483" i="86"/>
  <c r="K483" i="86"/>
  <c r="I483" i="86"/>
  <c r="G483" i="86"/>
  <c r="E483" i="86"/>
  <c r="C483" i="86"/>
  <c r="B483" i="86"/>
  <c r="A483" i="86"/>
  <c r="Q482" i="86"/>
  <c r="P482" i="86"/>
  <c r="O482" i="86"/>
  <c r="M482" i="86"/>
  <c r="L482" i="86"/>
  <c r="K482" i="86"/>
  <c r="I482" i="86"/>
  <c r="G482" i="86"/>
  <c r="E482" i="86"/>
  <c r="C482" i="86"/>
  <c r="B482" i="86"/>
  <c r="A482" i="86"/>
  <c r="Q481" i="86"/>
  <c r="P481" i="86"/>
  <c r="O481" i="86"/>
  <c r="M481" i="86"/>
  <c r="L481" i="86"/>
  <c r="K481" i="86"/>
  <c r="I481" i="86"/>
  <c r="G481" i="86"/>
  <c r="E481" i="86"/>
  <c r="C481" i="86"/>
  <c r="B481" i="86"/>
  <c r="A481" i="86"/>
  <c r="Q480" i="86"/>
  <c r="P480" i="86"/>
  <c r="O480" i="86"/>
  <c r="M480" i="86"/>
  <c r="L480" i="86"/>
  <c r="K480" i="86"/>
  <c r="I480" i="86"/>
  <c r="G480" i="86"/>
  <c r="E480" i="86"/>
  <c r="C480" i="86"/>
  <c r="B480" i="86"/>
  <c r="A480" i="86"/>
  <c r="Q479" i="86"/>
  <c r="P479" i="86"/>
  <c r="O479" i="86"/>
  <c r="M479" i="86"/>
  <c r="L479" i="86"/>
  <c r="K479" i="86"/>
  <c r="I479" i="86"/>
  <c r="G479" i="86"/>
  <c r="E479" i="86"/>
  <c r="C479" i="86"/>
  <c r="B479" i="86"/>
  <c r="A479" i="86"/>
  <c r="Q478" i="86"/>
  <c r="P478" i="86"/>
  <c r="O478" i="86"/>
  <c r="M478" i="86"/>
  <c r="L478" i="86"/>
  <c r="K478" i="86"/>
  <c r="I478" i="86"/>
  <c r="G478" i="86"/>
  <c r="E478" i="86"/>
  <c r="C478" i="86"/>
  <c r="B478" i="86"/>
  <c r="A478" i="86"/>
  <c r="Q477" i="86"/>
  <c r="P477" i="86"/>
  <c r="O477" i="86"/>
  <c r="M477" i="86"/>
  <c r="L477" i="86"/>
  <c r="K477" i="86"/>
  <c r="I477" i="86"/>
  <c r="G477" i="86"/>
  <c r="E477" i="86"/>
  <c r="C477" i="86"/>
  <c r="B477" i="86"/>
  <c r="A477" i="86"/>
  <c r="Q476" i="86"/>
  <c r="P476" i="86"/>
  <c r="O476" i="86"/>
  <c r="M476" i="86"/>
  <c r="L476" i="86"/>
  <c r="K476" i="86"/>
  <c r="I476" i="86"/>
  <c r="G476" i="86"/>
  <c r="E476" i="86"/>
  <c r="C476" i="86"/>
  <c r="B476" i="86"/>
  <c r="A476" i="86"/>
  <c r="Q475" i="86"/>
  <c r="P475" i="86"/>
  <c r="O475" i="86"/>
  <c r="M475" i="86"/>
  <c r="L475" i="86"/>
  <c r="K475" i="86"/>
  <c r="I475" i="86"/>
  <c r="G475" i="86"/>
  <c r="E475" i="86"/>
  <c r="C475" i="86"/>
  <c r="B475" i="86"/>
  <c r="A475" i="86"/>
  <c r="Q474" i="86"/>
  <c r="P474" i="86"/>
  <c r="O474" i="86"/>
  <c r="M474" i="86"/>
  <c r="L474" i="86"/>
  <c r="K474" i="86"/>
  <c r="I474" i="86"/>
  <c r="G474" i="86"/>
  <c r="E474" i="86"/>
  <c r="C474" i="86"/>
  <c r="B474" i="86"/>
  <c r="A474" i="86"/>
  <c r="Q473" i="86"/>
  <c r="P473" i="86"/>
  <c r="O473" i="86"/>
  <c r="M473" i="86"/>
  <c r="L473" i="86"/>
  <c r="K473" i="86"/>
  <c r="I473" i="86"/>
  <c r="G473" i="86"/>
  <c r="E473" i="86"/>
  <c r="C473" i="86"/>
  <c r="B473" i="86"/>
  <c r="A473" i="86"/>
  <c r="Q472" i="86"/>
  <c r="P472" i="86"/>
  <c r="O472" i="86"/>
  <c r="M472" i="86"/>
  <c r="L472" i="86"/>
  <c r="K472" i="86"/>
  <c r="I472" i="86"/>
  <c r="G472" i="86"/>
  <c r="E472" i="86"/>
  <c r="C472" i="86"/>
  <c r="B472" i="86"/>
  <c r="A472" i="86"/>
  <c r="Q471" i="86"/>
  <c r="P471" i="86"/>
  <c r="O471" i="86"/>
  <c r="M471" i="86"/>
  <c r="L471" i="86"/>
  <c r="K471" i="86"/>
  <c r="I471" i="86"/>
  <c r="G471" i="86"/>
  <c r="E471" i="86"/>
  <c r="C471" i="86"/>
  <c r="B471" i="86"/>
  <c r="A471" i="86"/>
  <c r="Q470" i="86"/>
  <c r="P470" i="86"/>
  <c r="O470" i="86"/>
  <c r="M470" i="86"/>
  <c r="L470" i="86"/>
  <c r="K470" i="86"/>
  <c r="I470" i="86"/>
  <c r="G470" i="86"/>
  <c r="E470" i="86"/>
  <c r="C470" i="86"/>
  <c r="B470" i="86"/>
  <c r="A470" i="86"/>
  <c r="Q469" i="86"/>
  <c r="P469" i="86"/>
  <c r="O469" i="86"/>
  <c r="M469" i="86"/>
  <c r="L469" i="86"/>
  <c r="K469" i="86"/>
  <c r="I469" i="86"/>
  <c r="G469" i="86"/>
  <c r="E469" i="86"/>
  <c r="C469" i="86"/>
  <c r="B469" i="86"/>
  <c r="A469" i="86"/>
  <c r="Q468" i="86"/>
  <c r="P468" i="86"/>
  <c r="O468" i="86"/>
  <c r="M468" i="86"/>
  <c r="L468" i="86"/>
  <c r="K468" i="86"/>
  <c r="I468" i="86"/>
  <c r="G468" i="86"/>
  <c r="E468" i="86"/>
  <c r="C468" i="86"/>
  <c r="B468" i="86"/>
  <c r="A468" i="86"/>
  <c r="Q467" i="86"/>
  <c r="P467" i="86"/>
  <c r="O467" i="86"/>
  <c r="M467" i="86"/>
  <c r="L467" i="86"/>
  <c r="K467" i="86"/>
  <c r="I467" i="86"/>
  <c r="G467" i="86"/>
  <c r="E467" i="86"/>
  <c r="C467" i="86"/>
  <c r="B467" i="86"/>
  <c r="A467" i="86"/>
  <c r="Q466" i="86"/>
  <c r="P466" i="86"/>
  <c r="O466" i="86"/>
  <c r="M466" i="86"/>
  <c r="L466" i="86"/>
  <c r="K466" i="86"/>
  <c r="I466" i="86"/>
  <c r="G466" i="86"/>
  <c r="E466" i="86"/>
  <c r="C466" i="86"/>
  <c r="B466" i="86"/>
  <c r="A466" i="86"/>
  <c r="Q465" i="86"/>
  <c r="P465" i="86"/>
  <c r="O465" i="86"/>
  <c r="M465" i="86"/>
  <c r="L465" i="86"/>
  <c r="K465" i="86"/>
  <c r="I465" i="86"/>
  <c r="G465" i="86"/>
  <c r="E465" i="86"/>
  <c r="C465" i="86"/>
  <c r="B465" i="86"/>
  <c r="A465" i="86"/>
  <c r="Q464" i="86"/>
  <c r="P464" i="86"/>
  <c r="O464" i="86"/>
  <c r="M464" i="86"/>
  <c r="L464" i="86"/>
  <c r="K464" i="86"/>
  <c r="I464" i="86"/>
  <c r="G464" i="86"/>
  <c r="E464" i="86"/>
  <c r="C464" i="86"/>
  <c r="B464" i="86"/>
  <c r="A464" i="86"/>
  <c r="Q463" i="86"/>
  <c r="P463" i="86"/>
  <c r="O463" i="86"/>
  <c r="M463" i="86"/>
  <c r="L463" i="86"/>
  <c r="K463" i="86"/>
  <c r="I463" i="86"/>
  <c r="G463" i="86"/>
  <c r="E463" i="86"/>
  <c r="C463" i="86"/>
  <c r="B463" i="86"/>
  <c r="A463" i="86"/>
  <c r="Q462" i="86"/>
  <c r="P462" i="86"/>
  <c r="O462" i="86"/>
  <c r="M462" i="86"/>
  <c r="L462" i="86"/>
  <c r="K462" i="86"/>
  <c r="I462" i="86"/>
  <c r="G462" i="86"/>
  <c r="E462" i="86"/>
  <c r="C462" i="86"/>
  <c r="B462" i="86"/>
  <c r="A462" i="86"/>
  <c r="Q461" i="86"/>
  <c r="P461" i="86"/>
  <c r="O461" i="86"/>
  <c r="M461" i="86"/>
  <c r="L461" i="86"/>
  <c r="K461" i="86"/>
  <c r="I461" i="86"/>
  <c r="G461" i="86"/>
  <c r="E461" i="86"/>
  <c r="C461" i="86"/>
  <c r="B461" i="86"/>
  <c r="A461" i="86"/>
  <c r="Q460" i="86"/>
  <c r="P460" i="86"/>
  <c r="O460" i="86"/>
  <c r="M460" i="86"/>
  <c r="L460" i="86"/>
  <c r="K460" i="86"/>
  <c r="I460" i="86"/>
  <c r="G460" i="86"/>
  <c r="E460" i="86"/>
  <c r="C460" i="86"/>
  <c r="B460" i="86"/>
  <c r="A460" i="86"/>
  <c r="Q459" i="86"/>
  <c r="P459" i="86"/>
  <c r="O459" i="86"/>
  <c r="M459" i="86"/>
  <c r="L459" i="86"/>
  <c r="K459" i="86"/>
  <c r="I459" i="86"/>
  <c r="G459" i="86"/>
  <c r="E459" i="86"/>
  <c r="C459" i="86"/>
  <c r="B459" i="86"/>
  <c r="A459" i="86"/>
  <c r="Q458" i="86"/>
  <c r="P458" i="86"/>
  <c r="O458" i="86"/>
  <c r="M458" i="86"/>
  <c r="L458" i="86"/>
  <c r="K458" i="86"/>
  <c r="I458" i="86"/>
  <c r="G458" i="86"/>
  <c r="E458" i="86"/>
  <c r="C458" i="86"/>
  <c r="B458" i="86"/>
  <c r="A458" i="86"/>
  <c r="Q457" i="86"/>
  <c r="P457" i="86"/>
  <c r="O457" i="86"/>
  <c r="M457" i="86"/>
  <c r="L457" i="86"/>
  <c r="K457" i="86"/>
  <c r="I457" i="86"/>
  <c r="G457" i="86"/>
  <c r="E457" i="86"/>
  <c r="C457" i="86"/>
  <c r="B457" i="86"/>
  <c r="A457" i="86"/>
  <c r="Q456" i="86"/>
  <c r="P456" i="86"/>
  <c r="O456" i="86"/>
  <c r="M456" i="86"/>
  <c r="L456" i="86"/>
  <c r="K456" i="86"/>
  <c r="I456" i="86"/>
  <c r="G456" i="86"/>
  <c r="E456" i="86"/>
  <c r="C456" i="86"/>
  <c r="B456" i="86"/>
  <c r="A456" i="86"/>
  <c r="Q455" i="86"/>
  <c r="P455" i="86"/>
  <c r="O455" i="86"/>
  <c r="M455" i="86"/>
  <c r="L455" i="86"/>
  <c r="K455" i="86"/>
  <c r="I455" i="86"/>
  <c r="G455" i="86"/>
  <c r="E455" i="86"/>
  <c r="C455" i="86"/>
  <c r="B455" i="86"/>
  <c r="A455" i="86"/>
  <c r="Q454" i="86"/>
  <c r="P454" i="86"/>
  <c r="O454" i="86"/>
  <c r="M454" i="86"/>
  <c r="L454" i="86"/>
  <c r="K454" i="86"/>
  <c r="I454" i="86"/>
  <c r="G454" i="86"/>
  <c r="E454" i="86"/>
  <c r="C454" i="86"/>
  <c r="B454" i="86"/>
  <c r="A454" i="86"/>
  <c r="Q453" i="86"/>
  <c r="P453" i="86"/>
  <c r="O453" i="86"/>
  <c r="M453" i="86"/>
  <c r="L453" i="86"/>
  <c r="K453" i="86"/>
  <c r="I453" i="86"/>
  <c r="G453" i="86"/>
  <c r="E453" i="86"/>
  <c r="C453" i="86"/>
  <c r="B453" i="86"/>
  <c r="A453" i="86"/>
  <c r="Q452" i="86"/>
  <c r="P452" i="86"/>
  <c r="O452" i="86"/>
  <c r="M452" i="86"/>
  <c r="L452" i="86"/>
  <c r="K452" i="86"/>
  <c r="I452" i="86"/>
  <c r="G452" i="86"/>
  <c r="E452" i="86"/>
  <c r="C452" i="86"/>
  <c r="B452" i="86"/>
  <c r="A452" i="86"/>
  <c r="Q451" i="86"/>
  <c r="P451" i="86"/>
  <c r="O451" i="86"/>
  <c r="M451" i="86"/>
  <c r="L451" i="86"/>
  <c r="K451" i="86"/>
  <c r="I451" i="86"/>
  <c r="G451" i="86"/>
  <c r="E451" i="86"/>
  <c r="C451" i="86"/>
  <c r="B451" i="86"/>
  <c r="A451" i="86"/>
  <c r="Q450" i="86"/>
  <c r="P450" i="86"/>
  <c r="O450" i="86"/>
  <c r="M450" i="86"/>
  <c r="L450" i="86"/>
  <c r="K450" i="86"/>
  <c r="I450" i="86"/>
  <c r="G450" i="86"/>
  <c r="E450" i="86"/>
  <c r="C450" i="86"/>
  <c r="B450" i="86"/>
  <c r="A450" i="86"/>
  <c r="Q449" i="86"/>
  <c r="P449" i="86"/>
  <c r="O449" i="86"/>
  <c r="M449" i="86"/>
  <c r="L449" i="86"/>
  <c r="K449" i="86"/>
  <c r="I449" i="86"/>
  <c r="G449" i="86"/>
  <c r="E449" i="86"/>
  <c r="C449" i="86"/>
  <c r="B449" i="86"/>
  <c r="A449" i="86"/>
  <c r="Q448" i="86"/>
  <c r="P448" i="86"/>
  <c r="O448" i="86"/>
  <c r="M448" i="86"/>
  <c r="L448" i="86"/>
  <c r="K448" i="86"/>
  <c r="I448" i="86"/>
  <c r="G448" i="86"/>
  <c r="E448" i="86"/>
  <c r="C448" i="86"/>
  <c r="B448" i="86"/>
  <c r="A448" i="86"/>
  <c r="Q447" i="86"/>
  <c r="P447" i="86"/>
  <c r="O447" i="86"/>
  <c r="M447" i="86"/>
  <c r="L447" i="86"/>
  <c r="K447" i="86"/>
  <c r="I447" i="86"/>
  <c r="G447" i="86"/>
  <c r="E447" i="86"/>
  <c r="C447" i="86"/>
  <c r="B447" i="86"/>
  <c r="A447" i="86"/>
  <c r="Q446" i="86"/>
  <c r="P446" i="86"/>
  <c r="O446" i="86"/>
  <c r="M446" i="86"/>
  <c r="L446" i="86"/>
  <c r="K446" i="86"/>
  <c r="I446" i="86"/>
  <c r="G446" i="86"/>
  <c r="E446" i="86"/>
  <c r="C446" i="86"/>
  <c r="B446" i="86"/>
  <c r="A446" i="86"/>
  <c r="Q445" i="86"/>
  <c r="P445" i="86"/>
  <c r="O445" i="86"/>
  <c r="M445" i="86"/>
  <c r="L445" i="86"/>
  <c r="K445" i="86"/>
  <c r="I445" i="86"/>
  <c r="G445" i="86"/>
  <c r="E445" i="86"/>
  <c r="C445" i="86"/>
  <c r="B445" i="86"/>
  <c r="A445" i="86"/>
  <c r="Q444" i="86"/>
  <c r="P444" i="86"/>
  <c r="O444" i="86"/>
  <c r="M444" i="86"/>
  <c r="L444" i="86"/>
  <c r="K444" i="86"/>
  <c r="I444" i="86"/>
  <c r="G444" i="86"/>
  <c r="E444" i="86"/>
  <c r="C444" i="86"/>
  <c r="B444" i="86"/>
  <c r="A444" i="86"/>
  <c r="Q443" i="86"/>
  <c r="P443" i="86"/>
  <c r="O443" i="86"/>
  <c r="M443" i="86"/>
  <c r="L443" i="86"/>
  <c r="K443" i="86"/>
  <c r="I443" i="86"/>
  <c r="G443" i="86"/>
  <c r="E443" i="86"/>
  <c r="C443" i="86"/>
  <c r="B443" i="86"/>
  <c r="A443" i="86"/>
  <c r="Q442" i="86"/>
  <c r="P442" i="86"/>
  <c r="O442" i="86"/>
  <c r="M442" i="86"/>
  <c r="L442" i="86"/>
  <c r="K442" i="86"/>
  <c r="I442" i="86"/>
  <c r="G442" i="86"/>
  <c r="E442" i="86"/>
  <c r="C442" i="86"/>
  <c r="B442" i="86"/>
  <c r="A442" i="86"/>
  <c r="Q441" i="86"/>
  <c r="P441" i="86"/>
  <c r="O441" i="86"/>
  <c r="M441" i="86"/>
  <c r="L441" i="86"/>
  <c r="K441" i="86"/>
  <c r="I441" i="86"/>
  <c r="G441" i="86"/>
  <c r="E441" i="86"/>
  <c r="C441" i="86"/>
  <c r="B441" i="86"/>
  <c r="A441" i="86"/>
  <c r="Q440" i="86"/>
  <c r="P440" i="86"/>
  <c r="O440" i="86"/>
  <c r="M440" i="86"/>
  <c r="L440" i="86"/>
  <c r="K440" i="86"/>
  <c r="I440" i="86"/>
  <c r="G440" i="86"/>
  <c r="E440" i="86"/>
  <c r="C440" i="86"/>
  <c r="B440" i="86"/>
  <c r="A440" i="86"/>
  <c r="Q439" i="86"/>
  <c r="P439" i="86"/>
  <c r="O439" i="86"/>
  <c r="M439" i="86"/>
  <c r="L439" i="86"/>
  <c r="K439" i="86"/>
  <c r="I439" i="86"/>
  <c r="G439" i="86"/>
  <c r="E439" i="86"/>
  <c r="C439" i="86"/>
  <c r="B439" i="86"/>
  <c r="A439" i="86"/>
  <c r="Q438" i="86"/>
  <c r="P438" i="86"/>
  <c r="O438" i="86"/>
  <c r="M438" i="86"/>
  <c r="L438" i="86"/>
  <c r="K438" i="86"/>
  <c r="I438" i="86"/>
  <c r="G438" i="86"/>
  <c r="E438" i="86"/>
  <c r="C438" i="86"/>
  <c r="B438" i="86"/>
  <c r="A438" i="86"/>
  <c r="Q437" i="86"/>
  <c r="P437" i="86"/>
  <c r="O437" i="86"/>
  <c r="M437" i="86"/>
  <c r="L437" i="86"/>
  <c r="K437" i="86"/>
  <c r="I437" i="86"/>
  <c r="G437" i="86"/>
  <c r="E437" i="86"/>
  <c r="C437" i="86"/>
  <c r="B437" i="86"/>
  <c r="A437" i="86"/>
  <c r="Q436" i="86"/>
  <c r="P436" i="86"/>
  <c r="O436" i="86"/>
  <c r="M436" i="86"/>
  <c r="L436" i="86"/>
  <c r="K436" i="86"/>
  <c r="I436" i="86"/>
  <c r="G436" i="86"/>
  <c r="E436" i="86"/>
  <c r="C436" i="86"/>
  <c r="B436" i="86"/>
  <c r="A436" i="86"/>
  <c r="Q435" i="86"/>
  <c r="P435" i="86"/>
  <c r="O435" i="86"/>
  <c r="M435" i="86"/>
  <c r="L435" i="86"/>
  <c r="K435" i="86"/>
  <c r="I435" i="86"/>
  <c r="G435" i="86"/>
  <c r="E435" i="86"/>
  <c r="C435" i="86"/>
  <c r="B435" i="86"/>
  <c r="A435" i="86"/>
  <c r="Q434" i="86"/>
  <c r="P434" i="86"/>
  <c r="O434" i="86"/>
  <c r="M434" i="86"/>
  <c r="L434" i="86"/>
  <c r="K434" i="86"/>
  <c r="I434" i="86"/>
  <c r="G434" i="86"/>
  <c r="E434" i="86"/>
  <c r="C434" i="86"/>
  <c r="B434" i="86"/>
  <c r="A434" i="86"/>
  <c r="Q433" i="86"/>
  <c r="P433" i="86"/>
  <c r="O433" i="86"/>
  <c r="M433" i="86"/>
  <c r="L433" i="86"/>
  <c r="K433" i="86"/>
  <c r="I433" i="86"/>
  <c r="G433" i="86"/>
  <c r="E433" i="86"/>
  <c r="C433" i="86"/>
  <c r="B433" i="86"/>
  <c r="A433" i="86"/>
  <c r="Q432" i="86"/>
  <c r="P432" i="86"/>
  <c r="O432" i="86"/>
  <c r="M432" i="86"/>
  <c r="L432" i="86"/>
  <c r="K432" i="86"/>
  <c r="I432" i="86"/>
  <c r="G432" i="86"/>
  <c r="E432" i="86"/>
  <c r="C432" i="86"/>
  <c r="B432" i="86"/>
  <c r="A432" i="86"/>
  <c r="Q431" i="86"/>
  <c r="P431" i="86"/>
  <c r="O431" i="86"/>
  <c r="M431" i="86"/>
  <c r="L431" i="86"/>
  <c r="K431" i="86"/>
  <c r="I431" i="86"/>
  <c r="G431" i="86"/>
  <c r="E431" i="86"/>
  <c r="C431" i="86"/>
  <c r="B431" i="86"/>
  <c r="A431" i="86"/>
  <c r="Q430" i="86"/>
  <c r="P430" i="86"/>
  <c r="O430" i="86"/>
  <c r="M430" i="86"/>
  <c r="L430" i="86"/>
  <c r="K430" i="86"/>
  <c r="I430" i="86"/>
  <c r="G430" i="86"/>
  <c r="E430" i="86"/>
  <c r="C430" i="86"/>
  <c r="B430" i="86"/>
  <c r="A430" i="86"/>
  <c r="Q429" i="86"/>
  <c r="P429" i="86"/>
  <c r="O429" i="86"/>
  <c r="M429" i="86"/>
  <c r="L429" i="86"/>
  <c r="K429" i="86"/>
  <c r="I429" i="86"/>
  <c r="G429" i="86"/>
  <c r="E429" i="86"/>
  <c r="C429" i="86"/>
  <c r="B429" i="86"/>
  <c r="A429" i="86"/>
  <c r="Q428" i="86"/>
  <c r="P428" i="86"/>
  <c r="O428" i="86"/>
  <c r="M428" i="86"/>
  <c r="L428" i="86"/>
  <c r="K428" i="86"/>
  <c r="I428" i="86"/>
  <c r="G428" i="86"/>
  <c r="E428" i="86"/>
  <c r="C428" i="86"/>
  <c r="B428" i="86"/>
  <c r="A428" i="86"/>
  <c r="Q427" i="86"/>
  <c r="P427" i="86"/>
  <c r="O427" i="86"/>
  <c r="M427" i="86"/>
  <c r="L427" i="86"/>
  <c r="K427" i="86"/>
  <c r="I427" i="86"/>
  <c r="G427" i="86"/>
  <c r="E427" i="86"/>
  <c r="C427" i="86"/>
  <c r="B427" i="86"/>
  <c r="A427" i="86"/>
  <c r="Q426" i="86"/>
  <c r="P426" i="86"/>
  <c r="O426" i="86"/>
  <c r="M426" i="86"/>
  <c r="L426" i="86"/>
  <c r="K426" i="86"/>
  <c r="I426" i="86"/>
  <c r="G426" i="86"/>
  <c r="E426" i="86"/>
  <c r="C426" i="86"/>
  <c r="B426" i="86"/>
  <c r="A426" i="86"/>
  <c r="Q425" i="86"/>
  <c r="P425" i="86"/>
  <c r="O425" i="86"/>
  <c r="M425" i="86"/>
  <c r="L425" i="86"/>
  <c r="K425" i="86"/>
  <c r="I425" i="86"/>
  <c r="G425" i="86"/>
  <c r="E425" i="86"/>
  <c r="C425" i="86"/>
  <c r="B425" i="86"/>
  <c r="A425" i="86"/>
  <c r="Q424" i="86"/>
  <c r="P424" i="86"/>
  <c r="O424" i="86"/>
  <c r="M424" i="86"/>
  <c r="L424" i="86"/>
  <c r="K424" i="86"/>
  <c r="I424" i="86"/>
  <c r="G424" i="86"/>
  <c r="E424" i="86"/>
  <c r="C424" i="86"/>
  <c r="B424" i="86"/>
  <c r="A424" i="86"/>
  <c r="Q423" i="86"/>
  <c r="P423" i="86"/>
  <c r="O423" i="86"/>
  <c r="M423" i="86"/>
  <c r="L423" i="86"/>
  <c r="K423" i="86"/>
  <c r="I423" i="86"/>
  <c r="G423" i="86"/>
  <c r="E423" i="86"/>
  <c r="C423" i="86"/>
  <c r="B423" i="86"/>
  <c r="A423" i="86"/>
  <c r="Q422" i="86"/>
  <c r="P422" i="86"/>
  <c r="O422" i="86"/>
  <c r="M422" i="86"/>
  <c r="L422" i="86"/>
  <c r="K422" i="86"/>
  <c r="I422" i="86"/>
  <c r="G422" i="86"/>
  <c r="E422" i="86"/>
  <c r="C422" i="86"/>
  <c r="B422" i="86"/>
  <c r="A422" i="86"/>
  <c r="Q421" i="86"/>
  <c r="P421" i="86"/>
  <c r="O421" i="86"/>
  <c r="M421" i="86"/>
  <c r="L421" i="86"/>
  <c r="K421" i="86"/>
  <c r="I421" i="86"/>
  <c r="G421" i="86"/>
  <c r="E421" i="86"/>
  <c r="C421" i="86"/>
  <c r="B421" i="86"/>
  <c r="A421" i="86"/>
  <c r="Q420" i="86"/>
  <c r="P420" i="86"/>
  <c r="O420" i="86"/>
  <c r="M420" i="86"/>
  <c r="L420" i="86"/>
  <c r="K420" i="86"/>
  <c r="I420" i="86"/>
  <c r="G420" i="86"/>
  <c r="E420" i="86"/>
  <c r="C420" i="86"/>
  <c r="B420" i="86"/>
  <c r="A420" i="86"/>
  <c r="Q419" i="86"/>
  <c r="P419" i="86"/>
  <c r="O419" i="86"/>
  <c r="M419" i="86"/>
  <c r="L419" i="86"/>
  <c r="K419" i="86"/>
  <c r="I419" i="86"/>
  <c r="G419" i="86"/>
  <c r="E419" i="86"/>
  <c r="C419" i="86"/>
  <c r="B419" i="86"/>
  <c r="A419" i="86"/>
  <c r="Q418" i="86"/>
  <c r="P418" i="86"/>
  <c r="O418" i="86"/>
  <c r="M418" i="86"/>
  <c r="L418" i="86"/>
  <c r="K418" i="86"/>
  <c r="I418" i="86"/>
  <c r="G418" i="86"/>
  <c r="E418" i="86"/>
  <c r="C418" i="86"/>
  <c r="B418" i="86"/>
  <c r="A418" i="86"/>
  <c r="Q417" i="86"/>
  <c r="P417" i="86"/>
  <c r="O417" i="86"/>
  <c r="M417" i="86"/>
  <c r="L417" i="86"/>
  <c r="K417" i="86"/>
  <c r="I417" i="86"/>
  <c r="G417" i="86"/>
  <c r="E417" i="86"/>
  <c r="C417" i="86"/>
  <c r="B417" i="86"/>
  <c r="A417" i="86"/>
  <c r="Q416" i="86"/>
  <c r="P416" i="86"/>
  <c r="O416" i="86"/>
  <c r="M416" i="86"/>
  <c r="L416" i="86"/>
  <c r="K416" i="86"/>
  <c r="I416" i="86"/>
  <c r="G416" i="86"/>
  <c r="E416" i="86"/>
  <c r="C416" i="86"/>
  <c r="B416" i="86"/>
  <c r="A416" i="86"/>
  <c r="Q415" i="86"/>
  <c r="P415" i="86"/>
  <c r="O415" i="86"/>
  <c r="M415" i="86"/>
  <c r="L415" i="86"/>
  <c r="K415" i="86"/>
  <c r="I415" i="86"/>
  <c r="G415" i="86"/>
  <c r="E415" i="86"/>
  <c r="C415" i="86"/>
  <c r="B415" i="86"/>
  <c r="A415" i="86"/>
  <c r="Q414" i="86"/>
  <c r="P414" i="86"/>
  <c r="O414" i="86"/>
  <c r="M414" i="86"/>
  <c r="L414" i="86"/>
  <c r="K414" i="86"/>
  <c r="I414" i="86"/>
  <c r="G414" i="86"/>
  <c r="E414" i="86"/>
  <c r="C414" i="86"/>
  <c r="B414" i="86"/>
  <c r="A414" i="86"/>
  <c r="Q413" i="86"/>
  <c r="P413" i="86"/>
  <c r="O413" i="86"/>
  <c r="M413" i="86"/>
  <c r="L413" i="86"/>
  <c r="K413" i="86"/>
  <c r="I413" i="86"/>
  <c r="G413" i="86"/>
  <c r="E413" i="86"/>
  <c r="C413" i="86"/>
  <c r="B413" i="86"/>
  <c r="A413" i="86"/>
  <c r="Q412" i="86"/>
  <c r="P412" i="86"/>
  <c r="O412" i="86"/>
  <c r="M412" i="86"/>
  <c r="L412" i="86"/>
  <c r="K412" i="86"/>
  <c r="I412" i="86"/>
  <c r="G412" i="86"/>
  <c r="E412" i="86"/>
  <c r="C412" i="86"/>
  <c r="B412" i="86"/>
  <c r="A412" i="86"/>
  <c r="Q411" i="86"/>
  <c r="P411" i="86"/>
  <c r="O411" i="86"/>
  <c r="M411" i="86"/>
  <c r="L411" i="86"/>
  <c r="K411" i="86"/>
  <c r="I411" i="86"/>
  <c r="G411" i="86"/>
  <c r="E411" i="86"/>
  <c r="C411" i="86"/>
  <c r="B411" i="86"/>
  <c r="A411" i="86"/>
  <c r="Q410" i="86"/>
  <c r="P410" i="86"/>
  <c r="O410" i="86"/>
  <c r="M410" i="86"/>
  <c r="L410" i="86"/>
  <c r="K410" i="86"/>
  <c r="I410" i="86"/>
  <c r="G410" i="86"/>
  <c r="E410" i="86"/>
  <c r="C410" i="86"/>
  <c r="B410" i="86"/>
  <c r="A410" i="86"/>
  <c r="Q409" i="86"/>
  <c r="P409" i="86"/>
  <c r="O409" i="86"/>
  <c r="M409" i="86"/>
  <c r="L409" i="86"/>
  <c r="K409" i="86"/>
  <c r="I409" i="86"/>
  <c r="G409" i="86"/>
  <c r="E409" i="86"/>
  <c r="C409" i="86"/>
  <c r="B409" i="86"/>
  <c r="A409" i="86"/>
  <c r="Q408" i="86"/>
  <c r="P408" i="86"/>
  <c r="O408" i="86"/>
  <c r="M408" i="86"/>
  <c r="L408" i="86"/>
  <c r="K408" i="86"/>
  <c r="I408" i="86"/>
  <c r="G408" i="86"/>
  <c r="E408" i="86"/>
  <c r="C408" i="86"/>
  <c r="B408" i="86"/>
  <c r="A408" i="86"/>
  <c r="Q407" i="86"/>
  <c r="P407" i="86"/>
  <c r="O407" i="86"/>
  <c r="M407" i="86"/>
  <c r="L407" i="86"/>
  <c r="K407" i="86"/>
  <c r="I407" i="86"/>
  <c r="G407" i="86"/>
  <c r="E407" i="86"/>
  <c r="C407" i="86"/>
  <c r="B407" i="86"/>
  <c r="A407" i="86"/>
  <c r="Q406" i="86"/>
  <c r="P406" i="86"/>
  <c r="O406" i="86"/>
  <c r="M406" i="86"/>
  <c r="L406" i="86"/>
  <c r="K406" i="86"/>
  <c r="I406" i="86"/>
  <c r="G406" i="86"/>
  <c r="E406" i="86"/>
  <c r="C406" i="86"/>
  <c r="B406" i="86"/>
  <c r="A406" i="86"/>
  <c r="Q405" i="86"/>
  <c r="P405" i="86"/>
  <c r="O405" i="86"/>
  <c r="M405" i="86"/>
  <c r="L405" i="86"/>
  <c r="K405" i="86"/>
  <c r="I405" i="86"/>
  <c r="G405" i="86"/>
  <c r="E405" i="86"/>
  <c r="C405" i="86"/>
  <c r="B405" i="86"/>
  <c r="A405" i="86"/>
  <c r="Q404" i="86"/>
  <c r="P404" i="86"/>
  <c r="O404" i="86"/>
  <c r="M404" i="86"/>
  <c r="L404" i="86"/>
  <c r="K404" i="86"/>
  <c r="I404" i="86"/>
  <c r="G404" i="86"/>
  <c r="E404" i="86"/>
  <c r="C404" i="86"/>
  <c r="B404" i="86"/>
  <c r="A404" i="86"/>
  <c r="Q403" i="86"/>
  <c r="P403" i="86"/>
  <c r="O403" i="86"/>
  <c r="M403" i="86"/>
  <c r="L403" i="86"/>
  <c r="K403" i="86"/>
  <c r="I403" i="86"/>
  <c r="G403" i="86"/>
  <c r="E403" i="86"/>
  <c r="C403" i="86"/>
  <c r="B403" i="86"/>
  <c r="A403" i="86"/>
  <c r="Q402" i="86"/>
  <c r="P402" i="86"/>
  <c r="O402" i="86"/>
  <c r="M402" i="86"/>
  <c r="L402" i="86"/>
  <c r="K402" i="86"/>
  <c r="I402" i="86"/>
  <c r="G402" i="86"/>
  <c r="E402" i="86"/>
  <c r="C402" i="86"/>
  <c r="B402" i="86"/>
  <c r="A402" i="86"/>
  <c r="Q401" i="86"/>
  <c r="P401" i="86"/>
  <c r="O401" i="86"/>
  <c r="M401" i="86"/>
  <c r="L401" i="86"/>
  <c r="K401" i="86"/>
  <c r="I401" i="86"/>
  <c r="G401" i="86"/>
  <c r="E401" i="86"/>
  <c r="C401" i="86"/>
  <c r="B401" i="86"/>
  <c r="A401" i="86"/>
  <c r="Q400" i="86"/>
  <c r="P400" i="86"/>
  <c r="O400" i="86"/>
  <c r="M400" i="86"/>
  <c r="L400" i="86"/>
  <c r="K400" i="86"/>
  <c r="I400" i="86"/>
  <c r="G400" i="86"/>
  <c r="E400" i="86"/>
  <c r="C400" i="86"/>
  <c r="B400" i="86"/>
  <c r="A400" i="86"/>
  <c r="Q399" i="86"/>
  <c r="P399" i="86"/>
  <c r="O399" i="86"/>
  <c r="M399" i="86"/>
  <c r="L399" i="86"/>
  <c r="K399" i="86"/>
  <c r="I399" i="86"/>
  <c r="G399" i="86"/>
  <c r="E399" i="86"/>
  <c r="C399" i="86"/>
  <c r="B399" i="86"/>
  <c r="A399" i="86"/>
  <c r="Q398" i="86"/>
  <c r="P398" i="86"/>
  <c r="O398" i="86"/>
  <c r="M398" i="86"/>
  <c r="L398" i="86"/>
  <c r="K398" i="86"/>
  <c r="I398" i="86"/>
  <c r="G398" i="86"/>
  <c r="E398" i="86"/>
  <c r="C398" i="86"/>
  <c r="B398" i="86"/>
  <c r="A398" i="86"/>
  <c r="Q397" i="86"/>
  <c r="P397" i="86"/>
  <c r="O397" i="86"/>
  <c r="M397" i="86"/>
  <c r="L397" i="86"/>
  <c r="K397" i="86"/>
  <c r="I397" i="86"/>
  <c r="G397" i="86"/>
  <c r="E397" i="86"/>
  <c r="C397" i="86"/>
  <c r="B397" i="86"/>
  <c r="A397" i="86"/>
  <c r="Q396" i="86"/>
  <c r="P396" i="86"/>
  <c r="O396" i="86"/>
  <c r="M396" i="86"/>
  <c r="L396" i="86"/>
  <c r="K396" i="86"/>
  <c r="I396" i="86"/>
  <c r="G396" i="86"/>
  <c r="E396" i="86"/>
  <c r="C396" i="86"/>
  <c r="B396" i="86"/>
  <c r="A396" i="86"/>
  <c r="Q395" i="86"/>
  <c r="P395" i="86"/>
  <c r="O395" i="86"/>
  <c r="M395" i="86"/>
  <c r="L395" i="86"/>
  <c r="K395" i="86"/>
  <c r="I395" i="86"/>
  <c r="G395" i="86"/>
  <c r="E395" i="86"/>
  <c r="C395" i="86"/>
  <c r="B395" i="86"/>
  <c r="A395" i="86"/>
  <c r="Q394" i="86"/>
  <c r="P394" i="86"/>
  <c r="O394" i="86"/>
  <c r="M394" i="86"/>
  <c r="L394" i="86"/>
  <c r="K394" i="86"/>
  <c r="I394" i="86"/>
  <c r="G394" i="86"/>
  <c r="E394" i="86"/>
  <c r="C394" i="86"/>
  <c r="B394" i="86"/>
  <c r="A394" i="86"/>
  <c r="Q393" i="86"/>
  <c r="P393" i="86"/>
  <c r="O393" i="86"/>
  <c r="M393" i="86"/>
  <c r="L393" i="86"/>
  <c r="K393" i="86"/>
  <c r="I393" i="86"/>
  <c r="G393" i="86"/>
  <c r="E393" i="86"/>
  <c r="C393" i="86"/>
  <c r="B393" i="86"/>
  <c r="A393" i="86"/>
  <c r="Q392" i="86"/>
  <c r="P392" i="86"/>
  <c r="O392" i="86"/>
  <c r="M392" i="86"/>
  <c r="L392" i="86"/>
  <c r="K392" i="86"/>
  <c r="I392" i="86"/>
  <c r="G392" i="86"/>
  <c r="E392" i="86"/>
  <c r="C392" i="86"/>
  <c r="B392" i="86"/>
  <c r="A392" i="86"/>
  <c r="Q391" i="86"/>
  <c r="P391" i="86"/>
  <c r="O391" i="86"/>
  <c r="M391" i="86"/>
  <c r="L391" i="86"/>
  <c r="K391" i="86"/>
  <c r="I391" i="86"/>
  <c r="G391" i="86"/>
  <c r="E391" i="86"/>
  <c r="C391" i="86"/>
  <c r="B391" i="86"/>
  <c r="A391" i="86"/>
  <c r="Q390" i="86"/>
  <c r="P390" i="86"/>
  <c r="O390" i="86"/>
  <c r="M390" i="86"/>
  <c r="L390" i="86"/>
  <c r="K390" i="86"/>
  <c r="I390" i="86"/>
  <c r="G390" i="86"/>
  <c r="E390" i="86"/>
  <c r="C390" i="86"/>
  <c r="B390" i="86"/>
  <c r="A390" i="86"/>
  <c r="Q389" i="86"/>
  <c r="P389" i="86"/>
  <c r="O389" i="86"/>
  <c r="M389" i="86"/>
  <c r="L389" i="86"/>
  <c r="K389" i="86"/>
  <c r="I389" i="86"/>
  <c r="G389" i="86"/>
  <c r="E389" i="86"/>
  <c r="C389" i="86"/>
  <c r="B389" i="86"/>
  <c r="A389" i="86"/>
  <c r="Q388" i="86"/>
  <c r="P388" i="86"/>
  <c r="O388" i="86"/>
  <c r="M388" i="86"/>
  <c r="L388" i="86"/>
  <c r="K388" i="86"/>
  <c r="I388" i="86"/>
  <c r="G388" i="86"/>
  <c r="E388" i="86"/>
  <c r="C388" i="86"/>
  <c r="B388" i="86"/>
  <c r="A388" i="86"/>
  <c r="Q387" i="86"/>
  <c r="P387" i="86"/>
  <c r="O387" i="86"/>
  <c r="M387" i="86"/>
  <c r="L387" i="86"/>
  <c r="K387" i="86"/>
  <c r="I387" i="86"/>
  <c r="G387" i="86"/>
  <c r="E387" i="86"/>
  <c r="C387" i="86"/>
  <c r="B387" i="86"/>
  <c r="A387" i="86"/>
  <c r="Q386" i="86"/>
  <c r="P386" i="86"/>
  <c r="O386" i="86"/>
  <c r="M386" i="86"/>
  <c r="L386" i="86"/>
  <c r="K386" i="86"/>
  <c r="I386" i="86"/>
  <c r="G386" i="86"/>
  <c r="E386" i="86"/>
  <c r="C386" i="86"/>
  <c r="B386" i="86"/>
  <c r="A386" i="86"/>
  <c r="Q385" i="86"/>
  <c r="P385" i="86"/>
  <c r="O385" i="86"/>
  <c r="M385" i="86"/>
  <c r="L385" i="86"/>
  <c r="K385" i="86"/>
  <c r="I385" i="86"/>
  <c r="G385" i="86"/>
  <c r="E385" i="86"/>
  <c r="C385" i="86"/>
  <c r="B385" i="86"/>
  <c r="A385" i="86"/>
  <c r="Q384" i="86"/>
  <c r="P384" i="86"/>
  <c r="O384" i="86"/>
  <c r="M384" i="86"/>
  <c r="L384" i="86"/>
  <c r="K384" i="86"/>
  <c r="I384" i="86"/>
  <c r="G384" i="86"/>
  <c r="E384" i="86"/>
  <c r="C384" i="86"/>
  <c r="B384" i="86"/>
  <c r="A384" i="86"/>
  <c r="Q383" i="86"/>
  <c r="P383" i="86"/>
  <c r="O383" i="86"/>
  <c r="M383" i="86"/>
  <c r="L383" i="86"/>
  <c r="K383" i="86"/>
  <c r="I383" i="86"/>
  <c r="G383" i="86"/>
  <c r="E383" i="86"/>
  <c r="C383" i="86"/>
  <c r="B383" i="86"/>
  <c r="A383" i="86"/>
  <c r="Q382" i="86"/>
  <c r="P382" i="86"/>
  <c r="O382" i="86"/>
  <c r="M382" i="86"/>
  <c r="L382" i="86"/>
  <c r="K382" i="86"/>
  <c r="I382" i="86"/>
  <c r="G382" i="86"/>
  <c r="E382" i="86"/>
  <c r="C382" i="86"/>
  <c r="B382" i="86"/>
  <c r="A382" i="86"/>
  <c r="Q381" i="86"/>
  <c r="P381" i="86"/>
  <c r="O381" i="86"/>
  <c r="M381" i="86"/>
  <c r="L381" i="86"/>
  <c r="K381" i="86"/>
  <c r="I381" i="86"/>
  <c r="G381" i="86"/>
  <c r="E381" i="86"/>
  <c r="C381" i="86"/>
  <c r="B381" i="86"/>
  <c r="A381" i="86"/>
  <c r="Q380" i="86"/>
  <c r="P380" i="86"/>
  <c r="O380" i="86"/>
  <c r="M380" i="86"/>
  <c r="L380" i="86"/>
  <c r="K380" i="86"/>
  <c r="I380" i="86"/>
  <c r="G380" i="86"/>
  <c r="E380" i="86"/>
  <c r="C380" i="86"/>
  <c r="B380" i="86"/>
  <c r="A380" i="86"/>
  <c r="Q379" i="86"/>
  <c r="P379" i="86"/>
  <c r="O379" i="86"/>
  <c r="M379" i="86"/>
  <c r="L379" i="86"/>
  <c r="K379" i="86"/>
  <c r="I379" i="86"/>
  <c r="G379" i="86"/>
  <c r="E379" i="86"/>
  <c r="C379" i="86"/>
  <c r="B379" i="86"/>
  <c r="A379" i="86"/>
  <c r="Q378" i="86"/>
  <c r="P378" i="86"/>
  <c r="O378" i="86"/>
  <c r="M378" i="86"/>
  <c r="L378" i="86"/>
  <c r="K378" i="86"/>
  <c r="I378" i="86"/>
  <c r="G378" i="86"/>
  <c r="E378" i="86"/>
  <c r="C378" i="86"/>
  <c r="B378" i="86"/>
  <c r="A378" i="86"/>
  <c r="Q377" i="86"/>
  <c r="P377" i="86"/>
  <c r="O377" i="86"/>
  <c r="M377" i="86"/>
  <c r="L377" i="86"/>
  <c r="K377" i="86"/>
  <c r="I377" i="86"/>
  <c r="G377" i="86"/>
  <c r="E377" i="86"/>
  <c r="C377" i="86"/>
  <c r="B377" i="86"/>
  <c r="A377" i="86"/>
  <c r="Q376" i="86"/>
  <c r="P376" i="86"/>
  <c r="O376" i="86"/>
  <c r="M376" i="86"/>
  <c r="L376" i="86"/>
  <c r="K376" i="86"/>
  <c r="I376" i="86"/>
  <c r="G376" i="86"/>
  <c r="E376" i="86"/>
  <c r="C376" i="86"/>
  <c r="B376" i="86"/>
  <c r="A376" i="86"/>
  <c r="Q375" i="86"/>
  <c r="P375" i="86"/>
  <c r="O375" i="86"/>
  <c r="M375" i="86"/>
  <c r="L375" i="86"/>
  <c r="K375" i="86"/>
  <c r="I375" i="86"/>
  <c r="G375" i="86"/>
  <c r="E375" i="86"/>
  <c r="C375" i="86"/>
  <c r="B375" i="86"/>
  <c r="A375" i="86"/>
  <c r="Q374" i="86"/>
  <c r="P374" i="86"/>
  <c r="O374" i="86"/>
  <c r="M374" i="86"/>
  <c r="L374" i="86"/>
  <c r="K374" i="86"/>
  <c r="I374" i="86"/>
  <c r="G374" i="86"/>
  <c r="E374" i="86"/>
  <c r="C374" i="86"/>
  <c r="B374" i="86"/>
  <c r="A374" i="86"/>
  <c r="Q373" i="86"/>
  <c r="P373" i="86"/>
  <c r="O373" i="86"/>
  <c r="M373" i="86"/>
  <c r="L373" i="86"/>
  <c r="K373" i="86"/>
  <c r="I373" i="86"/>
  <c r="G373" i="86"/>
  <c r="E373" i="86"/>
  <c r="C373" i="86"/>
  <c r="B373" i="86"/>
  <c r="A373" i="86"/>
  <c r="Q372" i="86"/>
  <c r="P372" i="86"/>
  <c r="O372" i="86"/>
  <c r="M372" i="86"/>
  <c r="L372" i="86"/>
  <c r="K372" i="86"/>
  <c r="I372" i="86"/>
  <c r="G372" i="86"/>
  <c r="E372" i="86"/>
  <c r="C372" i="86"/>
  <c r="B372" i="86"/>
  <c r="A372" i="86"/>
  <c r="Q371" i="86"/>
  <c r="P371" i="86"/>
  <c r="O371" i="86"/>
  <c r="M371" i="86"/>
  <c r="L371" i="86"/>
  <c r="K371" i="86"/>
  <c r="I371" i="86"/>
  <c r="G371" i="86"/>
  <c r="E371" i="86"/>
  <c r="C371" i="86"/>
  <c r="B371" i="86"/>
  <c r="A371" i="86"/>
  <c r="Q370" i="86"/>
  <c r="P370" i="86"/>
  <c r="O370" i="86"/>
  <c r="M370" i="86"/>
  <c r="L370" i="86"/>
  <c r="K370" i="86"/>
  <c r="I370" i="86"/>
  <c r="G370" i="86"/>
  <c r="E370" i="86"/>
  <c r="C370" i="86"/>
  <c r="B370" i="86"/>
  <c r="A370" i="86"/>
  <c r="Q369" i="86"/>
  <c r="P369" i="86"/>
  <c r="O369" i="86"/>
  <c r="M369" i="86"/>
  <c r="L369" i="86"/>
  <c r="K369" i="86"/>
  <c r="I369" i="86"/>
  <c r="G369" i="86"/>
  <c r="E369" i="86"/>
  <c r="C369" i="86"/>
  <c r="B369" i="86"/>
  <c r="A369" i="86"/>
  <c r="Q368" i="86"/>
  <c r="P368" i="86"/>
  <c r="O368" i="86"/>
  <c r="M368" i="86"/>
  <c r="L368" i="86"/>
  <c r="K368" i="86"/>
  <c r="I368" i="86"/>
  <c r="G368" i="86"/>
  <c r="E368" i="86"/>
  <c r="C368" i="86"/>
  <c r="B368" i="86"/>
  <c r="A368" i="86"/>
  <c r="Q367" i="86"/>
  <c r="P367" i="86"/>
  <c r="O367" i="86"/>
  <c r="M367" i="86"/>
  <c r="L367" i="86"/>
  <c r="K367" i="86"/>
  <c r="I367" i="86"/>
  <c r="G367" i="86"/>
  <c r="E367" i="86"/>
  <c r="C367" i="86"/>
  <c r="B367" i="86"/>
  <c r="A367" i="86"/>
  <c r="Q366" i="86"/>
  <c r="P366" i="86"/>
  <c r="O366" i="86"/>
  <c r="M366" i="86"/>
  <c r="L366" i="86"/>
  <c r="K366" i="86"/>
  <c r="I366" i="86"/>
  <c r="G366" i="86"/>
  <c r="E366" i="86"/>
  <c r="C366" i="86"/>
  <c r="B366" i="86"/>
  <c r="A366" i="86"/>
  <c r="Q365" i="86"/>
  <c r="P365" i="86"/>
  <c r="O365" i="86"/>
  <c r="M365" i="86"/>
  <c r="L365" i="86"/>
  <c r="K365" i="86"/>
  <c r="I365" i="86"/>
  <c r="G365" i="86"/>
  <c r="E365" i="86"/>
  <c r="C365" i="86"/>
  <c r="B365" i="86"/>
  <c r="A365" i="86"/>
  <c r="Q364" i="86"/>
  <c r="P364" i="86"/>
  <c r="O364" i="86"/>
  <c r="M364" i="86"/>
  <c r="L364" i="86"/>
  <c r="K364" i="86"/>
  <c r="I364" i="86"/>
  <c r="G364" i="86"/>
  <c r="E364" i="86"/>
  <c r="C364" i="86"/>
  <c r="B364" i="86"/>
  <c r="A364" i="86"/>
  <c r="Q363" i="86"/>
  <c r="P363" i="86"/>
  <c r="O363" i="86"/>
  <c r="M363" i="86"/>
  <c r="L363" i="86"/>
  <c r="K363" i="86"/>
  <c r="I363" i="86"/>
  <c r="G363" i="86"/>
  <c r="E363" i="86"/>
  <c r="C363" i="86"/>
  <c r="B363" i="86"/>
  <c r="A363" i="86"/>
  <c r="Q362" i="86"/>
  <c r="P362" i="86"/>
  <c r="O362" i="86"/>
  <c r="M362" i="86"/>
  <c r="L362" i="86"/>
  <c r="K362" i="86"/>
  <c r="I362" i="86"/>
  <c r="G362" i="86"/>
  <c r="E362" i="86"/>
  <c r="C362" i="86"/>
  <c r="B362" i="86"/>
  <c r="A362" i="86"/>
  <c r="Q361" i="86"/>
  <c r="P361" i="86"/>
  <c r="O361" i="86"/>
  <c r="M361" i="86"/>
  <c r="L361" i="86"/>
  <c r="K361" i="86"/>
  <c r="I361" i="86"/>
  <c r="G361" i="86"/>
  <c r="E361" i="86"/>
  <c r="C361" i="86"/>
  <c r="B361" i="86"/>
  <c r="A361" i="86"/>
  <c r="Q360" i="86"/>
  <c r="P360" i="86"/>
  <c r="O360" i="86"/>
  <c r="M360" i="86"/>
  <c r="L360" i="86"/>
  <c r="K360" i="86"/>
  <c r="I360" i="86"/>
  <c r="G360" i="86"/>
  <c r="E360" i="86"/>
  <c r="C360" i="86"/>
  <c r="B360" i="86"/>
  <c r="A360" i="86"/>
  <c r="Q359" i="86"/>
  <c r="P359" i="86"/>
  <c r="O359" i="86"/>
  <c r="M359" i="86"/>
  <c r="L359" i="86"/>
  <c r="K359" i="86"/>
  <c r="I359" i="86"/>
  <c r="G359" i="86"/>
  <c r="E359" i="86"/>
  <c r="C359" i="86"/>
  <c r="B359" i="86"/>
  <c r="A359" i="86"/>
  <c r="Q358" i="86"/>
  <c r="P358" i="86"/>
  <c r="O358" i="86"/>
  <c r="M358" i="86"/>
  <c r="L358" i="86"/>
  <c r="K358" i="86"/>
  <c r="I358" i="86"/>
  <c r="G358" i="86"/>
  <c r="E358" i="86"/>
  <c r="C358" i="86"/>
  <c r="B358" i="86"/>
  <c r="A358" i="86"/>
  <c r="Q357" i="86"/>
  <c r="P357" i="86"/>
  <c r="O357" i="86"/>
  <c r="M357" i="86"/>
  <c r="L357" i="86"/>
  <c r="K357" i="86"/>
  <c r="I357" i="86"/>
  <c r="G357" i="86"/>
  <c r="E357" i="86"/>
  <c r="C357" i="86"/>
  <c r="B357" i="86"/>
  <c r="A357" i="86"/>
  <c r="Q356" i="86"/>
  <c r="P356" i="86"/>
  <c r="O356" i="86"/>
  <c r="M356" i="86"/>
  <c r="L356" i="86"/>
  <c r="K356" i="86"/>
  <c r="I356" i="86"/>
  <c r="G356" i="86"/>
  <c r="E356" i="86"/>
  <c r="C356" i="86"/>
  <c r="B356" i="86"/>
  <c r="A356" i="86"/>
  <c r="Q355" i="86"/>
  <c r="P355" i="86"/>
  <c r="O355" i="86"/>
  <c r="M355" i="86"/>
  <c r="L355" i="86"/>
  <c r="K355" i="86"/>
  <c r="I355" i="86"/>
  <c r="G355" i="86"/>
  <c r="E355" i="86"/>
  <c r="C355" i="86"/>
  <c r="B355" i="86"/>
  <c r="A355" i="86"/>
  <c r="Q354" i="86"/>
  <c r="P354" i="86"/>
  <c r="O354" i="86"/>
  <c r="M354" i="86"/>
  <c r="L354" i="86"/>
  <c r="K354" i="86"/>
  <c r="I354" i="86"/>
  <c r="G354" i="86"/>
  <c r="E354" i="86"/>
  <c r="C354" i="86"/>
  <c r="B354" i="86"/>
  <c r="A354" i="86"/>
  <c r="Q353" i="86"/>
  <c r="P353" i="86"/>
  <c r="O353" i="86"/>
  <c r="M353" i="86"/>
  <c r="L353" i="86"/>
  <c r="K353" i="86"/>
  <c r="I353" i="86"/>
  <c r="G353" i="86"/>
  <c r="E353" i="86"/>
  <c r="C353" i="86"/>
  <c r="B353" i="86"/>
  <c r="A353" i="86"/>
  <c r="Q352" i="86"/>
  <c r="P352" i="86"/>
  <c r="O352" i="86"/>
  <c r="M352" i="86"/>
  <c r="L352" i="86"/>
  <c r="K352" i="86"/>
  <c r="I352" i="86"/>
  <c r="G352" i="86"/>
  <c r="E352" i="86"/>
  <c r="C352" i="86"/>
  <c r="B352" i="86"/>
  <c r="A352" i="86"/>
  <c r="Q351" i="86"/>
  <c r="P351" i="86"/>
  <c r="O351" i="86"/>
  <c r="M351" i="86"/>
  <c r="L351" i="86"/>
  <c r="K351" i="86"/>
  <c r="I351" i="86"/>
  <c r="G351" i="86"/>
  <c r="E351" i="86"/>
  <c r="C351" i="86"/>
  <c r="B351" i="86"/>
  <c r="A351" i="86"/>
  <c r="Q350" i="86"/>
  <c r="P350" i="86"/>
  <c r="O350" i="86"/>
  <c r="M350" i="86"/>
  <c r="L350" i="86"/>
  <c r="K350" i="86"/>
  <c r="I350" i="86"/>
  <c r="G350" i="86"/>
  <c r="E350" i="86"/>
  <c r="C350" i="86"/>
  <c r="B350" i="86"/>
  <c r="A350" i="86"/>
  <c r="Q349" i="86"/>
  <c r="P349" i="86"/>
  <c r="O349" i="86"/>
  <c r="M349" i="86"/>
  <c r="L349" i="86"/>
  <c r="K349" i="86"/>
  <c r="I349" i="86"/>
  <c r="G349" i="86"/>
  <c r="E349" i="86"/>
  <c r="C349" i="86"/>
  <c r="B349" i="86"/>
  <c r="A349" i="86"/>
  <c r="Q348" i="86"/>
  <c r="P348" i="86"/>
  <c r="O348" i="86"/>
  <c r="M348" i="86"/>
  <c r="L348" i="86"/>
  <c r="K348" i="86"/>
  <c r="I348" i="86"/>
  <c r="G348" i="86"/>
  <c r="E348" i="86"/>
  <c r="C348" i="86"/>
  <c r="B348" i="86"/>
  <c r="A348" i="86"/>
  <c r="Q347" i="86"/>
  <c r="P347" i="86"/>
  <c r="O347" i="86"/>
  <c r="M347" i="86"/>
  <c r="L347" i="86"/>
  <c r="K347" i="86"/>
  <c r="I347" i="86"/>
  <c r="G347" i="86"/>
  <c r="E347" i="86"/>
  <c r="C347" i="86"/>
  <c r="B347" i="86"/>
  <c r="A347" i="86"/>
  <c r="Q346" i="86"/>
  <c r="P346" i="86"/>
  <c r="O346" i="86"/>
  <c r="M346" i="86"/>
  <c r="L346" i="86"/>
  <c r="K346" i="86"/>
  <c r="I346" i="86"/>
  <c r="G346" i="86"/>
  <c r="E346" i="86"/>
  <c r="C346" i="86"/>
  <c r="B346" i="86"/>
  <c r="A346" i="86"/>
  <c r="Q345" i="86"/>
  <c r="P345" i="86"/>
  <c r="O345" i="86"/>
  <c r="M345" i="86"/>
  <c r="L345" i="86"/>
  <c r="K345" i="86"/>
  <c r="I345" i="86"/>
  <c r="G345" i="86"/>
  <c r="E345" i="86"/>
  <c r="C345" i="86"/>
  <c r="B345" i="86"/>
  <c r="A345" i="86"/>
  <c r="Q344" i="86"/>
  <c r="P344" i="86"/>
  <c r="O344" i="86"/>
  <c r="M344" i="86"/>
  <c r="L344" i="86"/>
  <c r="K344" i="86"/>
  <c r="I344" i="86"/>
  <c r="G344" i="86"/>
  <c r="E344" i="86"/>
  <c r="C344" i="86"/>
  <c r="B344" i="86"/>
  <c r="A344" i="86"/>
  <c r="Q343" i="86"/>
  <c r="P343" i="86"/>
  <c r="O343" i="86"/>
  <c r="M343" i="86"/>
  <c r="L343" i="86"/>
  <c r="K343" i="86"/>
  <c r="I343" i="86"/>
  <c r="G343" i="86"/>
  <c r="E343" i="86"/>
  <c r="C343" i="86"/>
  <c r="B343" i="86"/>
  <c r="A343" i="86"/>
  <c r="Q342" i="86"/>
  <c r="P342" i="86"/>
  <c r="O342" i="86"/>
  <c r="M342" i="86"/>
  <c r="L342" i="86"/>
  <c r="K342" i="86"/>
  <c r="I342" i="86"/>
  <c r="G342" i="86"/>
  <c r="E342" i="86"/>
  <c r="C342" i="86"/>
  <c r="B342" i="86"/>
  <c r="A342" i="86"/>
  <c r="Q341" i="86"/>
  <c r="P341" i="86"/>
  <c r="O341" i="86"/>
  <c r="M341" i="86"/>
  <c r="L341" i="86"/>
  <c r="K341" i="86"/>
  <c r="I341" i="86"/>
  <c r="G341" i="86"/>
  <c r="E341" i="86"/>
  <c r="C341" i="86"/>
  <c r="B341" i="86"/>
  <c r="A341" i="86"/>
  <c r="Q340" i="86"/>
  <c r="P340" i="86"/>
  <c r="O340" i="86"/>
  <c r="M340" i="86"/>
  <c r="L340" i="86"/>
  <c r="K340" i="86"/>
  <c r="I340" i="86"/>
  <c r="G340" i="86"/>
  <c r="E340" i="86"/>
  <c r="C340" i="86"/>
  <c r="B340" i="86"/>
  <c r="A340" i="86"/>
  <c r="Q339" i="86"/>
  <c r="P339" i="86"/>
  <c r="O339" i="86"/>
  <c r="M339" i="86"/>
  <c r="L339" i="86"/>
  <c r="K339" i="86"/>
  <c r="I339" i="86"/>
  <c r="G339" i="86"/>
  <c r="E339" i="86"/>
  <c r="C339" i="86"/>
  <c r="B339" i="86"/>
  <c r="A339" i="86"/>
  <c r="Q338" i="86"/>
  <c r="P338" i="86"/>
  <c r="O338" i="86"/>
  <c r="M338" i="86"/>
  <c r="L338" i="86"/>
  <c r="K338" i="86"/>
  <c r="I338" i="86"/>
  <c r="G338" i="86"/>
  <c r="E338" i="86"/>
  <c r="C338" i="86"/>
  <c r="B338" i="86"/>
  <c r="A338" i="86"/>
  <c r="Q337" i="86"/>
  <c r="P337" i="86"/>
  <c r="O337" i="86"/>
  <c r="M337" i="86"/>
  <c r="L337" i="86"/>
  <c r="K337" i="86"/>
  <c r="I337" i="86"/>
  <c r="G337" i="86"/>
  <c r="E337" i="86"/>
  <c r="C337" i="86"/>
  <c r="B337" i="86"/>
  <c r="A337" i="86"/>
  <c r="Q336" i="86"/>
  <c r="P336" i="86"/>
  <c r="O336" i="86"/>
  <c r="M336" i="86"/>
  <c r="L336" i="86"/>
  <c r="K336" i="86"/>
  <c r="I336" i="86"/>
  <c r="G336" i="86"/>
  <c r="E336" i="86"/>
  <c r="C336" i="86"/>
  <c r="B336" i="86"/>
  <c r="A336" i="86"/>
  <c r="Q335" i="86"/>
  <c r="P335" i="86"/>
  <c r="O335" i="86"/>
  <c r="M335" i="86"/>
  <c r="L335" i="86"/>
  <c r="K335" i="86"/>
  <c r="I335" i="86"/>
  <c r="G335" i="86"/>
  <c r="E335" i="86"/>
  <c r="C335" i="86"/>
  <c r="B335" i="86"/>
  <c r="A335" i="86"/>
  <c r="Q334" i="86"/>
  <c r="P334" i="86"/>
  <c r="O334" i="86"/>
  <c r="M334" i="86"/>
  <c r="L334" i="86"/>
  <c r="K334" i="86"/>
  <c r="I334" i="86"/>
  <c r="G334" i="86"/>
  <c r="E334" i="86"/>
  <c r="C334" i="86"/>
  <c r="B334" i="86"/>
  <c r="A334" i="86"/>
  <c r="Q333" i="86"/>
  <c r="P333" i="86"/>
  <c r="O333" i="86"/>
  <c r="M333" i="86"/>
  <c r="L333" i="86"/>
  <c r="K333" i="86"/>
  <c r="I333" i="86"/>
  <c r="G333" i="86"/>
  <c r="E333" i="86"/>
  <c r="C333" i="86"/>
  <c r="B333" i="86"/>
  <c r="A333" i="86"/>
  <c r="Q332" i="86"/>
  <c r="P332" i="86"/>
  <c r="O332" i="86"/>
  <c r="M332" i="86"/>
  <c r="L332" i="86"/>
  <c r="K332" i="86"/>
  <c r="I332" i="86"/>
  <c r="G332" i="86"/>
  <c r="E332" i="86"/>
  <c r="C332" i="86"/>
  <c r="B332" i="86"/>
  <c r="A332" i="86"/>
  <c r="Q331" i="86"/>
  <c r="P331" i="86"/>
  <c r="O331" i="86"/>
  <c r="M331" i="86"/>
  <c r="L331" i="86"/>
  <c r="K331" i="86"/>
  <c r="I331" i="86"/>
  <c r="G331" i="86"/>
  <c r="E331" i="86"/>
  <c r="C331" i="86"/>
  <c r="B331" i="86"/>
  <c r="A331" i="86"/>
  <c r="Q330" i="86"/>
  <c r="P330" i="86"/>
  <c r="O330" i="86"/>
  <c r="M330" i="86"/>
  <c r="L330" i="86"/>
  <c r="K330" i="86"/>
  <c r="I330" i="86"/>
  <c r="G330" i="86"/>
  <c r="E330" i="86"/>
  <c r="C330" i="86"/>
  <c r="B330" i="86"/>
  <c r="A330" i="86"/>
  <c r="Q329" i="86"/>
  <c r="P329" i="86"/>
  <c r="O329" i="86"/>
  <c r="M329" i="86"/>
  <c r="L329" i="86"/>
  <c r="K329" i="86"/>
  <c r="I329" i="86"/>
  <c r="G329" i="86"/>
  <c r="E329" i="86"/>
  <c r="C329" i="86"/>
  <c r="B329" i="86"/>
  <c r="A329" i="86"/>
  <c r="Q328" i="86"/>
  <c r="P328" i="86"/>
  <c r="O328" i="86"/>
  <c r="M328" i="86"/>
  <c r="L328" i="86"/>
  <c r="K328" i="86"/>
  <c r="I328" i="86"/>
  <c r="G328" i="86"/>
  <c r="E328" i="86"/>
  <c r="C328" i="86"/>
  <c r="B328" i="86"/>
  <c r="A328" i="86"/>
  <c r="Q327" i="86"/>
  <c r="P327" i="86"/>
  <c r="O327" i="86"/>
  <c r="M327" i="86"/>
  <c r="L327" i="86"/>
  <c r="K327" i="86"/>
  <c r="I327" i="86"/>
  <c r="G327" i="86"/>
  <c r="E327" i="86"/>
  <c r="C327" i="86"/>
  <c r="B327" i="86"/>
  <c r="A327" i="86"/>
  <c r="Q326" i="86"/>
  <c r="P326" i="86"/>
  <c r="O326" i="86"/>
  <c r="M326" i="86"/>
  <c r="L326" i="86"/>
  <c r="K326" i="86"/>
  <c r="I326" i="86"/>
  <c r="G326" i="86"/>
  <c r="E326" i="86"/>
  <c r="C326" i="86"/>
  <c r="B326" i="86"/>
  <c r="A326" i="86"/>
  <c r="Q325" i="86"/>
  <c r="P325" i="86"/>
  <c r="O325" i="86"/>
  <c r="M325" i="86"/>
  <c r="L325" i="86"/>
  <c r="K325" i="86"/>
  <c r="I325" i="86"/>
  <c r="G325" i="86"/>
  <c r="E325" i="86"/>
  <c r="C325" i="86"/>
  <c r="B325" i="86"/>
  <c r="A325" i="86"/>
  <c r="Q324" i="86"/>
  <c r="P324" i="86"/>
  <c r="O324" i="86"/>
  <c r="M324" i="86"/>
  <c r="L324" i="86"/>
  <c r="K324" i="86"/>
  <c r="I324" i="86"/>
  <c r="G324" i="86"/>
  <c r="E324" i="86"/>
  <c r="C324" i="86"/>
  <c r="B324" i="86"/>
  <c r="A324" i="86"/>
  <c r="Q323" i="86"/>
  <c r="P323" i="86"/>
  <c r="O323" i="86"/>
  <c r="M323" i="86"/>
  <c r="L323" i="86"/>
  <c r="K323" i="86"/>
  <c r="I323" i="86"/>
  <c r="G323" i="86"/>
  <c r="E323" i="86"/>
  <c r="C323" i="86"/>
  <c r="B323" i="86"/>
  <c r="A323" i="86"/>
  <c r="Q322" i="86"/>
  <c r="P322" i="86"/>
  <c r="O322" i="86"/>
  <c r="M322" i="86"/>
  <c r="L322" i="86"/>
  <c r="K322" i="86"/>
  <c r="I322" i="86"/>
  <c r="G322" i="86"/>
  <c r="E322" i="86"/>
  <c r="C322" i="86"/>
  <c r="B322" i="86"/>
  <c r="A322" i="86"/>
  <c r="Q321" i="86"/>
  <c r="P321" i="86"/>
  <c r="O321" i="86"/>
  <c r="M321" i="86"/>
  <c r="L321" i="86"/>
  <c r="K321" i="86"/>
  <c r="I321" i="86"/>
  <c r="G321" i="86"/>
  <c r="E321" i="86"/>
  <c r="C321" i="86"/>
  <c r="B321" i="86"/>
  <c r="A321" i="86"/>
  <c r="Q320" i="86"/>
  <c r="P320" i="86"/>
  <c r="O320" i="86"/>
  <c r="M320" i="86"/>
  <c r="L320" i="86"/>
  <c r="K320" i="86"/>
  <c r="I320" i="86"/>
  <c r="G320" i="86"/>
  <c r="E320" i="86"/>
  <c r="C320" i="86"/>
  <c r="B320" i="86"/>
  <c r="A320" i="86"/>
  <c r="Q319" i="86"/>
  <c r="P319" i="86"/>
  <c r="O319" i="86"/>
  <c r="M319" i="86"/>
  <c r="L319" i="86"/>
  <c r="K319" i="86"/>
  <c r="I319" i="86"/>
  <c r="G319" i="86"/>
  <c r="E319" i="86"/>
  <c r="C319" i="86"/>
  <c r="B319" i="86"/>
  <c r="A319" i="86"/>
  <c r="Q318" i="86"/>
  <c r="P318" i="86"/>
  <c r="O318" i="86"/>
  <c r="M318" i="86"/>
  <c r="L318" i="86"/>
  <c r="K318" i="86"/>
  <c r="I318" i="86"/>
  <c r="G318" i="86"/>
  <c r="E318" i="86"/>
  <c r="C318" i="86"/>
  <c r="B318" i="86"/>
  <c r="A318" i="86"/>
  <c r="Q317" i="86"/>
  <c r="P317" i="86"/>
  <c r="O317" i="86"/>
  <c r="M317" i="86"/>
  <c r="L317" i="86"/>
  <c r="K317" i="86"/>
  <c r="I317" i="86"/>
  <c r="G317" i="86"/>
  <c r="E317" i="86"/>
  <c r="C317" i="86"/>
  <c r="B317" i="86"/>
  <c r="A317" i="86"/>
  <c r="Q316" i="86"/>
  <c r="P316" i="86"/>
  <c r="O316" i="86"/>
  <c r="M316" i="86"/>
  <c r="L316" i="86"/>
  <c r="K316" i="86"/>
  <c r="I316" i="86"/>
  <c r="G316" i="86"/>
  <c r="E316" i="86"/>
  <c r="C316" i="86"/>
  <c r="B316" i="86"/>
  <c r="A316" i="86"/>
  <c r="Q315" i="86"/>
  <c r="P315" i="86"/>
  <c r="O315" i="86"/>
  <c r="M315" i="86"/>
  <c r="L315" i="86"/>
  <c r="K315" i="86"/>
  <c r="I315" i="86"/>
  <c r="G315" i="86"/>
  <c r="E315" i="86"/>
  <c r="C315" i="86"/>
  <c r="B315" i="86"/>
  <c r="A315" i="86"/>
  <c r="Q314" i="86"/>
  <c r="P314" i="86"/>
  <c r="O314" i="86"/>
  <c r="M314" i="86"/>
  <c r="L314" i="86"/>
  <c r="K314" i="86"/>
  <c r="I314" i="86"/>
  <c r="G314" i="86"/>
  <c r="E314" i="86"/>
  <c r="C314" i="86"/>
  <c r="B314" i="86"/>
  <c r="A314" i="86"/>
  <c r="Q313" i="86"/>
  <c r="P313" i="86"/>
  <c r="O313" i="86"/>
  <c r="M313" i="86"/>
  <c r="L313" i="86"/>
  <c r="K313" i="86"/>
  <c r="I313" i="86"/>
  <c r="G313" i="86"/>
  <c r="E313" i="86"/>
  <c r="C313" i="86"/>
  <c r="B313" i="86"/>
  <c r="A313" i="86"/>
  <c r="Q312" i="86"/>
  <c r="P312" i="86"/>
  <c r="O312" i="86"/>
  <c r="M312" i="86"/>
  <c r="L312" i="86"/>
  <c r="K312" i="86"/>
  <c r="I312" i="86"/>
  <c r="G312" i="86"/>
  <c r="E312" i="86"/>
  <c r="C312" i="86"/>
  <c r="B312" i="86"/>
  <c r="A312" i="86"/>
  <c r="Q311" i="86"/>
  <c r="P311" i="86"/>
  <c r="O311" i="86"/>
  <c r="M311" i="86"/>
  <c r="L311" i="86"/>
  <c r="K311" i="86"/>
  <c r="I311" i="86"/>
  <c r="G311" i="86"/>
  <c r="E311" i="86"/>
  <c r="C311" i="86"/>
  <c r="B311" i="86"/>
  <c r="A311" i="86"/>
  <c r="Q310" i="86"/>
  <c r="P310" i="86"/>
  <c r="O310" i="86"/>
  <c r="M310" i="86"/>
  <c r="L310" i="86"/>
  <c r="K310" i="86"/>
  <c r="I310" i="86"/>
  <c r="G310" i="86"/>
  <c r="E310" i="86"/>
  <c r="C310" i="86"/>
  <c r="B310" i="86"/>
  <c r="A310" i="86"/>
  <c r="Q309" i="86"/>
  <c r="P309" i="86"/>
  <c r="O309" i="86"/>
  <c r="M309" i="86"/>
  <c r="L309" i="86"/>
  <c r="K309" i="86"/>
  <c r="I309" i="86"/>
  <c r="G309" i="86"/>
  <c r="E309" i="86"/>
  <c r="C309" i="86"/>
  <c r="B309" i="86"/>
  <c r="A309" i="86"/>
  <c r="Q308" i="86"/>
  <c r="P308" i="86"/>
  <c r="O308" i="86"/>
  <c r="M308" i="86"/>
  <c r="L308" i="86"/>
  <c r="K308" i="86"/>
  <c r="I308" i="86"/>
  <c r="G308" i="86"/>
  <c r="E308" i="86"/>
  <c r="C308" i="86"/>
  <c r="B308" i="86"/>
  <c r="A308" i="86"/>
  <c r="Q307" i="86"/>
  <c r="P307" i="86"/>
  <c r="O307" i="86"/>
  <c r="M307" i="86"/>
  <c r="L307" i="86"/>
  <c r="K307" i="86"/>
  <c r="I307" i="86"/>
  <c r="G307" i="86"/>
  <c r="E307" i="86"/>
  <c r="C307" i="86"/>
  <c r="B307" i="86"/>
  <c r="A307" i="86"/>
  <c r="Q306" i="86"/>
  <c r="P306" i="86"/>
  <c r="O306" i="86"/>
  <c r="M306" i="86"/>
  <c r="L306" i="86"/>
  <c r="K306" i="86"/>
  <c r="I306" i="86"/>
  <c r="G306" i="86"/>
  <c r="E306" i="86"/>
  <c r="C306" i="86"/>
  <c r="B306" i="86"/>
  <c r="A306" i="86"/>
  <c r="Q305" i="86"/>
  <c r="P305" i="86"/>
  <c r="O305" i="86"/>
  <c r="M305" i="86"/>
  <c r="L305" i="86"/>
  <c r="K305" i="86"/>
  <c r="I305" i="86"/>
  <c r="G305" i="86"/>
  <c r="E305" i="86"/>
  <c r="C305" i="86"/>
  <c r="B305" i="86"/>
  <c r="A305" i="86"/>
  <c r="Q304" i="86"/>
  <c r="P304" i="86"/>
  <c r="O304" i="86"/>
  <c r="M304" i="86"/>
  <c r="L304" i="86"/>
  <c r="K304" i="86"/>
  <c r="I304" i="86"/>
  <c r="G304" i="86"/>
  <c r="E304" i="86"/>
  <c r="C304" i="86"/>
  <c r="B304" i="86"/>
  <c r="A304" i="86"/>
  <c r="Q303" i="86"/>
  <c r="P303" i="86"/>
  <c r="O303" i="86"/>
  <c r="M303" i="86"/>
  <c r="L303" i="86"/>
  <c r="K303" i="86"/>
  <c r="I303" i="86"/>
  <c r="G303" i="86"/>
  <c r="E303" i="86"/>
  <c r="C303" i="86"/>
  <c r="B303" i="86"/>
  <c r="A303" i="86"/>
  <c r="Q302" i="86"/>
  <c r="P302" i="86"/>
  <c r="O302" i="86"/>
  <c r="M302" i="86"/>
  <c r="L302" i="86"/>
  <c r="K302" i="86"/>
  <c r="I302" i="86"/>
  <c r="G302" i="86"/>
  <c r="E302" i="86"/>
  <c r="C302" i="86"/>
  <c r="B302" i="86"/>
  <c r="A302" i="86"/>
  <c r="Q301" i="86"/>
  <c r="P301" i="86"/>
  <c r="O301" i="86"/>
  <c r="M301" i="86"/>
  <c r="L301" i="86"/>
  <c r="K301" i="86"/>
  <c r="I301" i="86"/>
  <c r="G301" i="86"/>
  <c r="E301" i="86"/>
  <c r="C301" i="86"/>
  <c r="B301" i="86"/>
  <c r="A301" i="86"/>
  <c r="Q300" i="86"/>
  <c r="P300" i="86"/>
  <c r="O300" i="86"/>
  <c r="M300" i="86"/>
  <c r="L300" i="86"/>
  <c r="K300" i="86"/>
  <c r="I300" i="86"/>
  <c r="G300" i="86"/>
  <c r="E300" i="86"/>
  <c r="C300" i="86"/>
  <c r="B300" i="86"/>
  <c r="A300" i="86"/>
  <c r="Q299" i="86"/>
  <c r="P299" i="86"/>
  <c r="O299" i="86"/>
  <c r="M299" i="86"/>
  <c r="L299" i="86"/>
  <c r="K299" i="86"/>
  <c r="I299" i="86"/>
  <c r="G299" i="86"/>
  <c r="E299" i="86"/>
  <c r="C299" i="86"/>
  <c r="B299" i="86"/>
  <c r="A299" i="86"/>
  <c r="Q298" i="86"/>
  <c r="P298" i="86"/>
  <c r="O298" i="86"/>
  <c r="M298" i="86"/>
  <c r="L298" i="86"/>
  <c r="K298" i="86"/>
  <c r="I298" i="86"/>
  <c r="G298" i="86"/>
  <c r="E298" i="86"/>
  <c r="C298" i="86"/>
  <c r="B298" i="86"/>
  <c r="A298" i="86"/>
  <c r="Q297" i="86"/>
  <c r="P297" i="86"/>
  <c r="O297" i="86"/>
  <c r="M297" i="86"/>
  <c r="L297" i="86"/>
  <c r="K297" i="86"/>
  <c r="I297" i="86"/>
  <c r="G297" i="86"/>
  <c r="E297" i="86"/>
  <c r="C297" i="86"/>
  <c r="B297" i="86"/>
  <c r="A297" i="86"/>
  <c r="Q296" i="86"/>
  <c r="P296" i="86"/>
  <c r="O296" i="86"/>
  <c r="M296" i="86"/>
  <c r="L296" i="86"/>
  <c r="K296" i="86"/>
  <c r="I296" i="86"/>
  <c r="G296" i="86"/>
  <c r="E296" i="86"/>
  <c r="C296" i="86"/>
  <c r="B296" i="86"/>
  <c r="A296" i="86"/>
  <c r="Q295" i="86"/>
  <c r="P295" i="86"/>
  <c r="O295" i="86"/>
  <c r="M295" i="86"/>
  <c r="L295" i="86"/>
  <c r="K295" i="86"/>
  <c r="I295" i="86"/>
  <c r="G295" i="86"/>
  <c r="E295" i="86"/>
  <c r="C295" i="86"/>
  <c r="B295" i="86"/>
  <c r="A295" i="86"/>
  <c r="Q294" i="86"/>
  <c r="P294" i="86"/>
  <c r="O294" i="86"/>
  <c r="M294" i="86"/>
  <c r="L294" i="86"/>
  <c r="K294" i="86"/>
  <c r="I294" i="86"/>
  <c r="G294" i="86"/>
  <c r="E294" i="86"/>
  <c r="C294" i="86"/>
  <c r="B294" i="86"/>
  <c r="A294" i="86"/>
  <c r="Q293" i="86"/>
  <c r="P293" i="86"/>
  <c r="O293" i="86"/>
  <c r="M293" i="86"/>
  <c r="L293" i="86"/>
  <c r="K293" i="86"/>
  <c r="I293" i="86"/>
  <c r="G293" i="86"/>
  <c r="E293" i="86"/>
  <c r="C293" i="86"/>
  <c r="B293" i="86"/>
  <c r="A293" i="86"/>
  <c r="Q292" i="86"/>
  <c r="P292" i="86"/>
  <c r="O292" i="86"/>
  <c r="M292" i="86"/>
  <c r="L292" i="86"/>
  <c r="K292" i="86"/>
  <c r="I292" i="86"/>
  <c r="G292" i="86"/>
  <c r="E292" i="86"/>
  <c r="C292" i="86"/>
  <c r="B292" i="86"/>
  <c r="A292" i="86"/>
  <c r="Q291" i="86"/>
  <c r="P291" i="86"/>
  <c r="O291" i="86"/>
  <c r="M291" i="86"/>
  <c r="L291" i="86"/>
  <c r="K291" i="86"/>
  <c r="I291" i="86"/>
  <c r="G291" i="86"/>
  <c r="E291" i="86"/>
  <c r="C291" i="86"/>
  <c r="B291" i="86"/>
  <c r="A291" i="86"/>
  <c r="Q290" i="86"/>
  <c r="P290" i="86"/>
  <c r="O290" i="86"/>
  <c r="M290" i="86"/>
  <c r="L290" i="86"/>
  <c r="K290" i="86"/>
  <c r="I290" i="86"/>
  <c r="G290" i="86"/>
  <c r="E290" i="86"/>
  <c r="C290" i="86"/>
  <c r="B290" i="86"/>
  <c r="A290" i="86"/>
  <c r="Q289" i="86"/>
  <c r="P289" i="86"/>
  <c r="O289" i="86"/>
  <c r="M289" i="86"/>
  <c r="L289" i="86"/>
  <c r="K289" i="86"/>
  <c r="I289" i="86"/>
  <c r="G289" i="86"/>
  <c r="E289" i="86"/>
  <c r="C289" i="86"/>
  <c r="B289" i="86"/>
  <c r="A289" i="86"/>
  <c r="Q288" i="86"/>
  <c r="P288" i="86"/>
  <c r="O288" i="86"/>
  <c r="M288" i="86"/>
  <c r="L288" i="86"/>
  <c r="K288" i="86"/>
  <c r="I288" i="86"/>
  <c r="G288" i="86"/>
  <c r="E288" i="86"/>
  <c r="C288" i="86"/>
  <c r="B288" i="86"/>
  <c r="A288" i="86"/>
  <c r="Q287" i="86"/>
  <c r="P287" i="86"/>
  <c r="O287" i="86"/>
  <c r="M287" i="86"/>
  <c r="L287" i="86"/>
  <c r="K287" i="86"/>
  <c r="I287" i="86"/>
  <c r="G287" i="86"/>
  <c r="E287" i="86"/>
  <c r="C287" i="86"/>
  <c r="B287" i="86"/>
  <c r="A287" i="86"/>
  <c r="Q286" i="86"/>
  <c r="P286" i="86"/>
  <c r="O286" i="86"/>
  <c r="M286" i="86"/>
  <c r="L286" i="86"/>
  <c r="K286" i="86"/>
  <c r="I286" i="86"/>
  <c r="G286" i="86"/>
  <c r="E286" i="86"/>
  <c r="C286" i="86"/>
  <c r="B286" i="86"/>
  <c r="A286" i="86"/>
  <c r="Q285" i="86"/>
  <c r="P285" i="86"/>
  <c r="O285" i="86"/>
  <c r="M285" i="86"/>
  <c r="L285" i="86"/>
  <c r="K285" i="86"/>
  <c r="I285" i="86"/>
  <c r="G285" i="86"/>
  <c r="E285" i="86"/>
  <c r="C285" i="86"/>
  <c r="B285" i="86"/>
  <c r="A285" i="86"/>
  <c r="Q284" i="86"/>
  <c r="P284" i="86"/>
  <c r="O284" i="86"/>
  <c r="M284" i="86"/>
  <c r="L284" i="86"/>
  <c r="K284" i="86"/>
  <c r="I284" i="86"/>
  <c r="G284" i="86"/>
  <c r="E284" i="86"/>
  <c r="C284" i="86"/>
  <c r="B284" i="86"/>
  <c r="A284" i="86"/>
  <c r="Q283" i="86"/>
  <c r="P283" i="86"/>
  <c r="O283" i="86"/>
  <c r="M283" i="86"/>
  <c r="L283" i="86"/>
  <c r="K283" i="86"/>
  <c r="I283" i="86"/>
  <c r="G283" i="86"/>
  <c r="E283" i="86"/>
  <c r="C283" i="86"/>
  <c r="B283" i="86"/>
  <c r="A283" i="86"/>
  <c r="Q282" i="86"/>
  <c r="P282" i="86"/>
  <c r="O282" i="86"/>
  <c r="M282" i="86"/>
  <c r="L282" i="86"/>
  <c r="K282" i="86"/>
  <c r="I282" i="86"/>
  <c r="G282" i="86"/>
  <c r="E282" i="86"/>
  <c r="C282" i="86"/>
  <c r="B282" i="86"/>
  <c r="A282" i="86"/>
  <c r="Q281" i="86"/>
  <c r="P281" i="86"/>
  <c r="O281" i="86"/>
  <c r="M281" i="86"/>
  <c r="L281" i="86"/>
  <c r="K281" i="86"/>
  <c r="I281" i="86"/>
  <c r="G281" i="86"/>
  <c r="E281" i="86"/>
  <c r="C281" i="86"/>
  <c r="B281" i="86"/>
  <c r="A281" i="86"/>
  <c r="Q280" i="86"/>
  <c r="P280" i="86"/>
  <c r="O280" i="86"/>
  <c r="M280" i="86"/>
  <c r="L280" i="86"/>
  <c r="K280" i="86"/>
  <c r="I280" i="86"/>
  <c r="G280" i="86"/>
  <c r="E280" i="86"/>
  <c r="C280" i="86"/>
  <c r="B280" i="86"/>
  <c r="A280" i="86"/>
  <c r="Q279" i="86"/>
  <c r="P279" i="86"/>
  <c r="O279" i="86"/>
  <c r="M279" i="86"/>
  <c r="L279" i="86"/>
  <c r="K279" i="86"/>
  <c r="I279" i="86"/>
  <c r="G279" i="86"/>
  <c r="E279" i="86"/>
  <c r="C279" i="86"/>
  <c r="B279" i="86"/>
  <c r="A279" i="86"/>
  <c r="Q278" i="86"/>
  <c r="P278" i="86"/>
  <c r="O278" i="86"/>
  <c r="M278" i="86"/>
  <c r="L278" i="86"/>
  <c r="K278" i="86"/>
  <c r="I278" i="86"/>
  <c r="G278" i="86"/>
  <c r="E278" i="86"/>
  <c r="C278" i="86"/>
  <c r="B278" i="86"/>
  <c r="A278" i="86"/>
  <c r="Q277" i="86"/>
  <c r="P277" i="86"/>
  <c r="O277" i="86"/>
  <c r="M277" i="86"/>
  <c r="L277" i="86"/>
  <c r="K277" i="86"/>
  <c r="I277" i="86"/>
  <c r="G277" i="86"/>
  <c r="E277" i="86"/>
  <c r="C277" i="86"/>
  <c r="B277" i="86"/>
  <c r="A277" i="86"/>
  <c r="Q276" i="86"/>
  <c r="P276" i="86"/>
  <c r="O276" i="86"/>
  <c r="M276" i="86"/>
  <c r="L276" i="86"/>
  <c r="K276" i="86"/>
  <c r="I276" i="86"/>
  <c r="G276" i="86"/>
  <c r="E276" i="86"/>
  <c r="C276" i="86"/>
  <c r="B276" i="86"/>
  <c r="A276" i="86"/>
  <c r="Q275" i="86"/>
  <c r="P275" i="86"/>
  <c r="O275" i="86"/>
  <c r="M275" i="86"/>
  <c r="L275" i="86"/>
  <c r="K275" i="86"/>
  <c r="I275" i="86"/>
  <c r="G275" i="86"/>
  <c r="E275" i="86"/>
  <c r="C275" i="86"/>
  <c r="B275" i="86"/>
  <c r="A275" i="86"/>
  <c r="Q274" i="86"/>
  <c r="P274" i="86"/>
  <c r="O274" i="86"/>
  <c r="M274" i="86"/>
  <c r="L274" i="86"/>
  <c r="K274" i="86"/>
  <c r="I274" i="86"/>
  <c r="G274" i="86"/>
  <c r="E274" i="86"/>
  <c r="C274" i="86"/>
  <c r="B274" i="86"/>
  <c r="A274" i="86"/>
  <c r="Q273" i="86"/>
  <c r="P273" i="86"/>
  <c r="O273" i="86"/>
  <c r="M273" i="86"/>
  <c r="L273" i="86"/>
  <c r="K273" i="86"/>
  <c r="I273" i="86"/>
  <c r="G273" i="86"/>
  <c r="E273" i="86"/>
  <c r="C273" i="86"/>
  <c r="B273" i="86"/>
  <c r="A273" i="86"/>
  <c r="Q272" i="86"/>
  <c r="P272" i="86"/>
  <c r="O272" i="86"/>
  <c r="M272" i="86"/>
  <c r="L272" i="86"/>
  <c r="K272" i="86"/>
  <c r="I272" i="86"/>
  <c r="G272" i="86"/>
  <c r="E272" i="86"/>
  <c r="C272" i="86"/>
  <c r="B272" i="86"/>
  <c r="A272" i="86"/>
  <c r="Q271" i="86"/>
  <c r="P271" i="86"/>
  <c r="O271" i="86"/>
  <c r="M271" i="86"/>
  <c r="L271" i="86"/>
  <c r="K271" i="86"/>
  <c r="I271" i="86"/>
  <c r="G271" i="86"/>
  <c r="E271" i="86"/>
  <c r="C271" i="86"/>
  <c r="B271" i="86"/>
  <c r="A271" i="86"/>
  <c r="Q270" i="86"/>
  <c r="P270" i="86"/>
  <c r="O270" i="86"/>
  <c r="M270" i="86"/>
  <c r="L270" i="86"/>
  <c r="K270" i="86"/>
  <c r="I270" i="86"/>
  <c r="G270" i="86"/>
  <c r="E270" i="86"/>
  <c r="C270" i="86"/>
  <c r="B270" i="86"/>
  <c r="A270" i="86"/>
  <c r="Q269" i="86"/>
  <c r="P269" i="86"/>
  <c r="O269" i="86"/>
  <c r="M269" i="86"/>
  <c r="L269" i="86"/>
  <c r="K269" i="86"/>
  <c r="I269" i="86"/>
  <c r="G269" i="86"/>
  <c r="E269" i="86"/>
  <c r="C269" i="86"/>
  <c r="B269" i="86"/>
  <c r="A269" i="86"/>
  <c r="Q268" i="86"/>
  <c r="P268" i="86"/>
  <c r="O268" i="86"/>
  <c r="M268" i="86"/>
  <c r="L268" i="86"/>
  <c r="K268" i="86"/>
  <c r="I268" i="86"/>
  <c r="G268" i="86"/>
  <c r="E268" i="86"/>
  <c r="C268" i="86"/>
  <c r="B268" i="86"/>
  <c r="A268" i="86"/>
  <c r="Q267" i="86"/>
  <c r="P267" i="86"/>
  <c r="O267" i="86"/>
  <c r="M267" i="86"/>
  <c r="L267" i="86"/>
  <c r="K267" i="86"/>
  <c r="I267" i="86"/>
  <c r="G267" i="86"/>
  <c r="E267" i="86"/>
  <c r="C267" i="86"/>
  <c r="B267" i="86"/>
  <c r="A267" i="86"/>
  <c r="Q266" i="86"/>
  <c r="P266" i="86"/>
  <c r="O266" i="86"/>
  <c r="M266" i="86"/>
  <c r="L266" i="86"/>
  <c r="K266" i="86"/>
  <c r="I266" i="86"/>
  <c r="G266" i="86"/>
  <c r="E266" i="86"/>
  <c r="C266" i="86"/>
  <c r="B266" i="86"/>
  <c r="A266" i="86"/>
  <c r="Q265" i="86"/>
  <c r="P265" i="86"/>
  <c r="O265" i="86"/>
  <c r="M265" i="86"/>
  <c r="L265" i="86"/>
  <c r="K265" i="86"/>
  <c r="I265" i="86"/>
  <c r="G265" i="86"/>
  <c r="E265" i="86"/>
  <c r="C265" i="86"/>
  <c r="B265" i="86"/>
  <c r="A265" i="86"/>
  <c r="Q264" i="86"/>
  <c r="P264" i="86"/>
  <c r="O264" i="86"/>
  <c r="M264" i="86"/>
  <c r="L264" i="86"/>
  <c r="K264" i="86"/>
  <c r="I264" i="86"/>
  <c r="G264" i="86"/>
  <c r="E264" i="86"/>
  <c r="C264" i="86"/>
  <c r="B264" i="86"/>
  <c r="A264" i="86"/>
  <c r="Q263" i="86"/>
  <c r="P263" i="86"/>
  <c r="O263" i="86"/>
  <c r="M263" i="86"/>
  <c r="L263" i="86"/>
  <c r="K263" i="86"/>
  <c r="I263" i="86"/>
  <c r="G263" i="86"/>
  <c r="E263" i="86"/>
  <c r="C263" i="86"/>
  <c r="B263" i="86"/>
  <c r="A263" i="86"/>
  <c r="Q262" i="86"/>
  <c r="P262" i="86"/>
  <c r="O262" i="86"/>
  <c r="M262" i="86"/>
  <c r="L262" i="86"/>
  <c r="K262" i="86"/>
  <c r="I262" i="86"/>
  <c r="G262" i="86"/>
  <c r="E262" i="86"/>
  <c r="C262" i="86"/>
  <c r="B262" i="86"/>
  <c r="A262" i="86"/>
  <c r="Q261" i="86"/>
  <c r="P261" i="86"/>
  <c r="O261" i="86"/>
  <c r="M261" i="86"/>
  <c r="L261" i="86"/>
  <c r="K261" i="86"/>
  <c r="I261" i="86"/>
  <c r="G261" i="86"/>
  <c r="E261" i="86"/>
  <c r="C261" i="86"/>
  <c r="B261" i="86"/>
  <c r="A261" i="86"/>
  <c r="Q260" i="86"/>
  <c r="P260" i="86"/>
  <c r="O260" i="86"/>
  <c r="M260" i="86"/>
  <c r="L260" i="86"/>
  <c r="K260" i="86"/>
  <c r="I260" i="86"/>
  <c r="G260" i="86"/>
  <c r="E260" i="86"/>
  <c r="C260" i="86"/>
  <c r="B260" i="86"/>
  <c r="A260" i="86"/>
  <c r="Q259" i="86"/>
  <c r="P259" i="86"/>
  <c r="O259" i="86"/>
  <c r="M259" i="86"/>
  <c r="L259" i="86"/>
  <c r="K259" i="86"/>
  <c r="I259" i="86"/>
  <c r="G259" i="86"/>
  <c r="E259" i="86"/>
  <c r="C259" i="86"/>
  <c r="B259" i="86"/>
  <c r="A259" i="86"/>
  <c r="Q258" i="86"/>
  <c r="P258" i="86"/>
  <c r="O258" i="86"/>
  <c r="M258" i="86"/>
  <c r="L258" i="86"/>
  <c r="K258" i="86"/>
  <c r="I258" i="86"/>
  <c r="G258" i="86"/>
  <c r="E258" i="86"/>
  <c r="C258" i="86"/>
  <c r="B258" i="86"/>
  <c r="A258" i="86"/>
  <c r="Q257" i="86"/>
  <c r="P257" i="86"/>
  <c r="O257" i="86"/>
  <c r="M257" i="86"/>
  <c r="L257" i="86"/>
  <c r="K257" i="86"/>
  <c r="I257" i="86"/>
  <c r="G257" i="86"/>
  <c r="E257" i="86"/>
  <c r="C257" i="86"/>
  <c r="B257" i="86"/>
  <c r="A257" i="86"/>
  <c r="Q256" i="86"/>
  <c r="P256" i="86"/>
  <c r="O256" i="86"/>
  <c r="M256" i="86"/>
  <c r="L256" i="86"/>
  <c r="K256" i="86"/>
  <c r="I256" i="86"/>
  <c r="G256" i="86"/>
  <c r="E256" i="86"/>
  <c r="C256" i="86"/>
  <c r="B256" i="86"/>
  <c r="A256" i="86"/>
  <c r="Q255" i="86"/>
  <c r="P255" i="86"/>
  <c r="O255" i="86"/>
  <c r="M255" i="86"/>
  <c r="L255" i="86"/>
  <c r="K255" i="86"/>
  <c r="I255" i="86"/>
  <c r="G255" i="86"/>
  <c r="E255" i="86"/>
  <c r="C255" i="86"/>
  <c r="B255" i="86"/>
  <c r="A255" i="86"/>
  <c r="Q254" i="86"/>
  <c r="P254" i="86"/>
  <c r="O254" i="86"/>
  <c r="M254" i="86"/>
  <c r="L254" i="86"/>
  <c r="K254" i="86"/>
  <c r="I254" i="86"/>
  <c r="G254" i="86"/>
  <c r="E254" i="86"/>
  <c r="C254" i="86"/>
  <c r="B254" i="86"/>
  <c r="A254" i="86"/>
  <c r="Q253" i="86"/>
  <c r="P253" i="86"/>
  <c r="O253" i="86"/>
  <c r="M253" i="86"/>
  <c r="L253" i="86"/>
  <c r="K253" i="86"/>
  <c r="I253" i="86"/>
  <c r="G253" i="86"/>
  <c r="E253" i="86"/>
  <c r="C253" i="86"/>
  <c r="B253" i="86"/>
  <c r="A253" i="86"/>
  <c r="Q252" i="86"/>
  <c r="P252" i="86"/>
  <c r="O252" i="86"/>
  <c r="M252" i="86"/>
  <c r="L252" i="86"/>
  <c r="K252" i="86"/>
  <c r="I252" i="86"/>
  <c r="G252" i="86"/>
  <c r="E252" i="86"/>
  <c r="C252" i="86"/>
  <c r="B252" i="86"/>
  <c r="A252" i="86"/>
  <c r="Q251" i="86"/>
  <c r="P251" i="86"/>
  <c r="O251" i="86"/>
  <c r="M251" i="86"/>
  <c r="L251" i="86"/>
  <c r="K251" i="86"/>
  <c r="I251" i="86"/>
  <c r="G251" i="86"/>
  <c r="E251" i="86"/>
  <c r="C251" i="86"/>
  <c r="B251" i="86"/>
  <c r="A251" i="86"/>
  <c r="Q250" i="86"/>
  <c r="P250" i="86"/>
  <c r="O250" i="86"/>
  <c r="M250" i="86"/>
  <c r="L250" i="86"/>
  <c r="K250" i="86"/>
  <c r="I250" i="86"/>
  <c r="G250" i="86"/>
  <c r="E250" i="86"/>
  <c r="C250" i="86"/>
  <c r="B250" i="86"/>
  <c r="A250" i="86"/>
  <c r="Q249" i="86"/>
  <c r="P249" i="86"/>
  <c r="O249" i="86"/>
  <c r="M249" i="86"/>
  <c r="L249" i="86"/>
  <c r="K249" i="86"/>
  <c r="I249" i="86"/>
  <c r="G249" i="86"/>
  <c r="E249" i="86"/>
  <c r="C249" i="86"/>
  <c r="B249" i="86"/>
  <c r="A249" i="86"/>
  <c r="Q248" i="86"/>
  <c r="P248" i="86"/>
  <c r="O248" i="86"/>
  <c r="M248" i="86"/>
  <c r="L248" i="86"/>
  <c r="K248" i="86"/>
  <c r="I248" i="86"/>
  <c r="G248" i="86"/>
  <c r="E248" i="86"/>
  <c r="C248" i="86"/>
  <c r="B248" i="86"/>
  <c r="A248" i="86"/>
  <c r="Q247" i="86"/>
  <c r="P247" i="86"/>
  <c r="O247" i="86"/>
  <c r="M247" i="86"/>
  <c r="L247" i="86"/>
  <c r="K247" i="86"/>
  <c r="I247" i="86"/>
  <c r="G247" i="86"/>
  <c r="E247" i="86"/>
  <c r="C247" i="86"/>
  <c r="B247" i="86"/>
  <c r="A247" i="86"/>
  <c r="Q246" i="86"/>
  <c r="P246" i="86"/>
  <c r="O246" i="86"/>
  <c r="M246" i="86"/>
  <c r="L246" i="86"/>
  <c r="K246" i="86"/>
  <c r="I246" i="86"/>
  <c r="G246" i="86"/>
  <c r="E246" i="86"/>
  <c r="C246" i="86"/>
  <c r="B246" i="86"/>
  <c r="A246" i="86"/>
  <c r="Q245" i="86"/>
  <c r="P245" i="86"/>
  <c r="O245" i="86"/>
  <c r="M245" i="86"/>
  <c r="L245" i="86"/>
  <c r="K245" i="86"/>
  <c r="I245" i="86"/>
  <c r="G245" i="86"/>
  <c r="E245" i="86"/>
  <c r="C245" i="86"/>
  <c r="B245" i="86"/>
  <c r="A245" i="86"/>
  <c r="Q244" i="86"/>
  <c r="P244" i="86"/>
  <c r="O244" i="86"/>
  <c r="M244" i="86"/>
  <c r="L244" i="86"/>
  <c r="K244" i="86"/>
  <c r="I244" i="86"/>
  <c r="G244" i="86"/>
  <c r="E244" i="86"/>
  <c r="C244" i="86"/>
  <c r="B244" i="86"/>
  <c r="A244" i="86"/>
  <c r="Q243" i="86"/>
  <c r="P243" i="86"/>
  <c r="O243" i="86"/>
  <c r="M243" i="86"/>
  <c r="L243" i="86"/>
  <c r="K243" i="86"/>
  <c r="I243" i="86"/>
  <c r="G243" i="86"/>
  <c r="E243" i="86"/>
  <c r="C243" i="86"/>
  <c r="B243" i="86"/>
  <c r="A243" i="86"/>
  <c r="Q242" i="86"/>
  <c r="P242" i="86"/>
  <c r="O242" i="86"/>
  <c r="M242" i="86"/>
  <c r="L242" i="86"/>
  <c r="K242" i="86"/>
  <c r="I242" i="86"/>
  <c r="G242" i="86"/>
  <c r="E242" i="86"/>
  <c r="C242" i="86"/>
  <c r="B242" i="86"/>
  <c r="A242" i="86"/>
  <c r="Q241" i="86"/>
  <c r="P241" i="86"/>
  <c r="O241" i="86"/>
  <c r="M241" i="86"/>
  <c r="L241" i="86"/>
  <c r="K241" i="86"/>
  <c r="I241" i="86"/>
  <c r="G241" i="86"/>
  <c r="E241" i="86"/>
  <c r="C241" i="86"/>
  <c r="B241" i="86"/>
  <c r="A241" i="86"/>
  <c r="Q240" i="86"/>
  <c r="P240" i="86"/>
  <c r="O240" i="86"/>
  <c r="M240" i="86"/>
  <c r="L240" i="86"/>
  <c r="K240" i="86"/>
  <c r="I240" i="86"/>
  <c r="G240" i="86"/>
  <c r="E240" i="86"/>
  <c r="C240" i="86"/>
  <c r="B240" i="86"/>
  <c r="A240" i="86"/>
  <c r="Q239" i="86"/>
  <c r="P239" i="86"/>
  <c r="O239" i="86"/>
  <c r="M239" i="86"/>
  <c r="L239" i="86"/>
  <c r="K239" i="86"/>
  <c r="I239" i="86"/>
  <c r="G239" i="86"/>
  <c r="E239" i="86"/>
  <c r="C239" i="86"/>
  <c r="B239" i="86"/>
  <c r="A239" i="86"/>
  <c r="Q238" i="86"/>
  <c r="P238" i="86"/>
  <c r="O238" i="86"/>
  <c r="M238" i="86"/>
  <c r="L238" i="86"/>
  <c r="K238" i="86"/>
  <c r="I238" i="86"/>
  <c r="G238" i="86"/>
  <c r="E238" i="86"/>
  <c r="C238" i="86"/>
  <c r="B238" i="86"/>
  <c r="A238" i="86"/>
  <c r="Q237" i="86"/>
  <c r="P237" i="86"/>
  <c r="O237" i="86"/>
  <c r="M237" i="86"/>
  <c r="L237" i="86"/>
  <c r="K237" i="86"/>
  <c r="I237" i="86"/>
  <c r="G237" i="86"/>
  <c r="E237" i="86"/>
  <c r="C237" i="86"/>
  <c r="B237" i="86"/>
  <c r="A237" i="86"/>
  <c r="Q236" i="86"/>
  <c r="P236" i="86"/>
  <c r="O236" i="86"/>
  <c r="M236" i="86"/>
  <c r="L236" i="86"/>
  <c r="K236" i="86"/>
  <c r="I236" i="86"/>
  <c r="G236" i="86"/>
  <c r="E236" i="86"/>
  <c r="C236" i="86"/>
  <c r="B236" i="86"/>
  <c r="A236" i="86"/>
  <c r="Q235" i="86"/>
  <c r="P235" i="86"/>
  <c r="O235" i="86"/>
  <c r="M235" i="86"/>
  <c r="L235" i="86"/>
  <c r="K235" i="86"/>
  <c r="I235" i="86"/>
  <c r="G235" i="86"/>
  <c r="E235" i="86"/>
  <c r="C235" i="86"/>
  <c r="B235" i="86"/>
  <c r="A235" i="86"/>
  <c r="Q234" i="86"/>
  <c r="P234" i="86"/>
  <c r="O234" i="86"/>
  <c r="M234" i="86"/>
  <c r="L234" i="86"/>
  <c r="K234" i="86"/>
  <c r="I234" i="86"/>
  <c r="G234" i="86"/>
  <c r="E234" i="86"/>
  <c r="C234" i="86"/>
  <c r="B234" i="86"/>
  <c r="A234" i="86"/>
  <c r="Q233" i="86"/>
  <c r="P233" i="86"/>
  <c r="O233" i="86"/>
  <c r="M233" i="86"/>
  <c r="L233" i="86"/>
  <c r="K233" i="86"/>
  <c r="I233" i="86"/>
  <c r="G233" i="86"/>
  <c r="E233" i="86"/>
  <c r="C233" i="86"/>
  <c r="B233" i="86"/>
  <c r="A233" i="86"/>
  <c r="Q232" i="86"/>
  <c r="P232" i="86"/>
  <c r="O232" i="86"/>
  <c r="M232" i="86"/>
  <c r="L232" i="86"/>
  <c r="K232" i="86"/>
  <c r="I232" i="86"/>
  <c r="G232" i="86"/>
  <c r="E232" i="86"/>
  <c r="C232" i="86"/>
  <c r="B232" i="86"/>
  <c r="A232" i="86"/>
  <c r="Q231" i="86"/>
  <c r="P231" i="86"/>
  <c r="O231" i="86"/>
  <c r="M231" i="86"/>
  <c r="L231" i="86"/>
  <c r="K231" i="86"/>
  <c r="I231" i="86"/>
  <c r="G231" i="86"/>
  <c r="E231" i="86"/>
  <c r="C231" i="86"/>
  <c r="B231" i="86"/>
  <c r="A231" i="86"/>
  <c r="Q230" i="86"/>
  <c r="P230" i="86"/>
  <c r="O230" i="86"/>
  <c r="M230" i="86"/>
  <c r="L230" i="86"/>
  <c r="K230" i="86"/>
  <c r="I230" i="86"/>
  <c r="G230" i="86"/>
  <c r="E230" i="86"/>
  <c r="C230" i="86"/>
  <c r="B230" i="86"/>
  <c r="A230" i="86"/>
  <c r="Q229" i="86"/>
  <c r="P229" i="86"/>
  <c r="O229" i="86"/>
  <c r="M229" i="86"/>
  <c r="L229" i="86"/>
  <c r="K229" i="86"/>
  <c r="I229" i="86"/>
  <c r="G229" i="86"/>
  <c r="E229" i="86"/>
  <c r="C229" i="86"/>
  <c r="B229" i="86"/>
  <c r="A229" i="86"/>
  <c r="Q228" i="86"/>
  <c r="P228" i="86"/>
  <c r="O228" i="86"/>
  <c r="M228" i="86"/>
  <c r="L228" i="86"/>
  <c r="K228" i="86"/>
  <c r="I228" i="86"/>
  <c r="G228" i="86"/>
  <c r="E228" i="86"/>
  <c r="C228" i="86"/>
  <c r="B228" i="86"/>
  <c r="A228" i="86"/>
  <c r="Q227" i="86"/>
  <c r="P227" i="86"/>
  <c r="O227" i="86"/>
  <c r="M227" i="86"/>
  <c r="L227" i="86"/>
  <c r="K227" i="86"/>
  <c r="I227" i="86"/>
  <c r="G227" i="86"/>
  <c r="E227" i="86"/>
  <c r="C227" i="86"/>
  <c r="B227" i="86"/>
  <c r="A227" i="86"/>
  <c r="Q226" i="86"/>
  <c r="P226" i="86"/>
  <c r="O226" i="86"/>
  <c r="M226" i="86"/>
  <c r="L226" i="86"/>
  <c r="K226" i="86"/>
  <c r="I226" i="86"/>
  <c r="G226" i="86"/>
  <c r="E226" i="86"/>
  <c r="C226" i="86"/>
  <c r="B226" i="86"/>
  <c r="A226" i="86"/>
  <c r="Q225" i="86"/>
  <c r="P225" i="86"/>
  <c r="O225" i="86"/>
  <c r="M225" i="86"/>
  <c r="L225" i="86"/>
  <c r="K225" i="86"/>
  <c r="I225" i="86"/>
  <c r="G225" i="86"/>
  <c r="E225" i="86"/>
  <c r="C225" i="86"/>
  <c r="B225" i="86"/>
  <c r="A225" i="86"/>
  <c r="Q224" i="86"/>
  <c r="P224" i="86"/>
  <c r="O224" i="86"/>
  <c r="M224" i="86"/>
  <c r="L224" i="86"/>
  <c r="K224" i="86"/>
  <c r="I224" i="86"/>
  <c r="G224" i="86"/>
  <c r="E224" i="86"/>
  <c r="C224" i="86"/>
  <c r="B224" i="86"/>
  <c r="A224" i="86"/>
  <c r="Q223" i="86"/>
  <c r="P223" i="86"/>
  <c r="O223" i="86"/>
  <c r="M223" i="86"/>
  <c r="L223" i="86"/>
  <c r="K223" i="86"/>
  <c r="I223" i="86"/>
  <c r="G223" i="86"/>
  <c r="E223" i="86"/>
  <c r="C223" i="86"/>
  <c r="B223" i="86"/>
  <c r="A223" i="86"/>
  <c r="Q222" i="86"/>
  <c r="P222" i="86"/>
  <c r="O222" i="86"/>
  <c r="M222" i="86"/>
  <c r="L222" i="86"/>
  <c r="K222" i="86"/>
  <c r="I222" i="86"/>
  <c r="G222" i="86"/>
  <c r="E222" i="86"/>
  <c r="C222" i="86"/>
  <c r="B222" i="86"/>
  <c r="A222" i="86"/>
  <c r="Q221" i="86"/>
  <c r="P221" i="86"/>
  <c r="O221" i="86"/>
  <c r="M221" i="86"/>
  <c r="L221" i="86"/>
  <c r="K221" i="86"/>
  <c r="I221" i="86"/>
  <c r="G221" i="86"/>
  <c r="E221" i="86"/>
  <c r="C221" i="86"/>
  <c r="B221" i="86"/>
  <c r="A221" i="86"/>
  <c r="Q220" i="86"/>
  <c r="P220" i="86"/>
  <c r="O220" i="86"/>
  <c r="M220" i="86"/>
  <c r="L220" i="86"/>
  <c r="K220" i="86"/>
  <c r="I220" i="86"/>
  <c r="G220" i="86"/>
  <c r="E220" i="86"/>
  <c r="C220" i="86"/>
  <c r="B220" i="86"/>
  <c r="A220" i="86"/>
  <c r="Q219" i="86"/>
  <c r="P219" i="86"/>
  <c r="O219" i="86"/>
  <c r="M219" i="86"/>
  <c r="L219" i="86"/>
  <c r="K219" i="86"/>
  <c r="I219" i="86"/>
  <c r="G219" i="86"/>
  <c r="E219" i="86"/>
  <c r="C219" i="86"/>
  <c r="B219" i="86"/>
  <c r="A219" i="86"/>
  <c r="Q218" i="86"/>
  <c r="P218" i="86"/>
  <c r="O218" i="86"/>
  <c r="M218" i="86"/>
  <c r="L218" i="86"/>
  <c r="K218" i="86"/>
  <c r="I218" i="86"/>
  <c r="G218" i="86"/>
  <c r="E218" i="86"/>
  <c r="C218" i="86"/>
  <c r="B218" i="86"/>
  <c r="A218" i="86"/>
  <c r="Q217" i="86"/>
  <c r="P217" i="86"/>
  <c r="O217" i="86"/>
  <c r="M217" i="86"/>
  <c r="L217" i="86"/>
  <c r="K217" i="86"/>
  <c r="I217" i="86"/>
  <c r="G217" i="86"/>
  <c r="E217" i="86"/>
  <c r="C217" i="86"/>
  <c r="B217" i="86"/>
  <c r="A217" i="86"/>
  <c r="Q216" i="86"/>
  <c r="P216" i="86"/>
  <c r="O216" i="86"/>
  <c r="M216" i="86"/>
  <c r="L216" i="86"/>
  <c r="K216" i="86"/>
  <c r="I216" i="86"/>
  <c r="G216" i="86"/>
  <c r="E216" i="86"/>
  <c r="C216" i="86"/>
  <c r="B216" i="86"/>
  <c r="A216" i="86"/>
  <c r="Q215" i="86"/>
  <c r="P215" i="86"/>
  <c r="O215" i="86"/>
  <c r="M215" i="86"/>
  <c r="L215" i="86"/>
  <c r="K215" i="86"/>
  <c r="I215" i="86"/>
  <c r="G215" i="86"/>
  <c r="E215" i="86"/>
  <c r="C215" i="86"/>
  <c r="B215" i="86"/>
  <c r="A215" i="86"/>
  <c r="Q214" i="86"/>
  <c r="P214" i="86"/>
  <c r="O214" i="86"/>
  <c r="M214" i="86"/>
  <c r="L214" i="86"/>
  <c r="K214" i="86"/>
  <c r="I214" i="86"/>
  <c r="G214" i="86"/>
  <c r="E214" i="86"/>
  <c r="C214" i="86"/>
  <c r="B214" i="86"/>
  <c r="A214" i="86"/>
  <c r="Q213" i="86"/>
  <c r="P213" i="86"/>
  <c r="O213" i="86"/>
  <c r="M213" i="86"/>
  <c r="L213" i="86"/>
  <c r="K213" i="86"/>
  <c r="I213" i="86"/>
  <c r="G213" i="86"/>
  <c r="E213" i="86"/>
  <c r="C213" i="86"/>
  <c r="B213" i="86"/>
  <c r="A213" i="86"/>
  <c r="Q212" i="86"/>
  <c r="P212" i="86"/>
  <c r="O212" i="86"/>
  <c r="M212" i="86"/>
  <c r="L212" i="86"/>
  <c r="K212" i="86"/>
  <c r="I212" i="86"/>
  <c r="G212" i="86"/>
  <c r="E212" i="86"/>
  <c r="C212" i="86"/>
  <c r="B212" i="86"/>
  <c r="A212" i="86"/>
  <c r="Q211" i="86"/>
  <c r="P211" i="86"/>
  <c r="O211" i="86"/>
  <c r="M211" i="86"/>
  <c r="L211" i="86"/>
  <c r="K211" i="86"/>
  <c r="I211" i="86"/>
  <c r="G211" i="86"/>
  <c r="E211" i="86"/>
  <c r="C211" i="86"/>
  <c r="B211" i="86"/>
  <c r="A211" i="86"/>
  <c r="Q210" i="86"/>
  <c r="P210" i="86"/>
  <c r="O210" i="86"/>
  <c r="M210" i="86"/>
  <c r="L210" i="86"/>
  <c r="K210" i="86"/>
  <c r="I210" i="86"/>
  <c r="G210" i="86"/>
  <c r="E210" i="86"/>
  <c r="C210" i="86"/>
  <c r="B210" i="86"/>
  <c r="A210" i="86"/>
  <c r="Q209" i="86"/>
  <c r="P209" i="86"/>
  <c r="O209" i="86"/>
  <c r="M209" i="86"/>
  <c r="L209" i="86"/>
  <c r="K209" i="86"/>
  <c r="I209" i="86"/>
  <c r="G209" i="86"/>
  <c r="E209" i="86"/>
  <c r="C209" i="86"/>
  <c r="B209" i="86"/>
  <c r="A209" i="86"/>
  <c r="Q208" i="86"/>
  <c r="P208" i="86"/>
  <c r="O208" i="86"/>
  <c r="M208" i="86"/>
  <c r="L208" i="86"/>
  <c r="K208" i="86"/>
  <c r="I208" i="86"/>
  <c r="G208" i="86"/>
  <c r="E208" i="86"/>
  <c r="C208" i="86"/>
  <c r="B208" i="86"/>
  <c r="A208" i="86"/>
  <c r="Q207" i="86"/>
  <c r="P207" i="86"/>
  <c r="O207" i="86"/>
  <c r="M207" i="86"/>
  <c r="L207" i="86"/>
  <c r="K207" i="86"/>
  <c r="I207" i="86"/>
  <c r="G207" i="86"/>
  <c r="E207" i="86"/>
  <c r="C207" i="86"/>
  <c r="B207" i="86"/>
  <c r="A207" i="86"/>
  <c r="Q206" i="86"/>
  <c r="P206" i="86"/>
  <c r="O206" i="86"/>
  <c r="M206" i="86"/>
  <c r="L206" i="86"/>
  <c r="K206" i="86"/>
  <c r="I206" i="86"/>
  <c r="G206" i="86"/>
  <c r="E206" i="86"/>
  <c r="C206" i="86"/>
  <c r="B206" i="86"/>
  <c r="A206" i="86"/>
  <c r="Q205" i="86"/>
  <c r="P205" i="86"/>
  <c r="O205" i="86"/>
  <c r="M205" i="86"/>
  <c r="L205" i="86"/>
  <c r="K205" i="86"/>
  <c r="I205" i="86"/>
  <c r="G205" i="86"/>
  <c r="E205" i="86"/>
  <c r="C205" i="86"/>
  <c r="B205" i="86"/>
  <c r="A205" i="86"/>
  <c r="Q204" i="86"/>
  <c r="P204" i="86"/>
  <c r="O204" i="86"/>
  <c r="M204" i="86"/>
  <c r="L204" i="86"/>
  <c r="K204" i="86"/>
  <c r="I204" i="86"/>
  <c r="G204" i="86"/>
  <c r="E204" i="86"/>
  <c r="C204" i="86"/>
  <c r="B204" i="86"/>
  <c r="A204" i="86"/>
  <c r="Q203" i="86"/>
  <c r="P203" i="86"/>
  <c r="O203" i="86"/>
  <c r="M203" i="86"/>
  <c r="L203" i="86"/>
  <c r="K203" i="86"/>
  <c r="I203" i="86"/>
  <c r="G203" i="86"/>
  <c r="E203" i="86"/>
  <c r="C203" i="86"/>
  <c r="B203" i="86"/>
  <c r="A203" i="86"/>
  <c r="Q202" i="86"/>
  <c r="P202" i="86"/>
  <c r="O202" i="86"/>
  <c r="M202" i="86"/>
  <c r="L202" i="86"/>
  <c r="K202" i="86"/>
  <c r="I202" i="86"/>
  <c r="G202" i="86"/>
  <c r="E202" i="86"/>
  <c r="C202" i="86"/>
  <c r="B202" i="86"/>
  <c r="A202" i="86"/>
  <c r="Q201" i="86"/>
  <c r="P201" i="86"/>
  <c r="O201" i="86"/>
  <c r="M201" i="86"/>
  <c r="L201" i="86"/>
  <c r="K201" i="86"/>
  <c r="I201" i="86"/>
  <c r="G201" i="86"/>
  <c r="E201" i="86"/>
  <c r="C201" i="86"/>
  <c r="B201" i="86"/>
  <c r="A201" i="86"/>
  <c r="Q200" i="86"/>
  <c r="P200" i="86"/>
  <c r="O200" i="86"/>
  <c r="M200" i="86"/>
  <c r="L200" i="86"/>
  <c r="K200" i="86"/>
  <c r="I200" i="86"/>
  <c r="G200" i="86"/>
  <c r="E200" i="86"/>
  <c r="C200" i="86"/>
  <c r="B200" i="86"/>
  <c r="A200" i="86"/>
  <c r="Q199" i="86"/>
  <c r="P199" i="86"/>
  <c r="O199" i="86"/>
  <c r="M199" i="86"/>
  <c r="L199" i="86"/>
  <c r="K199" i="86"/>
  <c r="I199" i="86"/>
  <c r="G199" i="86"/>
  <c r="E199" i="86"/>
  <c r="C199" i="86"/>
  <c r="B199" i="86"/>
  <c r="A199" i="86"/>
  <c r="Q198" i="86"/>
  <c r="P198" i="86"/>
  <c r="O198" i="86"/>
  <c r="M198" i="86"/>
  <c r="L198" i="86"/>
  <c r="K198" i="86"/>
  <c r="I198" i="86"/>
  <c r="G198" i="86"/>
  <c r="E198" i="86"/>
  <c r="C198" i="86"/>
  <c r="B198" i="86"/>
  <c r="A198" i="86"/>
  <c r="Q197" i="86"/>
  <c r="P197" i="86"/>
  <c r="O197" i="86"/>
  <c r="M197" i="86"/>
  <c r="L197" i="86"/>
  <c r="K197" i="86"/>
  <c r="I197" i="86"/>
  <c r="G197" i="86"/>
  <c r="E197" i="86"/>
  <c r="C197" i="86"/>
  <c r="B197" i="86"/>
  <c r="A197" i="86"/>
  <c r="Q196" i="86"/>
  <c r="P196" i="86"/>
  <c r="O196" i="86"/>
  <c r="M196" i="86"/>
  <c r="L196" i="86"/>
  <c r="K196" i="86"/>
  <c r="I196" i="86"/>
  <c r="G196" i="86"/>
  <c r="E196" i="86"/>
  <c r="C196" i="86"/>
  <c r="B196" i="86"/>
  <c r="A196" i="86"/>
  <c r="Q195" i="86"/>
  <c r="P195" i="86"/>
  <c r="O195" i="86"/>
  <c r="M195" i="86"/>
  <c r="L195" i="86"/>
  <c r="K195" i="86"/>
  <c r="I195" i="86"/>
  <c r="G195" i="86"/>
  <c r="E195" i="86"/>
  <c r="C195" i="86"/>
  <c r="B195" i="86"/>
  <c r="A195" i="86"/>
  <c r="Q194" i="86"/>
  <c r="P194" i="86"/>
  <c r="O194" i="86"/>
  <c r="M194" i="86"/>
  <c r="L194" i="86"/>
  <c r="K194" i="86"/>
  <c r="I194" i="86"/>
  <c r="G194" i="86"/>
  <c r="E194" i="86"/>
  <c r="C194" i="86"/>
  <c r="B194" i="86"/>
  <c r="A194" i="86"/>
  <c r="Q193" i="86"/>
  <c r="P193" i="86"/>
  <c r="O193" i="86"/>
  <c r="M193" i="86"/>
  <c r="L193" i="86"/>
  <c r="K193" i="86"/>
  <c r="I193" i="86"/>
  <c r="G193" i="86"/>
  <c r="E193" i="86"/>
  <c r="C193" i="86"/>
  <c r="B193" i="86"/>
  <c r="A193" i="86"/>
  <c r="Q192" i="86"/>
  <c r="P192" i="86"/>
  <c r="O192" i="86"/>
  <c r="M192" i="86"/>
  <c r="L192" i="86"/>
  <c r="K192" i="86"/>
  <c r="I192" i="86"/>
  <c r="G192" i="86"/>
  <c r="E192" i="86"/>
  <c r="C192" i="86"/>
  <c r="B192" i="86"/>
  <c r="A192" i="86"/>
  <c r="Q191" i="86"/>
  <c r="P191" i="86"/>
  <c r="O191" i="86"/>
  <c r="M191" i="86"/>
  <c r="L191" i="86"/>
  <c r="K191" i="86"/>
  <c r="I191" i="86"/>
  <c r="G191" i="86"/>
  <c r="E191" i="86"/>
  <c r="C191" i="86"/>
  <c r="B191" i="86"/>
  <c r="A191" i="86"/>
  <c r="Q190" i="86"/>
  <c r="P190" i="86"/>
  <c r="O190" i="86"/>
  <c r="M190" i="86"/>
  <c r="L190" i="86"/>
  <c r="K190" i="86"/>
  <c r="I190" i="86"/>
  <c r="G190" i="86"/>
  <c r="E190" i="86"/>
  <c r="C190" i="86"/>
  <c r="B190" i="86"/>
  <c r="A190" i="86"/>
  <c r="Q189" i="86"/>
  <c r="P189" i="86"/>
  <c r="O189" i="86"/>
  <c r="M189" i="86"/>
  <c r="L189" i="86"/>
  <c r="K189" i="86"/>
  <c r="I189" i="86"/>
  <c r="G189" i="86"/>
  <c r="E189" i="86"/>
  <c r="C189" i="86"/>
  <c r="B189" i="86"/>
  <c r="A189" i="86"/>
  <c r="Q188" i="86"/>
  <c r="P188" i="86"/>
  <c r="O188" i="86"/>
  <c r="M188" i="86"/>
  <c r="L188" i="86"/>
  <c r="K188" i="86"/>
  <c r="I188" i="86"/>
  <c r="G188" i="86"/>
  <c r="E188" i="86"/>
  <c r="C188" i="86"/>
  <c r="B188" i="86"/>
  <c r="A188" i="86"/>
  <c r="Q187" i="86"/>
  <c r="P187" i="86"/>
  <c r="O187" i="86"/>
  <c r="M187" i="86"/>
  <c r="L187" i="86"/>
  <c r="K187" i="86"/>
  <c r="I187" i="86"/>
  <c r="G187" i="86"/>
  <c r="E187" i="86"/>
  <c r="C187" i="86"/>
  <c r="B187" i="86"/>
  <c r="A187" i="86"/>
  <c r="Q186" i="86"/>
  <c r="P186" i="86"/>
  <c r="O186" i="86"/>
  <c r="M186" i="86"/>
  <c r="L186" i="86"/>
  <c r="K186" i="86"/>
  <c r="I186" i="86"/>
  <c r="G186" i="86"/>
  <c r="E186" i="86"/>
  <c r="C186" i="86"/>
  <c r="B186" i="86"/>
  <c r="A186" i="86"/>
  <c r="Q185" i="86"/>
  <c r="P185" i="86"/>
  <c r="O185" i="86"/>
  <c r="M185" i="86"/>
  <c r="L185" i="86"/>
  <c r="K185" i="86"/>
  <c r="I185" i="86"/>
  <c r="G185" i="86"/>
  <c r="E185" i="86"/>
  <c r="C185" i="86"/>
  <c r="B185" i="86"/>
  <c r="A185" i="86"/>
  <c r="Q184" i="86"/>
  <c r="P184" i="86"/>
  <c r="O184" i="86"/>
  <c r="M184" i="86"/>
  <c r="L184" i="86"/>
  <c r="K184" i="86"/>
  <c r="I184" i="86"/>
  <c r="G184" i="86"/>
  <c r="E184" i="86"/>
  <c r="C184" i="86"/>
  <c r="B184" i="86"/>
  <c r="A184" i="86"/>
  <c r="Q183" i="86"/>
  <c r="P183" i="86"/>
  <c r="O183" i="86"/>
  <c r="M183" i="86"/>
  <c r="L183" i="86"/>
  <c r="K183" i="86"/>
  <c r="I183" i="86"/>
  <c r="G183" i="86"/>
  <c r="E183" i="86"/>
  <c r="C183" i="86"/>
  <c r="B183" i="86"/>
  <c r="A183" i="86"/>
  <c r="Q182" i="86"/>
  <c r="P182" i="86"/>
  <c r="O182" i="86"/>
  <c r="M182" i="86"/>
  <c r="L182" i="86"/>
  <c r="K182" i="86"/>
  <c r="I182" i="86"/>
  <c r="G182" i="86"/>
  <c r="E182" i="86"/>
  <c r="C182" i="86"/>
  <c r="B182" i="86"/>
  <c r="A182" i="86"/>
  <c r="Q181" i="86"/>
  <c r="P181" i="86"/>
  <c r="O181" i="86"/>
  <c r="M181" i="86"/>
  <c r="L181" i="86"/>
  <c r="K181" i="86"/>
  <c r="I181" i="86"/>
  <c r="G181" i="86"/>
  <c r="E181" i="86"/>
  <c r="C181" i="86"/>
  <c r="B181" i="86"/>
  <c r="A181" i="86"/>
  <c r="Q180" i="86"/>
  <c r="P180" i="86"/>
  <c r="O180" i="86"/>
  <c r="M180" i="86"/>
  <c r="L180" i="86"/>
  <c r="K180" i="86"/>
  <c r="I180" i="86"/>
  <c r="G180" i="86"/>
  <c r="E180" i="86"/>
  <c r="C180" i="86"/>
  <c r="B180" i="86"/>
  <c r="A180" i="86"/>
  <c r="Q179" i="86"/>
  <c r="P179" i="86"/>
  <c r="O179" i="86"/>
  <c r="M179" i="86"/>
  <c r="L179" i="86"/>
  <c r="K179" i="86"/>
  <c r="I179" i="86"/>
  <c r="G179" i="86"/>
  <c r="E179" i="86"/>
  <c r="C179" i="86"/>
  <c r="B179" i="86"/>
  <c r="A179" i="86"/>
  <c r="Q178" i="86"/>
  <c r="P178" i="86"/>
  <c r="O178" i="86"/>
  <c r="M178" i="86"/>
  <c r="L178" i="86"/>
  <c r="K178" i="86"/>
  <c r="I178" i="86"/>
  <c r="G178" i="86"/>
  <c r="E178" i="86"/>
  <c r="C178" i="86"/>
  <c r="B178" i="86"/>
  <c r="A178" i="86"/>
  <c r="Q177" i="86"/>
  <c r="P177" i="86"/>
  <c r="O177" i="86"/>
  <c r="M177" i="86"/>
  <c r="L177" i="86"/>
  <c r="K177" i="86"/>
  <c r="I177" i="86"/>
  <c r="G177" i="86"/>
  <c r="E177" i="86"/>
  <c r="C177" i="86"/>
  <c r="B177" i="86"/>
  <c r="A177" i="86"/>
  <c r="Q176" i="86"/>
  <c r="P176" i="86"/>
  <c r="O176" i="86"/>
  <c r="M176" i="86"/>
  <c r="L176" i="86"/>
  <c r="K176" i="86"/>
  <c r="I176" i="86"/>
  <c r="G176" i="86"/>
  <c r="E176" i="86"/>
  <c r="C176" i="86"/>
  <c r="B176" i="86"/>
  <c r="A176" i="86"/>
  <c r="Q175" i="86"/>
  <c r="P175" i="86"/>
  <c r="O175" i="86"/>
  <c r="M175" i="86"/>
  <c r="L175" i="86"/>
  <c r="K175" i="86"/>
  <c r="I175" i="86"/>
  <c r="G175" i="86"/>
  <c r="E175" i="86"/>
  <c r="C175" i="86"/>
  <c r="B175" i="86"/>
  <c r="A175" i="86"/>
  <c r="Q174" i="86"/>
  <c r="P174" i="86"/>
  <c r="O174" i="86"/>
  <c r="M174" i="86"/>
  <c r="L174" i="86"/>
  <c r="K174" i="86"/>
  <c r="I174" i="86"/>
  <c r="G174" i="86"/>
  <c r="E174" i="86"/>
  <c r="C174" i="86"/>
  <c r="B174" i="86"/>
  <c r="A174" i="86"/>
  <c r="Q173" i="86"/>
  <c r="P173" i="86"/>
  <c r="O173" i="86"/>
  <c r="M173" i="86"/>
  <c r="L173" i="86"/>
  <c r="K173" i="86"/>
  <c r="I173" i="86"/>
  <c r="G173" i="86"/>
  <c r="E173" i="86"/>
  <c r="C173" i="86"/>
  <c r="B173" i="86"/>
  <c r="A173" i="86"/>
  <c r="Q172" i="86"/>
  <c r="P172" i="86"/>
  <c r="O172" i="86"/>
  <c r="M172" i="86"/>
  <c r="L172" i="86"/>
  <c r="K172" i="86"/>
  <c r="I172" i="86"/>
  <c r="G172" i="86"/>
  <c r="E172" i="86"/>
  <c r="C172" i="86"/>
  <c r="B172" i="86"/>
  <c r="A172" i="86"/>
  <c r="Q171" i="86"/>
  <c r="P171" i="86"/>
  <c r="O171" i="86"/>
  <c r="M171" i="86"/>
  <c r="L171" i="86"/>
  <c r="K171" i="86"/>
  <c r="I171" i="86"/>
  <c r="G171" i="86"/>
  <c r="E171" i="86"/>
  <c r="C171" i="86"/>
  <c r="B171" i="86"/>
  <c r="A171" i="86"/>
  <c r="Q170" i="86"/>
  <c r="P170" i="86"/>
  <c r="O170" i="86"/>
  <c r="M170" i="86"/>
  <c r="L170" i="86"/>
  <c r="K170" i="86"/>
  <c r="I170" i="86"/>
  <c r="G170" i="86"/>
  <c r="E170" i="86"/>
  <c r="C170" i="86"/>
  <c r="B170" i="86"/>
  <c r="A170" i="86"/>
  <c r="Q169" i="86"/>
  <c r="P169" i="86"/>
  <c r="O169" i="86"/>
  <c r="M169" i="86"/>
  <c r="L169" i="86"/>
  <c r="K169" i="86"/>
  <c r="I169" i="86"/>
  <c r="G169" i="86"/>
  <c r="E169" i="86"/>
  <c r="C169" i="86"/>
  <c r="B169" i="86"/>
  <c r="A169" i="86"/>
  <c r="Q168" i="86"/>
  <c r="P168" i="86"/>
  <c r="O168" i="86"/>
  <c r="M168" i="86"/>
  <c r="L168" i="86"/>
  <c r="K168" i="86"/>
  <c r="I168" i="86"/>
  <c r="G168" i="86"/>
  <c r="E168" i="86"/>
  <c r="C168" i="86"/>
  <c r="B168" i="86"/>
  <c r="A168" i="86"/>
  <c r="Q167" i="86"/>
  <c r="P167" i="86"/>
  <c r="O167" i="86"/>
  <c r="M167" i="86"/>
  <c r="L167" i="86"/>
  <c r="K167" i="86"/>
  <c r="I167" i="86"/>
  <c r="G167" i="86"/>
  <c r="E167" i="86"/>
  <c r="C167" i="86"/>
  <c r="B167" i="86"/>
  <c r="A167" i="86"/>
  <c r="Q166" i="86"/>
  <c r="P166" i="86"/>
  <c r="O166" i="86"/>
  <c r="M166" i="86"/>
  <c r="L166" i="86"/>
  <c r="K166" i="86"/>
  <c r="I166" i="86"/>
  <c r="G166" i="86"/>
  <c r="E166" i="86"/>
  <c r="C166" i="86"/>
  <c r="B166" i="86"/>
  <c r="A166" i="86"/>
  <c r="Q165" i="86"/>
  <c r="P165" i="86"/>
  <c r="O165" i="86"/>
  <c r="M165" i="86"/>
  <c r="L165" i="86"/>
  <c r="K165" i="86"/>
  <c r="I165" i="86"/>
  <c r="G165" i="86"/>
  <c r="E165" i="86"/>
  <c r="C165" i="86"/>
  <c r="B165" i="86"/>
  <c r="A165" i="86"/>
  <c r="Q164" i="86"/>
  <c r="P164" i="86"/>
  <c r="O164" i="86"/>
  <c r="M164" i="86"/>
  <c r="L164" i="86"/>
  <c r="K164" i="86"/>
  <c r="I164" i="86"/>
  <c r="G164" i="86"/>
  <c r="E164" i="86"/>
  <c r="C164" i="86"/>
  <c r="B164" i="86"/>
  <c r="A164" i="86"/>
  <c r="Q163" i="86"/>
  <c r="P163" i="86"/>
  <c r="O163" i="86"/>
  <c r="M163" i="86"/>
  <c r="L163" i="86"/>
  <c r="K163" i="86"/>
  <c r="I163" i="86"/>
  <c r="G163" i="86"/>
  <c r="E163" i="86"/>
  <c r="C163" i="86"/>
  <c r="B163" i="86"/>
  <c r="A163" i="86"/>
  <c r="Q162" i="86"/>
  <c r="P162" i="86"/>
  <c r="O162" i="86"/>
  <c r="M162" i="86"/>
  <c r="L162" i="86"/>
  <c r="K162" i="86"/>
  <c r="I162" i="86"/>
  <c r="G162" i="86"/>
  <c r="E162" i="86"/>
  <c r="C162" i="86"/>
  <c r="B162" i="86"/>
  <c r="A162" i="86"/>
  <c r="Q161" i="86"/>
  <c r="P161" i="86"/>
  <c r="O161" i="86"/>
  <c r="M161" i="86"/>
  <c r="L161" i="86"/>
  <c r="K161" i="86"/>
  <c r="I161" i="86"/>
  <c r="G161" i="86"/>
  <c r="E161" i="86"/>
  <c r="C161" i="86"/>
  <c r="B161" i="86"/>
  <c r="A161" i="86"/>
  <c r="Q160" i="86"/>
  <c r="P160" i="86"/>
  <c r="O160" i="86"/>
  <c r="M160" i="86"/>
  <c r="L160" i="86"/>
  <c r="K160" i="86"/>
  <c r="I160" i="86"/>
  <c r="G160" i="86"/>
  <c r="E160" i="86"/>
  <c r="C160" i="86"/>
  <c r="B160" i="86"/>
  <c r="A160" i="86"/>
  <c r="Q159" i="86"/>
  <c r="P159" i="86"/>
  <c r="O159" i="86"/>
  <c r="M159" i="86"/>
  <c r="L159" i="86"/>
  <c r="K159" i="86"/>
  <c r="I159" i="86"/>
  <c r="G159" i="86"/>
  <c r="E159" i="86"/>
  <c r="C159" i="86"/>
  <c r="B159" i="86"/>
  <c r="A159" i="86"/>
  <c r="Q158" i="86"/>
  <c r="P158" i="86"/>
  <c r="O158" i="86"/>
  <c r="M158" i="86"/>
  <c r="L158" i="86"/>
  <c r="K158" i="86"/>
  <c r="I158" i="86"/>
  <c r="G158" i="86"/>
  <c r="E158" i="86"/>
  <c r="C158" i="86"/>
  <c r="B158" i="86"/>
  <c r="A158" i="86"/>
  <c r="Q157" i="86"/>
  <c r="P157" i="86"/>
  <c r="O157" i="86"/>
  <c r="M157" i="86"/>
  <c r="L157" i="86"/>
  <c r="K157" i="86"/>
  <c r="I157" i="86"/>
  <c r="G157" i="86"/>
  <c r="E157" i="86"/>
  <c r="C157" i="86"/>
  <c r="B157" i="86"/>
  <c r="A157" i="86"/>
  <c r="Q156" i="86"/>
  <c r="P156" i="86"/>
  <c r="O156" i="86"/>
  <c r="M156" i="86"/>
  <c r="L156" i="86"/>
  <c r="K156" i="86"/>
  <c r="I156" i="86"/>
  <c r="G156" i="86"/>
  <c r="E156" i="86"/>
  <c r="C156" i="86"/>
  <c r="B156" i="86"/>
  <c r="A156" i="86"/>
  <c r="Q155" i="86"/>
  <c r="P155" i="86"/>
  <c r="O155" i="86"/>
  <c r="M155" i="86"/>
  <c r="L155" i="86"/>
  <c r="K155" i="86"/>
  <c r="I155" i="86"/>
  <c r="G155" i="86"/>
  <c r="E155" i="86"/>
  <c r="C155" i="86"/>
  <c r="B155" i="86"/>
  <c r="A155" i="86"/>
  <c r="Q154" i="86"/>
  <c r="P154" i="86"/>
  <c r="O154" i="86"/>
  <c r="M154" i="86"/>
  <c r="L154" i="86"/>
  <c r="K154" i="86"/>
  <c r="I154" i="86"/>
  <c r="G154" i="86"/>
  <c r="E154" i="86"/>
  <c r="C154" i="86"/>
  <c r="B154" i="86"/>
  <c r="A154" i="86"/>
  <c r="Q153" i="86"/>
  <c r="P153" i="86"/>
  <c r="O153" i="86"/>
  <c r="M153" i="86"/>
  <c r="L153" i="86"/>
  <c r="K153" i="86"/>
  <c r="I153" i="86"/>
  <c r="G153" i="86"/>
  <c r="E153" i="86"/>
  <c r="C153" i="86"/>
  <c r="B153" i="86"/>
  <c r="A153" i="86"/>
  <c r="Q152" i="86"/>
  <c r="P152" i="86"/>
  <c r="O152" i="86"/>
  <c r="M152" i="86"/>
  <c r="L152" i="86"/>
  <c r="K152" i="86"/>
  <c r="I152" i="86"/>
  <c r="G152" i="86"/>
  <c r="E152" i="86"/>
  <c r="C152" i="86"/>
  <c r="B152" i="86"/>
  <c r="A152" i="86"/>
  <c r="Q151" i="86"/>
  <c r="P151" i="86"/>
  <c r="O151" i="86"/>
  <c r="M151" i="86"/>
  <c r="L151" i="86"/>
  <c r="K151" i="86"/>
  <c r="I151" i="86"/>
  <c r="G151" i="86"/>
  <c r="E151" i="86"/>
  <c r="C151" i="86"/>
  <c r="B151" i="86"/>
  <c r="A151" i="86"/>
  <c r="Q150" i="86"/>
  <c r="P150" i="86"/>
  <c r="O150" i="86"/>
  <c r="M150" i="86"/>
  <c r="L150" i="86"/>
  <c r="K150" i="86"/>
  <c r="I150" i="86"/>
  <c r="G150" i="86"/>
  <c r="E150" i="86"/>
  <c r="C150" i="86"/>
  <c r="B150" i="86"/>
  <c r="A150" i="86"/>
  <c r="Q149" i="86"/>
  <c r="P149" i="86"/>
  <c r="O149" i="86"/>
  <c r="M149" i="86"/>
  <c r="L149" i="86"/>
  <c r="K149" i="86"/>
  <c r="I149" i="86"/>
  <c r="G149" i="86"/>
  <c r="E149" i="86"/>
  <c r="C149" i="86"/>
  <c r="B149" i="86"/>
  <c r="A149" i="86"/>
  <c r="Q148" i="86"/>
  <c r="P148" i="86"/>
  <c r="O148" i="86"/>
  <c r="M148" i="86"/>
  <c r="L148" i="86"/>
  <c r="K148" i="86"/>
  <c r="I148" i="86"/>
  <c r="G148" i="86"/>
  <c r="E148" i="86"/>
  <c r="C148" i="86"/>
  <c r="B148" i="86"/>
  <c r="A148" i="86"/>
  <c r="Q147" i="86"/>
  <c r="P147" i="86"/>
  <c r="O147" i="86"/>
  <c r="M147" i="86"/>
  <c r="L147" i="86"/>
  <c r="K147" i="86"/>
  <c r="I147" i="86"/>
  <c r="G147" i="86"/>
  <c r="E147" i="86"/>
  <c r="C147" i="86"/>
  <c r="B147" i="86"/>
  <c r="A147" i="86"/>
  <c r="Q146" i="86"/>
  <c r="P146" i="86"/>
  <c r="O146" i="86"/>
  <c r="M146" i="86"/>
  <c r="L146" i="86"/>
  <c r="K146" i="86"/>
  <c r="I146" i="86"/>
  <c r="G146" i="86"/>
  <c r="E146" i="86"/>
  <c r="C146" i="86"/>
  <c r="B146" i="86"/>
  <c r="A146" i="86"/>
  <c r="Q145" i="86"/>
  <c r="P145" i="86"/>
  <c r="O145" i="86"/>
  <c r="M145" i="86"/>
  <c r="L145" i="86"/>
  <c r="K145" i="86"/>
  <c r="I145" i="86"/>
  <c r="G145" i="86"/>
  <c r="E145" i="86"/>
  <c r="C145" i="86"/>
  <c r="B145" i="86"/>
  <c r="A145" i="86"/>
  <c r="Q144" i="86"/>
  <c r="P144" i="86"/>
  <c r="O144" i="86"/>
  <c r="M144" i="86"/>
  <c r="L144" i="86"/>
  <c r="K144" i="86"/>
  <c r="I144" i="86"/>
  <c r="G144" i="86"/>
  <c r="E144" i="86"/>
  <c r="C144" i="86"/>
  <c r="B144" i="86"/>
  <c r="A144" i="86"/>
  <c r="Q143" i="86"/>
  <c r="P143" i="86"/>
  <c r="O143" i="86"/>
  <c r="M143" i="86"/>
  <c r="L143" i="86"/>
  <c r="K143" i="86"/>
  <c r="I143" i="86"/>
  <c r="G143" i="86"/>
  <c r="E143" i="86"/>
  <c r="C143" i="86"/>
  <c r="B143" i="86"/>
  <c r="A143" i="86"/>
  <c r="Q142" i="86"/>
  <c r="P142" i="86"/>
  <c r="O142" i="86"/>
  <c r="M142" i="86"/>
  <c r="L142" i="86"/>
  <c r="K142" i="86"/>
  <c r="I142" i="86"/>
  <c r="G142" i="86"/>
  <c r="E142" i="86"/>
  <c r="C142" i="86"/>
  <c r="B142" i="86"/>
  <c r="A142" i="86"/>
  <c r="Q141" i="86"/>
  <c r="P141" i="86"/>
  <c r="O141" i="86"/>
  <c r="M141" i="86"/>
  <c r="L141" i="86"/>
  <c r="K141" i="86"/>
  <c r="I141" i="86"/>
  <c r="G141" i="86"/>
  <c r="E141" i="86"/>
  <c r="C141" i="86"/>
  <c r="B141" i="86"/>
  <c r="A141" i="86"/>
  <c r="Q140" i="86"/>
  <c r="P140" i="86"/>
  <c r="O140" i="86"/>
  <c r="M140" i="86"/>
  <c r="L140" i="86"/>
  <c r="K140" i="86"/>
  <c r="I140" i="86"/>
  <c r="G140" i="86"/>
  <c r="E140" i="86"/>
  <c r="C140" i="86"/>
  <c r="B140" i="86"/>
  <c r="A140" i="86"/>
  <c r="Q139" i="86"/>
  <c r="P139" i="86"/>
  <c r="O139" i="86"/>
  <c r="M139" i="86"/>
  <c r="L139" i="86"/>
  <c r="K139" i="86"/>
  <c r="I139" i="86"/>
  <c r="G139" i="86"/>
  <c r="E139" i="86"/>
  <c r="C139" i="86"/>
  <c r="B139" i="86"/>
  <c r="A139" i="86"/>
  <c r="Q138" i="86"/>
  <c r="P138" i="86"/>
  <c r="O138" i="86"/>
  <c r="M138" i="86"/>
  <c r="L138" i="86"/>
  <c r="K138" i="86"/>
  <c r="I138" i="86"/>
  <c r="G138" i="86"/>
  <c r="E138" i="86"/>
  <c r="C138" i="86"/>
  <c r="B138" i="86"/>
  <c r="A138" i="86"/>
  <c r="Q137" i="86"/>
  <c r="P137" i="86"/>
  <c r="O137" i="86"/>
  <c r="M137" i="86"/>
  <c r="L137" i="86"/>
  <c r="K137" i="86"/>
  <c r="I137" i="86"/>
  <c r="G137" i="86"/>
  <c r="E137" i="86"/>
  <c r="C137" i="86"/>
  <c r="B137" i="86"/>
  <c r="A137" i="86"/>
  <c r="Q136" i="86"/>
  <c r="P136" i="86"/>
  <c r="O136" i="86"/>
  <c r="M136" i="86"/>
  <c r="L136" i="86"/>
  <c r="K136" i="86"/>
  <c r="I136" i="86"/>
  <c r="G136" i="86"/>
  <c r="E136" i="86"/>
  <c r="C136" i="86"/>
  <c r="B136" i="86"/>
  <c r="A136" i="86"/>
  <c r="Q135" i="86"/>
  <c r="P135" i="86"/>
  <c r="O135" i="86"/>
  <c r="M135" i="86"/>
  <c r="L135" i="86"/>
  <c r="K135" i="86"/>
  <c r="I135" i="86"/>
  <c r="G135" i="86"/>
  <c r="E135" i="86"/>
  <c r="C135" i="86"/>
  <c r="B135" i="86"/>
  <c r="A135" i="86"/>
  <c r="Q134" i="86"/>
  <c r="P134" i="86"/>
  <c r="O134" i="86"/>
  <c r="M134" i="86"/>
  <c r="L134" i="86"/>
  <c r="K134" i="86"/>
  <c r="I134" i="86"/>
  <c r="G134" i="86"/>
  <c r="E134" i="86"/>
  <c r="C134" i="86"/>
  <c r="B134" i="86"/>
  <c r="A134" i="86"/>
  <c r="Q133" i="86"/>
  <c r="P133" i="86"/>
  <c r="O133" i="86"/>
  <c r="M133" i="86"/>
  <c r="L133" i="86"/>
  <c r="K133" i="86"/>
  <c r="I133" i="86"/>
  <c r="G133" i="86"/>
  <c r="E133" i="86"/>
  <c r="C133" i="86"/>
  <c r="B133" i="86"/>
  <c r="A133" i="86"/>
  <c r="Q132" i="86"/>
  <c r="P132" i="86"/>
  <c r="O132" i="86"/>
  <c r="M132" i="86"/>
  <c r="L132" i="86"/>
  <c r="K132" i="86"/>
  <c r="I132" i="86"/>
  <c r="G132" i="86"/>
  <c r="E132" i="86"/>
  <c r="C132" i="86"/>
  <c r="B132" i="86"/>
  <c r="A132" i="86"/>
  <c r="Q131" i="86"/>
  <c r="P131" i="86"/>
  <c r="O131" i="86"/>
  <c r="M131" i="86"/>
  <c r="L131" i="86"/>
  <c r="K131" i="86"/>
  <c r="I131" i="86"/>
  <c r="G131" i="86"/>
  <c r="E131" i="86"/>
  <c r="C131" i="86"/>
  <c r="B131" i="86"/>
  <c r="A131" i="86"/>
  <c r="Q130" i="86"/>
  <c r="P130" i="86"/>
  <c r="O130" i="86"/>
  <c r="M130" i="86"/>
  <c r="L130" i="86"/>
  <c r="K130" i="86"/>
  <c r="I130" i="86"/>
  <c r="G130" i="86"/>
  <c r="E130" i="86"/>
  <c r="C130" i="86"/>
  <c r="B130" i="86"/>
  <c r="A130" i="86"/>
  <c r="Q129" i="86"/>
  <c r="P129" i="86"/>
  <c r="O129" i="86"/>
  <c r="M129" i="86"/>
  <c r="L129" i="86"/>
  <c r="K129" i="86"/>
  <c r="I129" i="86"/>
  <c r="G129" i="86"/>
  <c r="E129" i="86"/>
  <c r="C129" i="86"/>
  <c r="B129" i="86"/>
  <c r="A129" i="86"/>
  <c r="Q128" i="86"/>
  <c r="P128" i="86"/>
  <c r="O128" i="86"/>
  <c r="M128" i="86"/>
  <c r="L128" i="86"/>
  <c r="K128" i="86"/>
  <c r="I128" i="86"/>
  <c r="G128" i="86"/>
  <c r="E128" i="86"/>
  <c r="C128" i="86"/>
  <c r="B128" i="86"/>
  <c r="A128" i="86"/>
  <c r="Q127" i="86"/>
  <c r="P127" i="86"/>
  <c r="O127" i="86"/>
  <c r="M127" i="86"/>
  <c r="L127" i="86"/>
  <c r="K127" i="86"/>
  <c r="I127" i="86"/>
  <c r="G127" i="86"/>
  <c r="E127" i="86"/>
  <c r="C127" i="86"/>
  <c r="B127" i="86"/>
  <c r="A127" i="86"/>
  <c r="Q126" i="86"/>
  <c r="P126" i="86"/>
  <c r="O126" i="86"/>
  <c r="M126" i="86"/>
  <c r="L126" i="86"/>
  <c r="K126" i="86"/>
  <c r="I126" i="86"/>
  <c r="G126" i="86"/>
  <c r="E126" i="86"/>
  <c r="C126" i="86"/>
  <c r="B126" i="86"/>
  <c r="A126" i="86"/>
  <c r="Q125" i="86"/>
  <c r="P125" i="86"/>
  <c r="O125" i="86"/>
  <c r="M125" i="86"/>
  <c r="L125" i="86"/>
  <c r="K125" i="86"/>
  <c r="I125" i="86"/>
  <c r="G125" i="86"/>
  <c r="E125" i="86"/>
  <c r="C125" i="86"/>
  <c r="B125" i="86"/>
  <c r="A125" i="86"/>
  <c r="Q124" i="86"/>
  <c r="P124" i="86"/>
  <c r="O124" i="86"/>
  <c r="M124" i="86"/>
  <c r="L124" i="86"/>
  <c r="K124" i="86"/>
  <c r="I124" i="86"/>
  <c r="G124" i="86"/>
  <c r="E124" i="86"/>
  <c r="C124" i="86"/>
  <c r="B124" i="86"/>
  <c r="A124" i="86"/>
  <c r="Q123" i="86"/>
  <c r="P123" i="86"/>
  <c r="O123" i="86"/>
  <c r="M123" i="86"/>
  <c r="L123" i="86"/>
  <c r="K123" i="86"/>
  <c r="I123" i="86"/>
  <c r="G123" i="86"/>
  <c r="E123" i="86"/>
  <c r="C123" i="86"/>
  <c r="B123" i="86"/>
  <c r="A123" i="86"/>
  <c r="Q122" i="86"/>
  <c r="P122" i="86"/>
  <c r="O122" i="86"/>
  <c r="M122" i="86"/>
  <c r="L122" i="86"/>
  <c r="K122" i="86"/>
  <c r="I122" i="86"/>
  <c r="G122" i="86"/>
  <c r="E122" i="86"/>
  <c r="C122" i="86"/>
  <c r="B122" i="86"/>
  <c r="A122" i="86"/>
  <c r="Q121" i="86"/>
  <c r="P121" i="86"/>
  <c r="O121" i="86"/>
  <c r="M121" i="86"/>
  <c r="L121" i="86"/>
  <c r="K121" i="86"/>
  <c r="I121" i="86"/>
  <c r="G121" i="86"/>
  <c r="E121" i="86"/>
  <c r="C121" i="86"/>
  <c r="B121" i="86"/>
  <c r="A121" i="86"/>
  <c r="Q120" i="86"/>
  <c r="P120" i="86"/>
  <c r="O120" i="86"/>
  <c r="M120" i="86"/>
  <c r="L120" i="86"/>
  <c r="K120" i="86"/>
  <c r="I120" i="86"/>
  <c r="G120" i="86"/>
  <c r="E120" i="86"/>
  <c r="C120" i="86"/>
  <c r="B120" i="86"/>
  <c r="A120" i="86"/>
  <c r="Q119" i="86"/>
  <c r="P119" i="86"/>
  <c r="O119" i="86"/>
  <c r="M119" i="86"/>
  <c r="L119" i="86"/>
  <c r="K119" i="86"/>
  <c r="I119" i="86"/>
  <c r="G119" i="86"/>
  <c r="E119" i="86"/>
  <c r="C119" i="86"/>
  <c r="B119" i="86"/>
  <c r="A119" i="86"/>
  <c r="Q118" i="86"/>
  <c r="P118" i="86"/>
  <c r="O118" i="86"/>
  <c r="M118" i="86"/>
  <c r="L118" i="86"/>
  <c r="K118" i="86"/>
  <c r="I118" i="86"/>
  <c r="G118" i="86"/>
  <c r="E118" i="86"/>
  <c r="C118" i="86"/>
  <c r="B118" i="86"/>
  <c r="A118" i="86"/>
  <c r="Q117" i="86"/>
  <c r="P117" i="86"/>
  <c r="O117" i="86"/>
  <c r="M117" i="86"/>
  <c r="L117" i="86"/>
  <c r="K117" i="86"/>
  <c r="I117" i="86"/>
  <c r="G117" i="86"/>
  <c r="E117" i="86"/>
  <c r="C117" i="86"/>
  <c r="B117" i="86"/>
  <c r="A117" i="86"/>
  <c r="Q116" i="86"/>
  <c r="P116" i="86"/>
  <c r="O116" i="86"/>
  <c r="M116" i="86"/>
  <c r="L116" i="86"/>
  <c r="K116" i="86"/>
  <c r="I116" i="86"/>
  <c r="G116" i="86"/>
  <c r="E116" i="86"/>
  <c r="C116" i="86"/>
  <c r="B116" i="86"/>
  <c r="A116" i="86"/>
  <c r="Q115" i="86"/>
  <c r="P115" i="86"/>
  <c r="O115" i="86"/>
  <c r="M115" i="86"/>
  <c r="L115" i="86"/>
  <c r="K115" i="86"/>
  <c r="I115" i="86"/>
  <c r="G115" i="86"/>
  <c r="E115" i="86"/>
  <c r="C115" i="86"/>
  <c r="B115" i="86"/>
  <c r="A115" i="86"/>
  <c r="Q114" i="86"/>
  <c r="P114" i="86"/>
  <c r="O114" i="86"/>
  <c r="M114" i="86"/>
  <c r="L114" i="86"/>
  <c r="K114" i="86"/>
  <c r="I114" i="86"/>
  <c r="G114" i="86"/>
  <c r="E114" i="86"/>
  <c r="C114" i="86"/>
  <c r="B114" i="86"/>
  <c r="A114" i="86"/>
  <c r="Q113" i="86"/>
  <c r="P113" i="86"/>
  <c r="O113" i="86"/>
  <c r="M113" i="86"/>
  <c r="L113" i="86"/>
  <c r="K113" i="86"/>
  <c r="I113" i="86"/>
  <c r="G113" i="86"/>
  <c r="E113" i="86"/>
  <c r="C113" i="86"/>
  <c r="B113" i="86"/>
  <c r="A113" i="86"/>
  <c r="Q112" i="86"/>
  <c r="P112" i="86"/>
  <c r="O112" i="86"/>
  <c r="M112" i="86"/>
  <c r="L112" i="86"/>
  <c r="K112" i="86"/>
  <c r="I112" i="86"/>
  <c r="G112" i="86"/>
  <c r="E112" i="86"/>
  <c r="C112" i="86"/>
  <c r="B112" i="86"/>
  <c r="A112" i="86"/>
  <c r="Q111" i="86"/>
  <c r="P111" i="86"/>
  <c r="O111" i="86"/>
  <c r="M111" i="86"/>
  <c r="L111" i="86"/>
  <c r="K111" i="86"/>
  <c r="I111" i="86"/>
  <c r="G111" i="86"/>
  <c r="E111" i="86"/>
  <c r="C111" i="86"/>
  <c r="B111" i="86"/>
  <c r="A111" i="86"/>
  <c r="Q110" i="86"/>
  <c r="P110" i="86"/>
  <c r="O110" i="86"/>
  <c r="M110" i="86"/>
  <c r="L110" i="86"/>
  <c r="K110" i="86"/>
  <c r="I110" i="86"/>
  <c r="G110" i="86"/>
  <c r="E110" i="86"/>
  <c r="C110" i="86"/>
  <c r="B110" i="86"/>
  <c r="A110" i="86"/>
  <c r="Q109" i="86"/>
  <c r="P109" i="86"/>
  <c r="O109" i="86"/>
  <c r="M109" i="86"/>
  <c r="L109" i="86"/>
  <c r="K109" i="86"/>
  <c r="I109" i="86"/>
  <c r="G109" i="86"/>
  <c r="E109" i="86"/>
  <c r="C109" i="86"/>
  <c r="B109" i="86"/>
  <c r="A109" i="86"/>
  <c r="Q108" i="86"/>
  <c r="P108" i="86"/>
  <c r="O108" i="86"/>
  <c r="M108" i="86"/>
  <c r="L108" i="86"/>
  <c r="K108" i="86"/>
  <c r="I108" i="86"/>
  <c r="G108" i="86"/>
  <c r="E108" i="86"/>
  <c r="C108" i="86"/>
  <c r="B108" i="86"/>
  <c r="A108" i="86"/>
  <c r="Q107" i="86"/>
  <c r="P107" i="86"/>
  <c r="O107" i="86"/>
  <c r="M107" i="86"/>
  <c r="L107" i="86"/>
  <c r="K107" i="86"/>
  <c r="I107" i="86"/>
  <c r="G107" i="86"/>
  <c r="E107" i="86"/>
  <c r="C107" i="86"/>
  <c r="B107" i="86"/>
  <c r="A107" i="86"/>
  <c r="Q106" i="86"/>
  <c r="P106" i="86"/>
  <c r="O106" i="86"/>
  <c r="M106" i="86"/>
  <c r="L106" i="86"/>
  <c r="K106" i="86"/>
  <c r="I106" i="86"/>
  <c r="G106" i="86"/>
  <c r="E106" i="86"/>
  <c r="C106" i="86"/>
  <c r="B106" i="86"/>
  <c r="A106" i="86"/>
  <c r="Q105" i="86"/>
  <c r="P105" i="86"/>
  <c r="O105" i="86"/>
  <c r="M105" i="86"/>
  <c r="L105" i="86"/>
  <c r="K105" i="86"/>
  <c r="I105" i="86"/>
  <c r="G105" i="86"/>
  <c r="E105" i="86"/>
  <c r="C105" i="86"/>
  <c r="B105" i="86"/>
  <c r="A105" i="86"/>
  <c r="Q104" i="86"/>
  <c r="P104" i="86"/>
  <c r="O104" i="86"/>
  <c r="M104" i="86"/>
  <c r="L104" i="86"/>
  <c r="K104" i="86"/>
  <c r="I104" i="86"/>
  <c r="G104" i="86"/>
  <c r="E104" i="86"/>
  <c r="C104" i="86"/>
  <c r="B104" i="86"/>
  <c r="A104" i="86"/>
  <c r="Q103" i="86"/>
  <c r="P103" i="86"/>
  <c r="O103" i="86"/>
  <c r="M103" i="86"/>
  <c r="L103" i="86"/>
  <c r="K103" i="86"/>
  <c r="I103" i="86"/>
  <c r="G103" i="86"/>
  <c r="E103" i="86"/>
  <c r="C103" i="86"/>
  <c r="B103" i="86"/>
  <c r="A103" i="86"/>
  <c r="Q102" i="86"/>
  <c r="P102" i="86"/>
  <c r="O102" i="86"/>
  <c r="M102" i="86"/>
  <c r="L102" i="86"/>
  <c r="K102" i="86"/>
  <c r="I102" i="86"/>
  <c r="G102" i="86"/>
  <c r="E102" i="86"/>
  <c r="C102" i="86"/>
  <c r="B102" i="86"/>
  <c r="A102" i="86"/>
  <c r="Q101" i="86"/>
  <c r="P101" i="86"/>
  <c r="O101" i="86"/>
  <c r="M101" i="86"/>
  <c r="L101" i="86"/>
  <c r="K101" i="86"/>
  <c r="I101" i="86"/>
  <c r="G101" i="86"/>
  <c r="E101" i="86"/>
  <c r="C101" i="86"/>
  <c r="B101" i="86"/>
  <c r="A101" i="86"/>
  <c r="Q100" i="86"/>
  <c r="P100" i="86"/>
  <c r="O100" i="86"/>
  <c r="M100" i="86"/>
  <c r="L100" i="86"/>
  <c r="K100" i="86"/>
  <c r="I100" i="86"/>
  <c r="G100" i="86"/>
  <c r="E100" i="86"/>
  <c r="C100" i="86"/>
  <c r="B100" i="86"/>
  <c r="A100" i="86"/>
  <c r="Q99" i="86"/>
  <c r="P99" i="86"/>
  <c r="O99" i="86"/>
  <c r="M99" i="86"/>
  <c r="L99" i="86"/>
  <c r="K99" i="86"/>
  <c r="I99" i="86"/>
  <c r="G99" i="86"/>
  <c r="E99" i="86"/>
  <c r="C99" i="86"/>
  <c r="B99" i="86"/>
  <c r="A99" i="86"/>
  <c r="Q98" i="86"/>
  <c r="P98" i="86"/>
  <c r="O98" i="86"/>
  <c r="M98" i="86"/>
  <c r="L98" i="86"/>
  <c r="K98" i="86"/>
  <c r="I98" i="86"/>
  <c r="G98" i="86"/>
  <c r="E98" i="86"/>
  <c r="C98" i="86"/>
  <c r="B98" i="86"/>
  <c r="A98" i="86"/>
  <c r="Q97" i="86"/>
  <c r="P97" i="86"/>
  <c r="O97" i="86"/>
  <c r="M97" i="86"/>
  <c r="L97" i="86"/>
  <c r="K97" i="86"/>
  <c r="I97" i="86"/>
  <c r="G97" i="86"/>
  <c r="E97" i="86"/>
  <c r="C97" i="86"/>
  <c r="B97" i="86"/>
  <c r="A97" i="86"/>
  <c r="Q96" i="86"/>
  <c r="P96" i="86"/>
  <c r="O96" i="86"/>
  <c r="M96" i="86"/>
  <c r="L96" i="86"/>
  <c r="K96" i="86"/>
  <c r="I96" i="86"/>
  <c r="G96" i="86"/>
  <c r="E96" i="86"/>
  <c r="C96" i="86"/>
  <c r="B96" i="86"/>
  <c r="A96" i="86"/>
  <c r="Q95" i="86"/>
  <c r="P95" i="86"/>
  <c r="O95" i="86"/>
  <c r="M95" i="86"/>
  <c r="L95" i="86"/>
  <c r="K95" i="86"/>
  <c r="I95" i="86"/>
  <c r="G95" i="86"/>
  <c r="E95" i="86"/>
  <c r="C95" i="86"/>
  <c r="B95" i="86"/>
  <c r="A95" i="86"/>
  <c r="Q94" i="86"/>
  <c r="P94" i="86"/>
  <c r="O94" i="86"/>
  <c r="M94" i="86"/>
  <c r="L94" i="86"/>
  <c r="K94" i="86"/>
  <c r="I94" i="86"/>
  <c r="G94" i="86"/>
  <c r="E94" i="86"/>
  <c r="C94" i="86"/>
  <c r="B94" i="86"/>
  <c r="A94" i="86"/>
  <c r="Q93" i="86"/>
  <c r="P93" i="86"/>
  <c r="O93" i="86"/>
  <c r="M93" i="86"/>
  <c r="L93" i="86"/>
  <c r="K93" i="86"/>
  <c r="I93" i="86"/>
  <c r="G93" i="86"/>
  <c r="E93" i="86"/>
  <c r="C93" i="86"/>
  <c r="B93" i="86"/>
  <c r="A93" i="86"/>
  <c r="Q92" i="86"/>
  <c r="P92" i="86"/>
  <c r="O92" i="86"/>
  <c r="M92" i="86"/>
  <c r="L92" i="86"/>
  <c r="K92" i="86"/>
  <c r="I92" i="86"/>
  <c r="G92" i="86"/>
  <c r="E92" i="86"/>
  <c r="C92" i="86"/>
  <c r="B92" i="86"/>
  <c r="A92" i="86"/>
  <c r="Q91" i="86"/>
  <c r="P91" i="86"/>
  <c r="O91" i="86"/>
  <c r="M91" i="86"/>
  <c r="L91" i="86"/>
  <c r="K91" i="86"/>
  <c r="I91" i="86"/>
  <c r="G91" i="86"/>
  <c r="E91" i="86"/>
  <c r="C91" i="86"/>
  <c r="B91" i="86"/>
  <c r="A91" i="86"/>
  <c r="Q90" i="86"/>
  <c r="P90" i="86"/>
  <c r="O90" i="86"/>
  <c r="M90" i="86"/>
  <c r="L90" i="86"/>
  <c r="K90" i="86"/>
  <c r="I90" i="86"/>
  <c r="G90" i="86"/>
  <c r="E90" i="86"/>
  <c r="C90" i="86"/>
  <c r="B90" i="86"/>
  <c r="A90" i="86"/>
  <c r="Q89" i="86"/>
  <c r="P89" i="86"/>
  <c r="O89" i="86"/>
  <c r="M89" i="86"/>
  <c r="L89" i="86"/>
  <c r="K89" i="86"/>
  <c r="I89" i="86"/>
  <c r="G89" i="86"/>
  <c r="E89" i="86"/>
  <c r="C89" i="86"/>
  <c r="B89" i="86"/>
  <c r="A89" i="86"/>
  <c r="Q88" i="86"/>
  <c r="P88" i="86"/>
  <c r="O88" i="86"/>
  <c r="M88" i="86"/>
  <c r="L88" i="86"/>
  <c r="K88" i="86"/>
  <c r="I88" i="86"/>
  <c r="G88" i="86"/>
  <c r="E88" i="86"/>
  <c r="C88" i="86"/>
  <c r="B88" i="86"/>
  <c r="A88" i="86"/>
  <c r="Q87" i="86"/>
  <c r="P87" i="86"/>
  <c r="O87" i="86"/>
  <c r="M87" i="86"/>
  <c r="L87" i="86"/>
  <c r="K87" i="86"/>
  <c r="I87" i="86"/>
  <c r="G87" i="86"/>
  <c r="E87" i="86"/>
  <c r="C87" i="86"/>
  <c r="B87" i="86"/>
  <c r="A87" i="86"/>
  <c r="Q86" i="86"/>
  <c r="P86" i="86"/>
  <c r="O86" i="86"/>
  <c r="M86" i="86"/>
  <c r="L86" i="86"/>
  <c r="K86" i="86"/>
  <c r="I86" i="86"/>
  <c r="G86" i="86"/>
  <c r="E86" i="86"/>
  <c r="C86" i="86"/>
  <c r="B86" i="86"/>
  <c r="A86" i="86"/>
  <c r="Q85" i="86"/>
  <c r="P85" i="86"/>
  <c r="O85" i="86"/>
  <c r="M85" i="86"/>
  <c r="L85" i="86"/>
  <c r="K85" i="86"/>
  <c r="I85" i="86"/>
  <c r="G85" i="86"/>
  <c r="E85" i="86"/>
  <c r="C85" i="86"/>
  <c r="B85" i="86"/>
  <c r="A85" i="86"/>
  <c r="Q84" i="86"/>
  <c r="P84" i="86"/>
  <c r="O84" i="86"/>
  <c r="M84" i="86"/>
  <c r="L84" i="86"/>
  <c r="K84" i="86"/>
  <c r="I84" i="86"/>
  <c r="G84" i="86"/>
  <c r="E84" i="86"/>
  <c r="C84" i="86"/>
  <c r="B84" i="86"/>
  <c r="A84" i="86"/>
  <c r="Q83" i="86"/>
  <c r="P83" i="86"/>
  <c r="O83" i="86"/>
  <c r="M83" i="86"/>
  <c r="L83" i="86"/>
  <c r="K83" i="86"/>
  <c r="I83" i="86"/>
  <c r="G83" i="86"/>
  <c r="E83" i="86"/>
  <c r="C83" i="86"/>
  <c r="B83" i="86"/>
  <c r="A83" i="86"/>
  <c r="Q82" i="86"/>
  <c r="P82" i="86"/>
  <c r="O82" i="86"/>
  <c r="M82" i="86"/>
  <c r="L82" i="86"/>
  <c r="K82" i="86"/>
  <c r="I82" i="86"/>
  <c r="G82" i="86"/>
  <c r="E82" i="86"/>
  <c r="C82" i="86"/>
  <c r="B82" i="86"/>
  <c r="A82" i="86"/>
  <c r="Q81" i="86"/>
  <c r="P81" i="86"/>
  <c r="O81" i="86"/>
  <c r="M81" i="86"/>
  <c r="L81" i="86"/>
  <c r="K81" i="86"/>
  <c r="I81" i="86"/>
  <c r="G81" i="86"/>
  <c r="E81" i="86"/>
  <c r="C81" i="86"/>
  <c r="B81" i="86"/>
  <c r="A81" i="86"/>
  <c r="Q80" i="86"/>
  <c r="P80" i="86"/>
  <c r="O80" i="86"/>
  <c r="M80" i="86"/>
  <c r="L80" i="86"/>
  <c r="K80" i="86"/>
  <c r="I80" i="86"/>
  <c r="G80" i="86"/>
  <c r="E80" i="86"/>
  <c r="C80" i="86"/>
  <c r="B80" i="86"/>
  <c r="A80" i="86"/>
  <c r="Q79" i="86"/>
  <c r="P79" i="86"/>
  <c r="O79" i="86"/>
  <c r="M79" i="86"/>
  <c r="L79" i="86"/>
  <c r="K79" i="86"/>
  <c r="I79" i="86"/>
  <c r="G79" i="86"/>
  <c r="E79" i="86"/>
  <c r="C79" i="86"/>
  <c r="B79" i="86"/>
  <c r="A79" i="86"/>
  <c r="Q78" i="86"/>
  <c r="P78" i="86"/>
  <c r="O78" i="86"/>
  <c r="M78" i="86"/>
  <c r="L78" i="86"/>
  <c r="K78" i="86"/>
  <c r="I78" i="86"/>
  <c r="G78" i="86"/>
  <c r="E78" i="86"/>
  <c r="C78" i="86"/>
  <c r="B78" i="86"/>
  <c r="A78" i="86"/>
  <c r="Q77" i="86"/>
  <c r="P77" i="86"/>
  <c r="O77" i="86"/>
  <c r="M77" i="86"/>
  <c r="L77" i="86"/>
  <c r="K77" i="86"/>
  <c r="I77" i="86"/>
  <c r="G77" i="86"/>
  <c r="E77" i="86"/>
  <c r="C77" i="86"/>
  <c r="B77" i="86"/>
  <c r="A77" i="86"/>
  <c r="Q76" i="86"/>
  <c r="P76" i="86"/>
  <c r="O76" i="86"/>
  <c r="M76" i="86"/>
  <c r="L76" i="86"/>
  <c r="K76" i="86"/>
  <c r="I76" i="86"/>
  <c r="G76" i="86"/>
  <c r="E76" i="86"/>
  <c r="C76" i="86"/>
  <c r="B76" i="86"/>
  <c r="A76" i="86"/>
  <c r="Q75" i="86"/>
  <c r="P75" i="86"/>
  <c r="O75" i="86"/>
  <c r="M75" i="86"/>
  <c r="L75" i="86"/>
  <c r="K75" i="86"/>
  <c r="I75" i="86"/>
  <c r="G75" i="86"/>
  <c r="E75" i="86"/>
  <c r="C75" i="86"/>
  <c r="B75" i="86"/>
  <c r="A75" i="86"/>
  <c r="Q74" i="86"/>
  <c r="P74" i="86"/>
  <c r="O74" i="86"/>
  <c r="M74" i="86"/>
  <c r="L74" i="86"/>
  <c r="K74" i="86"/>
  <c r="I74" i="86"/>
  <c r="G74" i="86"/>
  <c r="E74" i="86"/>
  <c r="C74" i="86"/>
  <c r="B74" i="86"/>
  <c r="A74" i="86"/>
  <c r="Q73" i="86"/>
  <c r="P73" i="86"/>
  <c r="O73" i="86"/>
  <c r="M73" i="86"/>
  <c r="L73" i="86"/>
  <c r="K73" i="86"/>
  <c r="I73" i="86"/>
  <c r="G73" i="86"/>
  <c r="E73" i="86"/>
  <c r="C73" i="86"/>
  <c r="B73" i="86"/>
  <c r="A73" i="86"/>
  <c r="Q72" i="86"/>
  <c r="P72" i="86"/>
  <c r="O72" i="86"/>
  <c r="M72" i="86"/>
  <c r="L72" i="86"/>
  <c r="K72" i="86"/>
  <c r="I72" i="86"/>
  <c r="G72" i="86"/>
  <c r="E72" i="86"/>
  <c r="C72" i="86"/>
  <c r="B72" i="86"/>
  <c r="A72" i="86"/>
  <c r="Q71" i="86"/>
  <c r="P71" i="86"/>
  <c r="O71" i="86"/>
  <c r="M71" i="86"/>
  <c r="L71" i="86"/>
  <c r="K71" i="86"/>
  <c r="I71" i="86"/>
  <c r="G71" i="86"/>
  <c r="E71" i="86"/>
  <c r="C71" i="86"/>
  <c r="B71" i="86"/>
  <c r="A71" i="86"/>
  <c r="Q70" i="86"/>
  <c r="P70" i="86"/>
  <c r="O70" i="86"/>
  <c r="M70" i="86"/>
  <c r="L70" i="86"/>
  <c r="K70" i="86"/>
  <c r="I70" i="86"/>
  <c r="G70" i="86"/>
  <c r="E70" i="86"/>
  <c r="C70" i="86"/>
  <c r="B70" i="86"/>
  <c r="A70" i="86"/>
  <c r="Q69" i="86"/>
  <c r="P69" i="86"/>
  <c r="O69" i="86"/>
  <c r="M69" i="86"/>
  <c r="L69" i="86"/>
  <c r="K69" i="86"/>
  <c r="I69" i="86"/>
  <c r="G69" i="86"/>
  <c r="E69" i="86"/>
  <c r="C69" i="86"/>
  <c r="B69" i="86"/>
  <c r="A69" i="86"/>
  <c r="Q68" i="86"/>
  <c r="P68" i="86"/>
  <c r="O68" i="86"/>
  <c r="M68" i="86"/>
  <c r="L68" i="86"/>
  <c r="K68" i="86"/>
  <c r="I68" i="86"/>
  <c r="G68" i="86"/>
  <c r="E68" i="86"/>
  <c r="C68" i="86"/>
  <c r="B68" i="86"/>
  <c r="A68" i="86"/>
  <c r="Q67" i="86"/>
  <c r="P67" i="86"/>
  <c r="O67" i="86"/>
  <c r="M67" i="86"/>
  <c r="L67" i="86"/>
  <c r="K67" i="86"/>
  <c r="I67" i="86"/>
  <c r="G67" i="86"/>
  <c r="E67" i="86"/>
  <c r="C67" i="86"/>
  <c r="B67" i="86"/>
  <c r="A67" i="86"/>
  <c r="Q66" i="86"/>
  <c r="P66" i="86"/>
  <c r="O66" i="86"/>
  <c r="M66" i="86"/>
  <c r="L66" i="86"/>
  <c r="K66" i="86"/>
  <c r="I66" i="86"/>
  <c r="G66" i="86"/>
  <c r="E66" i="86"/>
  <c r="C66" i="86"/>
  <c r="B66" i="86"/>
  <c r="A66" i="86"/>
  <c r="Q65" i="86"/>
  <c r="P65" i="86"/>
  <c r="O65" i="86"/>
  <c r="M65" i="86"/>
  <c r="L65" i="86"/>
  <c r="K65" i="86"/>
  <c r="I65" i="86"/>
  <c r="G65" i="86"/>
  <c r="E65" i="86"/>
  <c r="C65" i="86"/>
  <c r="B65" i="86"/>
  <c r="A65" i="86"/>
  <c r="Q64" i="86"/>
  <c r="P64" i="86"/>
  <c r="O64" i="86"/>
  <c r="M64" i="86"/>
  <c r="L64" i="86"/>
  <c r="K64" i="86"/>
  <c r="I64" i="86"/>
  <c r="G64" i="86"/>
  <c r="E64" i="86"/>
  <c r="C64" i="86"/>
  <c r="B64" i="86"/>
  <c r="A64" i="86"/>
  <c r="Q63" i="86"/>
  <c r="P63" i="86"/>
  <c r="O63" i="86"/>
  <c r="M63" i="86"/>
  <c r="L63" i="86"/>
  <c r="K63" i="86"/>
  <c r="I63" i="86"/>
  <c r="G63" i="86"/>
  <c r="E63" i="86"/>
  <c r="C63" i="86"/>
  <c r="B63" i="86"/>
  <c r="A63" i="86"/>
  <c r="Q62" i="86"/>
  <c r="P62" i="86"/>
  <c r="O62" i="86"/>
  <c r="M62" i="86"/>
  <c r="L62" i="86"/>
  <c r="K62" i="86"/>
  <c r="I62" i="86"/>
  <c r="G62" i="86"/>
  <c r="E62" i="86"/>
  <c r="C62" i="86"/>
  <c r="B62" i="86"/>
  <c r="A62" i="86"/>
  <c r="Q61" i="86"/>
  <c r="P61" i="86"/>
  <c r="O61" i="86"/>
  <c r="M61" i="86"/>
  <c r="L61" i="86"/>
  <c r="K61" i="86"/>
  <c r="I61" i="86"/>
  <c r="G61" i="86"/>
  <c r="E61" i="86"/>
  <c r="C61" i="86"/>
  <c r="B61" i="86"/>
  <c r="A61" i="86"/>
  <c r="Q60" i="86"/>
  <c r="P60" i="86"/>
  <c r="O60" i="86"/>
  <c r="M60" i="86"/>
  <c r="L60" i="86"/>
  <c r="K60" i="86"/>
  <c r="I60" i="86"/>
  <c r="G60" i="86"/>
  <c r="E60" i="86"/>
  <c r="C60" i="86"/>
  <c r="B60" i="86"/>
  <c r="A60" i="86"/>
  <c r="Q59" i="86"/>
  <c r="P59" i="86"/>
  <c r="O59" i="86"/>
  <c r="M59" i="86"/>
  <c r="L59" i="86"/>
  <c r="K59" i="86"/>
  <c r="I59" i="86"/>
  <c r="G59" i="86"/>
  <c r="E59" i="86"/>
  <c r="C59" i="86"/>
  <c r="B59" i="86"/>
  <c r="A59" i="86"/>
  <c r="Q58" i="86"/>
  <c r="P58" i="86"/>
  <c r="O58" i="86"/>
  <c r="M58" i="86"/>
  <c r="L58" i="86"/>
  <c r="K58" i="86"/>
  <c r="I58" i="86"/>
  <c r="G58" i="86"/>
  <c r="E58" i="86"/>
  <c r="C58" i="86"/>
  <c r="B58" i="86"/>
  <c r="A58" i="86"/>
  <c r="Q57" i="86"/>
  <c r="P57" i="86"/>
  <c r="O57" i="86"/>
  <c r="M57" i="86"/>
  <c r="L57" i="86"/>
  <c r="K57" i="86"/>
  <c r="I57" i="86"/>
  <c r="G57" i="86"/>
  <c r="E57" i="86"/>
  <c r="C57" i="86"/>
  <c r="B57" i="86"/>
  <c r="A57" i="86"/>
  <c r="Q56" i="86"/>
  <c r="P56" i="86"/>
  <c r="O56" i="86"/>
  <c r="M56" i="86"/>
  <c r="L56" i="86"/>
  <c r="K56" i="86"/>
  <c r="I56" i="86"/>
  <c r="G56" i="86"/>
  <c r="E56" i="86"/>
  <c r="C56" i="86"/>
  <c r="B56" i="86"/>
  <c r="A56" i="86"/>
  <c r="Q55" i="86"/>
  <c r="P55" i="86"/>
  <c r="O55" i="86"/>
  <c r="M55" i="86"/>
  <c r="L55" i="86"/>
  <c r="K55" i="86"/>
  <c r="I55" i="86"/>
  <c r="G55" i="86"/>
  <c r="E55" i="86"/>
  <c r="C55" i="86"/>
  <c r="B55" i="86"/>
  <c r="A55" i="86"/>
  <c r="Q54" i="86"/>
  <c r="P54" i="86"/>
  <c r="O54" i="86"/>
  <c r="M54" i="86"/>
  <c r="L54" i="86"/>
  <c r="K54" i="86"/>
  <c r="I54" i="86"/>
  <c r="G54" i="86"/>
  <c r="E54" i="86"/>
  <c r="C54" i="86"/>
  <c r="B54" i="86"/>
  <c r="A54" i="86"/>
  <c r="Q53" i="86"/>
  <c r="P53" i="86"/>
  <c r="O53" i="86"/>
  <c r="M53" i="86"/>
  <c r="L53" i="86"/>
  <c r="K53" i="86"/>
  <c r="I53" i="86"/>
  <c r="G53" i="86"/>
  <c r="E53" i="86"/>
  <c r="C53" i="86"/>
  <c r="B53" i="86"/>
  <c r="A53" i="86"/>
  <c r="Q52" i="86"/>
  <c r="P52" i="86"/>
  <c r="O52" i="86"/>
  <c r="M52" i="86"/>
  <c r="L52" i="86"/>
  <c r="K52" i="86"/>
  <c r="I52" i="86"/>
  <c r="G52" i="86"/>
  <c r="E52" i="86"/>
  <c r="C52" i="86"/>
  <c r="B52" i="86"/>
  <c r="A52" i="86"/>
  <c r="Q51" i="86"/>
  <c r="P51" i="86"/>
  <c r="O51" i="86"/>
  <c r="M51" i="86"/>
  <c r="L51" i="86"/>
  <c r="K51" i="86"/>
  <c r="I51" i="86"/>
  <c r="G51" i="86"/>
  <c r="E51" i="86"/>
  <c r="C51" i="86"/>
  <c r="B51" i="86"/>
  <c r="A51" i="86"/>
  <c r="Q50" i="86"/>
  <c r="P50" i="86"/>
  <c r="O50" i="86"/>
  <c r="M50" i="86"/>
  <c r="L50" i="86"/>
  <c r="K50" i="86"/>
  <c r="I50" i="86"/>
  <c r="G50" i="86"/>
  <c r="E50" i="86"/>
  <c r="C50" i="86"/>
  <c r="B50" i="86"/>
  <c r="A50" i="86"/>
  <c r="Q49" i="86"/>
  <c r="P49" i="86"/>
  <c r="O49" i="86"/>
  <c r="M49" i="86"/>
  <c r="L49" i="86"/>
  <c r="K49" i="86"/>
  <c r="I49" i="86"/>
  <c r="G49" i="86"/>
  <c r="E49" i="86"/>
  <c r="C49" i="86"/>
  <c r="B49" i="86"/>
  <c r="A49" i="86"/>
  <c r="Q48" i="86"/>
  <c r="P48" i="86"/>
  <c r="O48" i="86"/>
  <c r="M48" i="86"/>
  <c r="L48" i="86"/>
  <c r="K48" i="86"/>
  <c r="I48" i="86"/>
  <c r="G48" i="86"/>
  <c r="E48" i="86"/>
  <c r="C48" i="86"/>
  <c r="B48" i="86"/>
  <c r="A48" i="86"/>
  <c r="Q47" i="86"/>
  <c r="P47" i="86"/>
  <c r="O47" i="86"/>
  <c r="M47" i="86"/>
  <c r="L47" i="86"/>
  <c r="K47" i="86"/>
  <c r="I47" i="86"/>
  <c r="G47" i="86"/>
  <c r="E47" i="86"/>
  <c r="C47" i="86"/>
  <c r="B47" i="86"/>
  <c r="A47" i="86"/>
  <c r="Q46" i="86"/>
  <c r="P46" i="86"/>
  <c r="O46" i="86"/>
  <c r="M46" i="86"/>
  <c r="L46" i="86"/>
  <c r="K46" i="86"/>
  <c r="I46" i="86"/>
  <c r="G46" i="86"/>
  <c r="E46" i="86"/>
  <c r="C46" i="86"/>
  <c r="B46" i="86"/>
  <c r="A46" i="86"/>
  <c r="Q45" i="86"/>
  <c r="P45" i="86"/>
  <c r="O45" i="86"/>
  <c r="M45" i="86"/>
  <c r="L45" i="86"/>
  <c r="K45" i="86"/>
  <c r="I45" i="86"/>
  <c r="G45" i="86"/>
  <c r="E45" i="86"/>
  <c r="C45" i="86"/>
  <c r="B45" i="86"/>
  <c r="A45" i="86"/>
  <c r="Q44" i="86"/>
  <c r="P44" i="86"/>
  <c r="O44" i="86"/>
  <c r="M44" i="86"/>
  <c r="L44" i="86"/>
  <c r="K44" i="86"/>
  <c r="I44" i="86"/>
  <c r="G44" i="86"/>
  <c r="E44" i="86"/>
  <c r="C44" i="86"/>
  <c r="B44" i="86"/>
  <c r="A44" i="86"/>
  <c r="Q43" i="86"/>
  <c r="P43" i="86"/>
  <c r="O43" i="86"/>
  <c r="M43" i="86"/>
  <c r="L43" i="86"/>
  <c r="K43" i="86"/>
  <c r="I43" i="86"/>
  <c r="G43" i="86"/>
  <c r="E43" i="86"/>
  <c r="C43" i="86"/>
  <c r="B43" i="86"/>
  <c r="A43" i="86"/>
  <c r="Q42" i="86"/>
  <c r="P42" i="86"/>
  <c r="O42" i="86"/>
  <c r="M42" i="86"/>
  <c r="L42" i="86"/>
  <c r="K42" i="86"/>
  <c r="I42" i="86"/>
  <c r="G42" i="86"/>
  <c r="E42" i="86"/>
  <c r="C42" i="86"/>
  <c r="B42" i="86"/>
  <c r="A42" i="86"/>
  <c r="Q41" i="86"/>
  <c r="P41" i="86"/>
  <c r="O41" i="86"/>
  <c r="M41" i="86"/>
  <c r="L41" i="86"/>
  <c r="K41" i="86"/>
  <c r="I41" i="86"/>
  <c r="G41" i="86"/>
  <c r="E41" i="86"/>
  <c r="C41" i="86"/>
  <c r="B41" i="86"/>
  <c r="A41" i="86"/>
  <c r="Q40" i="86"/>
  <c r="P40" i="86"/>
  <c r="O40" i="86"/>
  <c r="M40" i="86"/>
  <c r="L40" i="86"/>
  <c r="K40" i="86"/>
  <c r="I40" i="86"/>
  <c r="G40" i="86"/>
  <c r="E40" i="86"/>
  <c r="C40" i="86"/>
  <c r="B40" i="86"/>
  <c r="A40" i="86"/>
  <c r="Q39" i="86"/>
  <c r="P39" i="86"/>
  <c r="O39" i="86"/>
  <c r="M39" i="86"/>
  <c r="L39" i="86"/>
  <c r="K39" i="86"/>
  <c r="I39" i="86"/>
  <c r="G39" i="86"/>
  <c r="E39" i="86"/>
  <c r="C39" i="86"/>
  <c r="B39" i="86"/>
  <c r="A39" i="86"/>
  <c r="Q38" i="86"/>
  <c r="P38" i="86"/>
  <c r="O38" i="86"/>
  <c r="M38" i="86"/>
  <c r="L38" i="86"/>
  <c r="K38" i="86"/>
  <c r="I38" i="86"/>
  <c r="G38" i="86"/>
  <c r="E38" i="86"/>
  <c r="C38" i="86"/>
  <c r="B38" i="86"/>
  <c r="A38" i="86"/>
  <c r="Q37" i="86"/>
  <c r="P37" i="86"/>
  <c r="O37" i="86"/>
  <c r="M37" i="86"/>
  <c r="L37" i="86"/>
  <c r="K37" i="86"/>
  <c r="I37" i="86"/>
  <c r="G37" i="86"/>
  <c r="E37" i="86"/>
  <c r="C37" i="86"/>
  <c r="B37" i="86"/>
  <c r="A37" i="86"/>
  <c r="Q36" i="86"/>
  <c r="P36" i="86"/>
  <c r="O36" i="86"/>
  <c r="M36" i="86"/>
  <c r="L36" i="86"/>
  <c r="K36" i="86"/>
  <c r="I36" i="86"/>
  <c r="G36" i="86"/>
  <c r="E36" i="86"/>
  <c r="C36" i="86"/>
  <c r="B36" i="86"/>
  <c r="A36" i="86"/>
  <c r="Q35" i="86"/>
  <c r="P35" i="86"/>
  <c r="O35" i="86"/>
  <c r="M35" i="86"/>
  <c r="L35" i="86"/>
  <c r="K35" i="86"/>
  <c r="I35" i="86"/>
  <c r="G35" i="86"/>
  <c r="E35" i="86"/>
  <c r="C35" i="86"/>
  <c r="B35" i="86"/>
  <c r="A35" i="86"/>
  <c r="Q34" i="86"/>
  <c r="P34" i="86"/>
  <c r="O34" i="86"/>
  <c r="M34" i="86"/>
  <c r="L34" i="86"/>
  <c r="K34" i="86"/>
  <c r="I34" i="86"/>
  <c r="G34" i="86"/>
  <c r="E34" i="86"/>
  <c r="C34" i="86"/>
  <c r="B34" i="86"/>
  <c r="A34" i="86"/>
  <c r="Q33" i="86"/>
  <c r="P33" i="86"/>
  <c r="O33" i="86"/>
  <c r="M33" i="86"/>
  <c r="L33" i="86"/>
  <c r="K33" i="86"/>
  <c r="I33" i="86"/>
  <c r="G33" i="86"/>
  <c r="E33" i="86"/>
  <c r="C33" i="86"/>
  <c r="B33" i="86"/>
  <c r="A33" i="86"/>
  <c r="Q32" i="86"/>
  <c r="P32" i="86"/>
  <c r="O32" i="86"/>
  <c r="M32" i="86"/>
  <c r="L32" i="86"/>
  <c r="K32" i="86"/>
  <c r="I32" i="86"/>
  <c r="G32" i="86"/>
  <c r="E32" i="86"/>
  <c r="C32" i="86"/>
  <c r="B32" i="86"/>
  <c r="A32" i="86"/>
  <c r="Q31" i="86"/>
  <c r="P31" i="86"/>
  <c r="O31" i="86"/>
  <c r="M31" i="86"/>
  <c r="L31" i="86"/>
  <c r="K31" i="86"/>
  <c r="I31" i="86"/>
  <c r="G31" i="86"/>
  <c r="E31" i="86"/>
  <c r="C31" i="86"/>
  <c r="B31" i="86"/>
  <c r="A31" i="86"/>
  <c r="Q30" i="86"/>
  <c r="P30" i="86"/>
  <c r="O30" i="86"/>
  <c r="M30" i="86"/>
  <c r="L30" i="86"/>
  <c r="K30" i="86"/>
  <c r="I30" i="86"/>
  <c r="G30" i="86"/>
  <c r="E30" i="86"/>
  <c r="C30" i="86"/>
  <c r="B30" i="86"/>
  <c r="A30" i="86"/>
  <c r="Q29" i="86"/>
  <c r="P29" i="86"/>
  <c r="O29" i="86"/>
  <c r="M29" i="86"/>
  <c r="L29" i="86"/>
  <c r="K29" i="86"/>
  <c r="I29" i="86"/>
  <c r="G29" i="86"/>
  <c r="E29" i="86"/>
  <c r="C29" i="86"/>
  <c r="B29" i="86"/>
  <c r="A29" i="86"/>
  <c r="Q28" i="86"/>
  <c r="P28" i="86"/>
  <c r="O28" i="86"/>
  <c r="M28" i="86"/>
  <c r="L28" i="86"/>
  <c r="K28" i="86"/>
  <c r="I28" i="86"/>
  <c r="G28" i="86"/>
  <c r="E28" i="86"/>
  <c r="C28" i="86"/>
  <c r="B28" i="86"/>
  <c r="A28" i="86"/>
  <c r="U27" i="86"/>
  <c r="Q27" i="86"/>
  <c r="P27" i="86"/>
  <c r="O27" i="86"/>
  <c r="M27" i="86"/>
  <c r="L27" i="86"/>
  <c r="K27" i="86"/>
  <c r="I27" i="86"/>
  <c r="G27" i="86"/>
  <c r="E27" i="86"/>
  <c r="C27" i="86"/>
  <c r="B27" i="86"/>
  <c r="A27" i="86"/>
  <c r="U26" i="86"/>
  <c r="Q26" i="86"/>
  <c r="P26" i="86"/>
  <c r="O26" i="86"/>
  <c r="M26" i="86"/>
  <c r="L26" i="86"/>
  <c r="K26" i="86"/>
  <c r="I26" i="86"/>
  <c r="G26" i="86"/>
  <c r="E26" i="86"/>
  <c r="C26" i="86"/>
  <c r="B26" i="86"/>
  <c r="A26" i="86"/>
  <c r="U25" i="86"/>
  <c r="Q25" i="86"/>
  <c r="P25" i="86"/>
  <c r="O25" i="86"/>
  <c r="M25" i="86"/>
  <c r="L25" i="86"/>
  <c r="K25" i="86"/>
  <c r="I25" i="86"/>
  <c r="G25" i="86"/>
  <c r="E25" i="86"/>
  <c r="C25" i="86"/>
  <c r="B25" i="86"/>
  <c r="A25" i="86"/>
  <c r="B24" i="86"/>
  <c r="A24" i="86"/>
  <c r="P23" i="86"/>
  <c r="N23" i="86"/>
  <c r="L23" i="86"/>
  <c r="J23" i="86"/>
  <c r="H23" i="86"/>
  <c r="F23" i="86"/>
  <c r="D23" i="86"/>
  <c r="B22"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S2" i="86"/>
  <c r="R2" i="86"/>
  <c r="Q2" i="86"/>
  <c r="P2" i="86"/>
  <c r="O2" i="86"/>
  <c r="N2" i="86"/>
  <c r="M2" i="86"/>
  <c r="L2" i="86"/>
  <c r="K2" i="86"/>
  <c r="J2" i="86"/>
  <c r="I2" i="86"/>
  <c r="H2" i="86"/>
  <c r="G2" i="86"/>
  <c r="F2" i="86"/>
  <c r="E2" i="86"/>
  <c r="D2" i="86"/>
  <c r="C2" i="86"/>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8" i="68"/>
  <c r="C5" i="68" s="1"/>
  <c r="F7" i="68"/>
  <c r="C7" i="68"/>
  <c r="G1" i="68"/>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D72" i="35"/>
  <c r="E72" i="35" s="1"/>
  <c r="F72" i="35" s="1"/>
  <c r="G72" i="35" s="1"/>
  <c r="G70" i="35"/>
  <c r="F70" i="35"/>
  <c r="E70" i="35"/>
  <c r="D70" i="35"/>
  <c r="G68" i="35"/>
  <c r="F68" i="35"/>
  <c r="E68" i="35"/>
  <c r="D68" i="35"/>
  <c r="G66" i="35"/>
  <c r="F66" i="35"/>
  <c r="E66" i="35"/>
  <c r="D66" i="35"/>
  <c r="G64" i="35"/>
  <c r="F64" i="35"/>
  <c r="E64" i="35"/>
  <c r="D64" i="35"/>
  <c r="B61" i="35"/>
  <c r="B59" i="35"/>
  <c r="B57" i="35"/>
  <c r="C53"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AC28" i="35"/>
  <c r="AB28" i="35"/>
  <c r="AA28" i="35"/>
  <c r="Z28" i="35"/>
  <c r="W28" i="35"/>
  <c r="U28" i="35"/>
  <c r="S28" i="35"/>
  <c r="Q28" i="35"/>
  <c r="J28" i="35"/>
  <c r="H28" i="35"/>
  <c r="F28" i="35"/>
  <c r="Z27" i="35"/>
  <c r="Q27" i="35"/>
  <c r="J27" i="35"/>
  <c r="AC27" i="35" s="1"/>
  <c r="H27" i="35"/>
  <c r="AB27" i="35" s="1"/>
  <c r="F27" i="35"/>
  <c r="AA27" i="35" s="1"/>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Z22" i="35"/>
  <c r="Q22" i="35"/>
  <c r="H22" i="35"/>
  <c r="AB22" i="35" s="1"/>
  <c r="F22" i="35"/>
  <c r="AA22" i="35" s="1"/>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Z10" i="35"/>
  <c r="Q10" i="35"/>
  <c r="J10" i="35"/>
  <c r="AC10" i="35" s="1"/>
  <c r="H10" i="35"/>
  <c r="AB10" i="35" s="1"/>
  <c r="F10" i="35"/>
  <c r="AA10" i="35" s="1"/>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I617" i="80"/>
  <c r="H617" i="80"/>
  <c r="D616" i="80"/>
  <c r="D615" i="80"/>
  <c r="D614" i="80"/>
  <c r="D613" i="80"/>
  <c r="D612" i="80"/>
  <c r="D611" i="80"/>
  <c r="D610" i="80"/>
  <c r="D609" i="80"/>
  <c r="D608" i="80"/>
  <c r="D607" i="80"/>
  <c r="D606" i="80"/>
  <c r="D605" i="80"/>
  <c r="D604" i="80"/>
  <c r="D603" i="80"/>
  <c r="D602" i="80"/>
  <c r="D601" i="80"/>
  <c r="D600" i="80"/>
  <c r="D599" i="80"/>
  <c r="D598" i="80"/>
  <c r="D597" i="80"/>
  <c r="D596" i="80"/>
  <c r="D595" i="80"/>
  <c r="D594" i="80"/>
  <c r="D593" i="80"/>
  <c r="D592" i="80"/>
  <c r="D591" i="80"/>
  <c r="D590" i="80"/>
  <c r="D589" i="80"/>
  <c r="D588" i="80"/>
  <c r="D587" i="80"/>
  <c r="D586" i="80"/>
  <c r="D585" i="80"/>
  <c r="D584" i="80"/>
  <c r="D583" i="80"/>
  <c r="D582" i="80"/>
  <c r="D581" i="80"/>
  <c r="D580" i="80"/>
  <c r="D579" i="80"/>
  <c r="D578" i="80"/>
  <c r="D577" i="80"/>
  <c r="D576" i="80"/>
  <c r="D575" i="80"/>
  <c r="D574" i="80"/>
  <c r="D573" i="80"/>
  <c r="D572" i="80"/>
  <c r="D571" i="80"/>
  <c r="D570" i="80"/>
  <c r="D569" i="80"/>
  <c r="D568" i="80"/>
  <c r="D567" i="80"/>
  <c r="D566" i="80"/>
  <c r="D565" i="80"/>
  <c r="D564" i="80"/>
  <c r="D563" i="80"/>
  <c r="D562" i="80"/>
  <c r="D561" i="80"/>
  <c r="D560" i="80"/>
  <c r="D559" i="80"/>
  <c r="D558" i="80"/>
  <c r="D557" i="80"/>
  <c r="D556" i="80"/>
  <c r="D555" i="80"/>
  <c r="D554" i="80"/>
  <c r="D553" i="80"/>
  <c r="D552" i="80"/>
  <c r="D551" i="80"/>
  <c r="D550" i="80"/>
  <c r="D549" i="80"/>
  <c r="D548" i="80"/>
  <c r="D547" i="80"/>
  <c r="D546" i="80"/>
  <c r="D545" i="80"/>
  <c r="D544" i="80"/>
  <c r="D543" i="80"/>
  <c r="D542" i="80"/>
  <c r="D541" i="80"/>
  <c r="D540" i="80"/>
  <c r="D539" i="80"/>
  <c r="D538" i="80"/>
  <c r="D537" i="80"/>
  <c r="D536" i="80"/>
  <c r="D535" i="80"/>
  <c r="D534" i="80"/>
  <c r="D533" i="80"/>
  <c r="D532" i="80"/>
  <c r="D531" i="80"/>
  <c r="D530" i="80"/>
  <c r="D529" i="80"/>
  <c r="D528" i="80"/>
  <c r="D527" i="80"/>
  <c r="D526" i="80"/>
  <c r="D525" i="80"/>
  <c r="D524" i="80"/>
  <c r="D523" i="80"/>
  <c r="D522" i="80"/>
  <c r="D521" i="80"/>
  <c r="D520" i="80"/>
  <c r="D519" i="80"/>
  <c r="D518" i="80"/>
  <c r="D517" i="80"/>
  <c r="D516" i="80"/>
  <c r="D515" i="80"/>
  <c r="D514" i="80"/>
  <c r="D513" i="80"/>
  <c r="D512" i="80"/>
  <c r="D511" i="80"/>
  <c r="D510" i="80"/>
  <c r="D509" i="80"/>
  <c r="D508" i="80"/>
  <c r="D507" i="80"/>
  <c r="D506" i="80"/>
  <c r="D505" i="80"/>
  <c r="D504" i="80"/>
  <c r="D503" i="80"/>
  <c r="D502" i="80"/>
  <c r="D501" i="80"/>
  <c r="D500" i="80"/>
  <c r="D499" i="80"/>
  <c r="D498" i="80"/>
  <c r="D497" i="80"/>
  <c r="D496" i="80"/>
  <c r="D495" i="80"/>
  <c r="D494" i="80"/>
  <c r="D493" i="80"/>
  <c r="D492" i="80"/>
  <c r="D491" i="80"/>
  <c r="D490" i="80"/>
  <c r="D489" i="80"/>
  <c r="D488" i="80"/>
  <c r="D487" i="80"/>
  <c r="D486" i="80"/>
  <c r="D485" i="80"/>
  <c r="D484" i="80"/>
  <c r="D483" i="80"/>
  <c r="D482" i="80"/>
  <c r="D481" i="80"/>
  <c r="D480" i="80"/>
  <c r="D479" i="80"/>
  <c r="D478" i="80"/>
  <c r="D477" i="80"/>
  <c r="D476" i="80"/>
  <c r="D475" i="80"/>
  <c r="D474" i="80"/>
  <c r="D473" i="80"/>
  <c r="D472" i="80"/>
  <c r="D471" i="80"/>
  <c r="D470" i="80"/>
  <c r="D469" i="80"/>
  <c r="D468" i="80"/>
  <c r="D467" i="80"/>
  <c r="D466" i="80"/>
  <c r="D465" i="80"/>
  <c r="D464" i="80"/>
  <c r="D463" i="80"/>
  <c r="D462" i="80"/>
  <c r="D461" i="80"/>
  <c r="D460" i="80"/>
  <c r="D459" i="80"/>
  <c r="D458" i="80"/>
  <c r="D457" i="80"/>
  <c r="D456" i="80"/>
  <c r="D455" i="80"/>
  <c r="D454" i="80"/>
  <c r="D453" i="80"/>
  <c r="D452" i="80"/>
  <c r="D451" i="80"/>
  <c r="D450" i="80"/>
  <c r="D449" i="80"/>
  <c r="D448" i="80"/>
  <c r="D447" i="80"/>
  <c r="D446" i="80"/>
  <c r="D445" i="80"/>
  <c r="D444" i="80"/>
  <c r="D443" i="80"/>
  <c r="D442" i="80"/>
  <c r="D441" i="80"/>
  <c r="D440" i="80"/>
  <c r="D439" i="80"/>
  <c r="D438" i="80"/>
  <c r="D437" i="80"/>
  <c r="D436" i="80"/>
  <c r="D435" i="80"/>
  <c r="D434" i="80"/>
  <c r="D433" i="80"/>
  <c r="D432" i="80"/>
  <c r="D431" i="80"/>
  <c r="D430" i="80"/>
  <c r="D429" i="80"/>
  <c r="D428" i="80"/>
  <c r="D427" i="80"/>
  <c r="D426" i="80"/>
  <c r="D425" i="80"/>
  <c r="D424" i="80"/>
  <c r="D423" i="80"/>
  <c r="D422" i="80"/>
  <c r="D421" i="80"/>
  <c r="D420" i="80"/>
  <c r="D419" i="80"/>
  <c r="D418" i="80"/>
  <c r="D417" i="80"/>
  <c r="D416" i="80"/>
  <c r="D415" i="80"/>
  <c r="D414" i="80"/>
  <c r="D413" i="80"/>
  <c r="D412" i="80"/>
  <c r="D411" i="80"/>
  <c r="D410" i="80"/>
  <c r="D409" i="80"/>
  <c r="D408" i="80"/>
  <c r="D407" i="80"/>
  <c r="D406" i="80"/>
  <c r="D405" i="80"/>
  <c r="D404" i="80"/>
  <c r="D403" i="80"/>
  <c r="D402" i="80"/>
  <c r="D401" i="80"/>
  <c r="D400" i="80"/>
  <c r="D399" i="80"/>
  <c r="D398" i="80"/>
  <c r="D397" i="80"/>
  <c r="D396" i="80"/>
  <c r="D395" i="80"/>
  <c r="D394" i="80"/>
  <c r="D393" i="80"/>
  <c r="D392" i="80"/>
  <c r="D391" i="80"/>
  <c r="D390" i="80"/>
  <c r="D389" i="80"/>
  <c r="D388" i="80"/>
  <c r="D387" i="80"/>
  <c r="D386" i="80"/>
  <c r="D385" i="80"/>
  <c r="D384" i="80"/>
  <c r="D383" i="80"/>
  <c r="D382" i="80"/>
  <c r="D381" i="80"/>
  <c r="D380" i="80"/>
  <c r="D379" i="80"/>
  <c r="D378" i="80"/>
  <c r="D377" i="80"/>
  <c r="D376" i="80"/>
  <c r="D375" i="80"/>
  <c r="D374" i="80"/>
  <c r="D373" i="80"/>
  <c r="D372" i="80"/>
  <c r="D371" i="80"/>
  <c r="D370" i="80"/>
  <c r="D369" i="80"/>
  <c r="D368" i="80"/>
  <c r="D367" i="80"/>
  <c r="D366" i="80"/>
  <c r="D365" i="80"/>
  <c r="D364" i="80"/>
  <c r="D363" i="80"/>
  <c r="D362" i="80"/>
  <c r="D361" i="80"/>
  <c r="D360" i="80"/>
  <c r="D359" i="80"/>
  <c r="D358" i="80"/>
  <c r="D357" i="80"/>
  <c r="D356" i="80"/>
  <c r="D355" i="80"/>
  <c r="D354" i="80"/>
  <c r="D353" i="80"/>
  <c r="D352" i="80"/>
  <c r="D351" i="80"/>
  <c r="D350" i="80"/>
  <c r="D349" i="80"/>
  <c r="D348" i="80"/>
  <c r="D347" i="80"/>
  <c r="D346" i="80"/>
  <c r="D345" i="80"/>
  <c r="D344" i="80"/>
  <c r="D343" i="80"/>
  <c r="D342" i="80"/>
  <c r="D341" i="80"/>
  <c r="D340" i="80"/>
  <c r="D339" i="80"/>
  <c r="D338" i="80"/>
  <c r="D337" i="80"/>
  <c r="D336" i="80"/>
  <c r="D335" i="80"/>
  <c r="D334" i="80"/>
  <c r="D333" i="80"/>
  <c r="D332" i="80"/>
  <c r="D331" i="80"/>
  <c r="D330" i="80"/>
  <c r="D329" i="80"/>
  <c r="D328" i="80"/>
  <c r="D327" i="80"/>
  <c r="D326" i="80"/>
  <c r="D325" i="80"/>
  <c r="D324" i="80"/>
  <c r="D323" i="80"/>
  <c r="D322" i="80"/>
  <c r="D321" i="80"/>
  <c r="D320" i="80"/>
  <c r="D319" i="80"/>
  <c r="D318" i="80"/>
  <c r="D317" i="80"/>
  <c r="D316" i="80"/>
  <c r="D315" i="80"/>
  <c r="D314" i="80"/>
  <c r="D313" i="80"/>
  <c r="D312" i="80"/>
  <c r="D311" i="80"/>
  <c r="D310" i="80"/>
  <c r="D309" i="80"/>
  <c r="D308" i="80"/>
  <c r="D307" i="80"/>
  <c r="D306" i="80"/>
  <c r="D305" i="80"/>
  <c r="D304" i="80"/>
  <c r="D303" i="80"/>
  <c r="D302" i="80"/>
  <c r="D301" i="80"/>
  <c r="D300" i="80"/>
  <c r="D299" i="80"/>
  <c r="D298" i="80"/>
  <c r="D297" i="80"/>
  <c r="D296" i="80"/>
  <c r="D295" i="80"/>
  <c r="D294" i="80"/>
  <c r="D293" i="80"/>
  <c r="D292" i="80"/>
  <c r="D291" i="80"/>
  <c r="D290" i="80"/>
  <c r="D289" i="80"/>
  <c r="D288" i="80"/>
  <c r="D287" i="80"/>
  <c r="D286" i="80"/>
  <c r="D285" i="80"/>
  <c r="D284" i="80"/>
  <c r="D283" i="80"/>
  <c r="D282" i="80"/>
  <c r="D281" i="80"/>
  <c r="D280" i="80"/>
  <c r="D279" i="80"/>
  <c r="D278" i="80"/>
  <c r="D277" i="80"/>
  <c r="D276" i="80"/>
  <c r="D275" i="80"/>
  <c r="D274" i="80"/>
  <c r="D273" i="80"/>
  <c r="D272" i="80"/>
  <c r="D271" i="80"/>
  <c r="D270" i="80"/>
  <c r="D269" i="80"/>
  <c r="D268" i="80"/>
  <c r="D267" i="80"/>
  <c r="D266" i="80"/>
  <c r="D265" i="80"/>
  <c r="D264" i="80"/>
  <c r="D263" i="80"/>
  <c r="D262" i="80"/>
  <c r="D261" i="80"/>
  <c r="D260" i="80"/>
  <c r="D259" i="80"/>
  <c r="D258" i="80"/>
  <c r="D257" i="80"/>
  <c r="D256" i="80"/>
  <c r="D255" i="80"/>
  <c r="D254" i="80"/>
  <c r="D253" i="80"/>
  <c r="D252" i="80"/>
  <c r="D251" i="80"/>
  <c r="D250" i="80"/>
  <c r="D249" i="80"/>
  <c r="D248" i="80"/>
  <c r="D247" i="80"/>
  <c r="D246" i="80"/>
  <c r="D245" i="80"/>
  <c r="D244" i="80"/>
  <c r="D243" i="80"/>
  <c r="D242" i="80"/>
  <c r="D241" i="80"/>
  <c r="D240" i="80"/>
  <c r="D239" i="80"/>
  <c r="D238" i="80"/>
  <c r="D237" i="80"/>
  <c r="D236" i="80"/>
  <c r="D235" i="80"/>
  <c r="D234" i="80"/>
  <c r="D233" i="80"/>
  <c r="D232" i="80"/>
  <c r="D231" i="80"/>
  <c r="D230" i="80"/>
  <c r="D229" i="80"/>
  <c r="D228" i="80"/>
  <c r="D227" i="80"/>
  <c r="D226" i="80"/>
  <c r="D225" i="80"/>
  <c r="D224" i="80"/>
  <c r="D223" i="80"/>
  <c r="D222" i="80"/>
  <c r="D221" i="80"/>
  <c r="D220" i="80"/>
  <c r="D219" i="80"/>
  <c r="D218" i="80"/>
  <c r="D217" i="80"/>
  <c r="D216" i="80"/>
  <c r="D215" i="80"/>
  <c r="D214" i="80"/>
  <c r="D213" i="80"/>
  <c r="D212" i="80"/>
  <c r="D211" i="80"/>
  <c r="D210" i="80"/>
  <c r="D209" i="80"/>
  <c r="D208" i="80"/>
  <c r="D207" i="80"/>
  <c r="D206" i="80"/>
  <c r="D205" i="80"/>
  <c r="D204" i="80"/>
  <c r="D203" i="80"/>
  <c r="D202" i="80"/>
  <c r="D201" i="80"/>
  <c r="D200" i="80"/>
  <c r="D199" i="80"/>
  <c r="D198" i="80"/>
  <c r="D197" i="80"/>
  <c r="D196" i="80"/>
  <c r="D195" i="80"/>
  <c r="D194" i="80"/>
  <c r="D193" i="80"/>
  <c r="D192" i="80"/>
  <c r="D191" i="80"/>
  <c r="D190" i="80"/>
  <c r="D189" i="80"/>
  <c r="D188" i="80"/>
  <c r="D187" i="80"/>
  <c r="D186" i="80"/>
  <c r="D185" i="80"/>
  <c r="D184" i="80"/>
  <c r="D183" i="80"/>
  <c r="D182" i="80"/>
  <c r="D181" i="80"/>
  <c r="D180" i="80"/>
  <c r="D179" i="80"/>
  <c r="D178" i="80"/>
  <c r="D177" i="80"/>
  <c r="D176" i="80"/>
  <c r="D175" i="80"/>
  <c r="D174" i="80"/>
  <c r="D173" i="80"/>
  <c r="D172" i="80"/>
  <c r="D171" i="80"/>
  <c r="D170" i="80"/>
  <c r="D169" i="80"/>
  <c r="D168" i="80"/>
  <c r="D167" i="80"/>
  <c r="D166" i="80"/>
  <c r="D165" i="80"/>
  <c r="D164" i="80"/>
  <c r="D163" i="80"/>
  <c r="D162" i="80"/>
  <c r="D161" i="80"/>
  <c r="D160" i="80"/>
  <c r="D159" i="80"/>
  <c r="D158" i="80"/>
  <c r="D157" i="80"/>
  <c r="D156" i="80"/>
  <c r="D155" i="80"/>
  <c r="D154" i="80"/>
  <c r="D153" i="80"/>
  <c r="D152" i="80"/>
  <c r="D151" i="80"/>
  <c r="D150" i="80"/>
  <c r="D149" i="80"/>
  <c r="D148" i="80"/>
  <c r="D147" i="80"/>
  <c r="D146" i="80"/>
  <c r="D145" i="80"/>
  <c r="D144" i="80"/>
  <c r="D143" i="80"/>
  <c r="D142" i="80"/>
  <c r="D141" i="80"/>
  <c r="D140" i="80"/>
  <c r="D139" i="80"/>
  <c r="D138" i="80"/>
  <c r="D137" i="80"/>
  <c r="D136" i="80"/>
  <c r="D135" i="80"/>
  <c r="D134" i="80"/>
  <c r="D133" i="80"/>
  <c r="D132" i="80"/>
  <c r="D131" i="80"/>
  <c r="D130" i="80"/>
  <c r="D129" i="80"/>
  <c r="D128" i="80"/>
  <c r="D127" i="80"/>
  <c r="D126" i="80"/>
  <c r="D125" i="80"/>
  <c r="D124" i="80"/>
  <c r="D123" i="80"/>
  <c r="D122" i="80"/>
  <c r="D121" i="80"/>
  <c r="D120" i="80"/>
  <c r="D119" i="80"/>
  <c r="D118" i="80"/>
  <c r="D117" i="80"/>
  <c r="D116" i="80"/>
  <c r="D115" i="80"/>
  <c r="D114" i="80"/>
  <c r="D113" i="80"/>
  <c r="D112" i="80"/>
  <c r="D111" i="80"/>
  <c r="D110" i="80"/>
  <c r="D109" i="80"/>
  <c r="D108" i="80"/>
  <c r="D107" i="80"/>
  <c r="D106" i="80"/>
  <c r="D105" i="80"/>
  <c r="D104" i="80"/>
  <c r="D103" i="80"/>
  <c r="D102" i="80"/>
  <c r="D101" i="80"/>
  <c r="D100" i="80"/>
  <c r="D99" i="80"/>
  <c r="D98" i="80"/>
  <c r="D97" i="80"/>
  <c r="D96" i="80"/>
  <c r="D95" i="80"/>
  <c r="D94" i="80"/>
  <c r="D93" i="80"/>
  <c r="D92" i="80"/>
  <c r="D91" i="80"/>
  <c r="D90" i="80"/>
  <c r="D89" i="80"/>
  <c r="D88" i="80"/>
  <c r="D87" i="80"/>
  <c r="D86" i="80"/>
  <c r="D85" i="80"/>
  <c r="D84" i="80"/>
  <c r="D83" i="80"/>
  <c r="D82" i="80"/>
  <c r="D81" i="80"/>
  <c r="D80" i="80"/>
  <c r="D79" i="80"/>
  <c r="D78" i="80"/>
  <c r="D77" i="80"/>
  <c r="D76" i="80"/>
  <c r="D75" i="80"/>
  <c r="D74" i="80"/>
  <c r="D73" i="80"/>
  <c r="D72" i="80"/>
  <c r="D71" i="80"/>
  <c r="D70" i="80"/>
  <c r="D69" i="80"/>
  <c r="D68" i="80"/>
  <c r="D67" i="80"/>
  <c r="D66" i="80"/>
  <c r="D65" i="80"/>
  <c r="D64" i="80"/>
  <c r="D63" i="80"/>
  <c r="D62" i="80"/>
  <c r="D61" i="80"/>
  <c r="D60" i="80"/>
  <c r="D59" i="80"/>
  <c r="D58" i="80"/>
  <c r="D57" i="80"/>
  <c r="D56" i="80"/>
  <c r="D55" i="80"/>
  <c r="D54" i="80"/>
  <c r="D53" i="80"/>
  <c r="D52" i="80"/>
  <c r="D51" i="80"/>
  <c r="D50" i="80"/>
  <c r="D49" i="80"/>
  <c r="D48" i="80"/>
  <c r="D47" i="80"/>
  <c r="D46" i="80"/>
  <c r="D45" i="80"/>
  <c r="D44" i="80"/>
  <c r="D43" i="80"/>
  <c r="D42" i="80"/>
  <c r="D41" i="80"/>
  <c r="D40" i="80"/>
  <c r="D39" i="80"/>
  <c r="D38" i="80"/>
  <c r="D37" i="80"/>
  <c r="D36" i="80"/>
  <c r="D35" i="80"/>
  <c r="D34" i="80"/>
  <c r="D33" i="80"/>
  <c r="D32" i="80"/>
  <c r="D31" i="80"/>
  <c r="D30" i="80"/>
  <c r="D29" i="80"/>
  <c r="D28" i="80"/>
  <c r="D27" i="80"/>
  <c r="D26" i="80"/>
  <c r="D25" i="80"/>
  <c r="D24" i="80"/>
  <c r="D23" i="80"/>
  <c r="D22" i="80"/>
  <c r="D21" i="80"/>
  <c r="D20" i="80"/>
  <c r="D19" i="80"/>
  <c r="D18" i="80"/>
  <c r="D17" i="80"/>
  <c r="D16" i="80"/>
  <c r="D15" i="80"/>
  <c r="D14" i="80"/>
  <c r="D13" i="80"/>
  <c r="D12" i="80"/>
  <c r="D11" i="80"/>
  <c r="D10" i="80"/>
  <c r="D9" i="80"/>
  <c r="D8" i="80"/>
  <c r="D7" i="80"/>
  <c r="D6" i="80"/>
  <c r="D5" i="80"/>
  <c r="D4" i="80"/>
  <c r="D3" i="80"/>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D7" i="73"/>
  <c r="D5" i="73"/>
  <c r="D3" i="73"/>
  <c r="E12" i="76"/>
  <c r="E10" i="76"/>
  <c r="E8" i="76"/>
  <c r="E6" i="76"/>
  <c r="D2" i="21"/>
  <c r="B12" i="76"/>
  <c r="B10" i="76"/>
  <c r="B8" i="76"/>
  <c r="B6" i="76"/>
  <c r="D2" i="36"/>
  <c r="D2" i="34"/>
  <c r="D2" i="33"/>
  <c r="L48" i="15"/>
  <c r="L47" i="15"/>
  <c r="F43" i="15"/>
  <c r="F40" i="15"/>
  <c r="E13" i="76"/>
  <c r="E11" i="76"/>
  <c r="E9" i="76"/>
  <c r="E7" i="76"/>
  <c r="F37" i="15"/>
  <c r="F35" i="15"/>
  <c r="M27" i="15"/>
  <c r="F26" i="15"/>
  <c r="M23" i="15"/>
  <c r="M21" i="15"/>
  <c r="J15" i="15"/>
  <c r="C14" i="15"/>
  <c r="B11" i="76"/>
  <c r="D2" i="37"/>
  <c r="M22" i="15"/>
  <c r="F8" i="15"/>
  <c r="E2" i="69"/>
  <c r="F43" i="67"/>
  <c r="F40" i="67"/>
  <c r="M24" i="67"/>
  <c r="F8" i="67"/>
  <c r="D2" i="35"/>
  <c r="AO13" i="1"/>
  <c r="AO9" i="1"/>
  <c r="F20" i="86"/>
  <c r="B9" i="76"/>
  <c r="F38" i="15"/>
  <c r="M28" i="15"/>
  <c r="M26" i="15"/>
  <c r="M24" i="15"/>
  <c r="F16" i="15"/>
  <c r="M9" i="15"/>
  <c r="F6" i="15"/>
  <c r="C76" i="67"/>
  <c r="F37" i="67"/>
  <c r="F35" i="67"/>
  <c r="M27" i="67"/>
  <c r="F26" i="67"/>
  <c r="M23" i="67"/>
  <c r="M21" i="67"/>
  <c r="J15" i="67"/>
  <c r="M9" i="67"/>
  <c r="F6" i="67"/>
  <c r="D35" i="9"/>
  <c r="AO10" i="1"/>
  <c r="B7" i="76"/>
  <c r="C76" i="15"/>
  <c r="F42" i="15"/>
  <c r="F9" i="15"/>
  <c r="F7" i="15"/>
  <c r="E2" i="68"/>
  <c r="F42" i="67"/>
  <c r="M28" i="67"/>
  <c r="M22" i="67"/>
  <c r="F9" i="67"/>
  <c r="F7" i="67"/>
  <c r="AO11" i="1"/>
  <c r="AO7" i="1"/>
  <c r="B13" i="76"/>
  <c r="F41" i="15"/>
  <c r="F36" i="15"/>
  <c r="M29" i="15"/>
  <c r="F13" i="15"/>
  <c r="M8" i="15"/>
  <c r="M6" i="15"/>
  <c r="L48" i="67"/>
  <c r="L47" i="67"/>
  <c r="F38" i="67"/>
  <c r="F36" i="67"/>
  <c r="M29" i="67"/>
  <c r="M26" i="67"/>
  <c r="F16" i="67"/>
  <c r="F13" i="67"/>
  <c r="M8" i="67"/>
  <c r="M6" i="67"/>
  <c r="D34" i="9"/>
  <c r="AO12" i="1"/>
  <c r="AO8" i="1"/>
  <c r="J22" i="35" l="1"/>
  <c r="S22" i="35"/>
  <c r="U22" i="35"/>
  <c r="S10" i="35"/>
  <c r="R38" i="35"/>
  <c r="E38" i="35" s="1"/>
  <c r="U10" i="35"/>
  <c r="T38" i="35"/>
  <c r="G38" i="35" s="1"/>
  <c r="W10" i="35"/>
  <c r="S27" i="35"/>
  <c r="U27" i="35"/>
  <c r="W27" i="35"/>
  <c r="D19" i="68"/>
  <c r="C19" i="68" s="1"/>
  <c r="C20" i="68" s="1"/>
  <c r="C28" i="68" s="1"/>
  <c r="C27" i="68" s="1"/>
  <c r="F7" i="49"/>
  <c r="H7" i="49" s="1"/>
  <c r="C8" i="69"/>
  <c r="C5" i="69" s="1"/>
  <c r="F45" i="69"/>
  <c r="F11" i="49"/>
  <c r="H11" i="49" s="1"/>
  <c r="F4" i="49"/>
  <c r="H4" i="49" s="1"/>
  <c r="F8" i="49"/>
  <c r="H8" i="49" s="1"/>
  <c r="F12" i="49"/>
  <c r="H12" i="49" s="1"/>
  <c r="C9" i="68"/>
  <c r="F9" i="49"/>
  <c r="H9" i="49" s="1"/>
  <c r="R16" i="1"/>
  <c r="F5" i="49"/>
  <c r="H5" i="49" s="1"/>
  <c r="F13" i="49"/>
  <c r="H13" i="49" s="1"/>
  <c r="F6" i="49"/>
  <c r="H6" i="49" s="1"/>
  <c r="F10" i="49"/>
  <c r="H10" i="49" s="1"/>
  <c r="F14" i="49"/>
  <c r="H14" i="49" s="1"/>
  <c r="C29" i="69"/>
  <c r="D27" i="69" s="1"/>
  <c r="B8" i="70"/>
  <c r="B12" i="70"/>
  <c r="F64" i="67"/>
  <c r="F66" i="67"/>
  <c r="N59" i="67"/>
  <c r="L58" i="67"/>
  <c r="M59" i="67"/>
  <c r="L59" i="67"/>
  <c r="L60" i="67"/>
  <c r="I54" i="67"/>
  <c r="L57" i="67"/>
  <c r="L56" i="67"/>
  <c r="J57" i="67"/>
  <c r="J55" i="67" s="1"/>
  <c r="J58" i="67" s="1"/>
  <c r="Q50" i="67" s="1"/>
  <c r="J53" i="67"/>
  <c r="F64" i="15"/>
  <c r="F69" i="15"/>
  <c r="B7" i="70"/>
  <c r="B11" i="70"/>
  <c r="M7" i="67"/>
  <c r="J6" i="67" s="1"/>
  <c r="F50" i="67"/>
  <c r="F50" i="15"/>
  <c r="M7" i="15"/>
  <c r="J6" i="15" s="1"/>
  <c r="Q71" i="15"/>
  <c r="B10" i="70"/>
  <c r="C6" i="67"/>
  <c r="J20" i="67"/>
  <c r="C27" i="67"/>
  <c r="F63" i="67"/>
  <c r="C62" i="67" s="1"/>
  <c r="C34" i="67"/>
  <c r="F65" i="67"/>
  <c r="Q71" i="67"/>
  <c r="C6" i="15"/>
  <c r="F66" i="15"/>
  <c r="B9" i="70"/>
  <c r="B13" i="70"/>
  <c r="F51" i="67"/>
  <c r="F68" i="67"/>
  <c r="F71" i="67"/>
  <c r="F51" i="15"/>
  <c r="C18" i="15"/>
  <c r="C15" i="15"/>
  <c r="J20" i="15"/>
  <c r="C27" i="15"/>
  <c r="F63" i="15"/>
  <c r="C62" i="15" s="1"/>
  <c r="C34" i="15"/>
  <c r="F65" i="15"/>
  <c r="F68" i="15"/>
  <c r="F71" i="15"/>
  <c r="L59" i="15"/>
  <c r="N59" i="15"/>
  <c r="M59" i="15"/>
  <c r="L58" i="15"/>
  <c r="I54" i="15"/>
  <c r="J57" i="15"/>
  <c r="J55" i="15" s="1"/>
  <c r="J58" i="15" s="1"/>
  <c r="Q50" i="15" s="1"/>
  <c r="J53" i="15"/>
  <c r="L56" i="15" s="1"/>
  <c r="B2" i="76"/>
  <c r="E2" i="76"/>
  <c r="G1" i="73"/>
  <c r="B40" i="1" s="1"/>
  <c r="I1" i="73"/>
  <c r="B39" i="1" s="1"/>
  <c r="D127" i="9"/>
  <c r="D13" i="52" s="1"/>
  <c r="D12" i="52"/>
  <c r="D125" i="9"/>
  <c r="D11" i="52" s="1"/>
  <c r="D10" i="52"/>
  <c r="C18" i="12"/>
  <c r="C94" i="9"/>
  <c r="C29" i="68"/>
  <c r="D27" i="68" s="1"/>
  <c r="D19" i="69"/>
  <c r="C35" i="69"/>
  <c r="C12" i="12"/>
  <c r="C14" i="12"/>
  <c r="B4" i="49"/>
  <c r="D4" i="49" s="1"/>
  <c r="B5" i="49"/>
  <c r="D5" i="49" s="1"/>
  <c r="B6" i="49"/>
  <c r="D6" i="49" s="1"/>
  <c r="B7" i="49"/>
  <c r="D7" i="49" s="1"/>
  <c r="B8" i="49"/>
  <c r="B9" i="49"/>
  <c r="D9" i="49" s="1"/>
  <c r="B10" i="49"/>
  <c r="D10" i="49" s="1"/>
  <c r="B11" i="49"/>
  <c r="B12" i="49"/>
  <c r="D12" i="49" s="1"/>
  <c r="B13" i="49"/>
  <c r="D13" i="49" s="1"/>
  <c r="B14" i="49"/>
  <c r="D14" i="49" s="1"/>
  <c r="C92" i="9"/>
  <c r="H110" i="9"/>
  <c r="C34" i="68"/>
  <c r="F45" i="68"/>
  <c r="C16" i="15"/>
  <c r="C16" i="67"/>
  <c r="C17" i="67"/>
  <c r="C17" i="15"/>
  <c r="C14" i="67"/>
  <c r="AC22" i="35" l="1"/>
  <c r="V38" i="35" s="1"/>
  <c r="I38" i="35" s="1"/>
  <c r="W22" i="35"/>
  <c r="D37" i="68"/>
  <c r="C37" i="68" s="1"/>
  <c r="G42" i="35"/>
  <c r="H42" i="35" s="1"/>
  <c r="E42" i="35"/>
  <c r="F42" i="35" s="1"/>
  <c r="E43" i="35"/>
  <c r="F43" i="35" s="1"/>
  <c r="C16" i="12"/>
  <c r="C21" i="12" s="1"/>
  <c r="C49" i="15"/>
  <c r="C61" i="15" s="1"/>
  <c r="B3" i="76"/>
  <c r="C18" i="67"/>
  <c r="C15" i="67"/>
  <c r="C19" i="15"/>
  <c r="J19" i="15"/>
  <c r="J18" i="15"/>
  <c r="E4" i="4"/>
  <c r="B5" i="62" s="1"/>
  <c r="B73" i="72" s="1"/>
  <c r="D11" i="49"/>
  <c r="Q52" i="15"/>
  <c r="F1" i="15"/>
  <c r="Q73" i="15"/>
  <c r="Q60" i="15"/>
  <c r="C49" i="67"/>
  <c r="Q73" i="67"/>
  <c r="Q60" i="67"/>
  <c r="J19" i="67"/>
  <c r="J18" i="67"/>
  <c r="C7" i="74"/>
  <c r="D18" i="53"/>
  <c r="B35" i="72" s="1"/>
  <c r="C4" i="4"/>
  <c r="D8" i="49"/>
  <c r="M11" i="15"/>
  <c r="J10" i="15" s="1"/>
  <c r="J5" i="15" s="1"/>
  <c r="M11" i="67"/>
  <c r="J10" i="67" s="1"/>
  <c r="J5" i="67" s="1"/>
  <c r="F11" i="15"/>
  <c r="F11" i="67"/>
  <c r="Q61" i="15"/>
  <c r="Q74" i="15"/>
  <c r="C33" i="67"/>
  <c r="C32" i="67"/>
  <c r="Q52" i="67"/>
  <c r="F1" i="67"/>
  <c r="Q57" i="67"/>
  <c r="Q66" i="67"/>
  <c r="C35" i="68"/>
  <c r="C38" i="68"/>
  <c r="C19" i="69"/>
  <c r="D37" i="69"/>
  <c r="C37" i="69" s="1"/>
  <c r="C33" i="69" s="1"/>
  <c r="F22" i="11"/>
  <c r="L36" i="43"/>
  <c r="F22" i="68"/>
  <c r="F24" i="15"/>
  <c r="C24" i="15" s="1"/>
  <c r="F25" i="12"/>
  <c r="C26" i="12" s="1"/>
  <c r="D25" i="12" s="1"/>
  <c r="F24" i="67"/>
  <c r="C24" i="67" s="1"/>
  <c r="F22" i="69"/>
  <c r="C33" i="15"/>
  <c r="C32" i="15"/>
  <c r="Q74" i="67"/>
  <c r="Q61" i="67"/>
  <c r="AE6" i="1"/>
  <c r="F41" i="67" s="1"/>
  <c r="I42" i="35" l="1"/>
  <c r="J42" i="35" s="1"/>
  <c r="I43" i="35"/>
  <c r="J43" i="35" s="1"/>
  <c r="R39" i="35"/>
  <c r="G43" i="35"/>
  <c r="H43" i="35" s="1"/>
  <c r="C31" i="15"/>
  <c r="J17" i="15"/>
  <c r="C33" i="68"/>
  <c r="C42" i="68" s="1"/>
  <c r="C22" i="12"/>
  <c r="C30" i="12" s="1"/>
  <c r="C28" i="12" s="1"/>
  <c r="J17" i="67"/>
  <c r="C19" i="67"/>
  <c r="F69" i="67"/>
  <c r="C42" i="69"/>
  <c r="C39" i="69"/>
  <c r="C43" i="69" s="1"/>
  <c r="J26" i="67"/>
  <c r="J29" i="67" s="1"/>
  <c r="J24" i="67"/>
  <c r="J24" i="15"/>
  <c r="J26" i="15"/>
  <c r="J29" i="15" s="1"/>
  <c r="C20" i="67"/>
  <c r="C26" i="67" s="1"/>
  <c r="K4" i="4"/>
  <c r="B46" i="48" s="1"/>
  <c r="B4" i="72" s="1"/>
  <c r="B4" i="62"/>
  <c r="B71" i="72" s="1"/>
  <c r="C44" i="69"/>
  <c r="D41" i="69" s="1"/>
  <c r="F41" i="69"/>
  <c r="C26" i="69"/>
  <c r="D22" i="69" s="1"/>
  <c r="C23" i="69"/>
  <c r="C26" i="68"/>
  <c r="D22" i="68" s="1"/>
  <c r="C44" i="68"/>
  <c r="D41" i="68" s="1"/>
  <c r="F41" i="68"/>
  <c r="C23" i="68"/>
  <c r="C24" i="68"/>
  <c r="C10" i="67"/>
  <c r="C5" i="67" s="1"/>
  <c r="C53" i="67"/>
  <c r="C48" i="67" s="1"/>
  <c r="C25" i="68"/>
  <c r="L37" i="43"/>
  <c r="P36" i="43"/>
  <c r="O36" i="43"/>
  <c r="N36" i="43"/>
  <c r="Q36" i="43"/>
  <c r="M36" i="43"/>
  <c r="C31" i="67"/>
  <c r="C53" i="15"/>
  <c r="C48" i="15" s="1"/>
  <c r="C10" i="15"/>
  <c r="C5" i="15" s="1"/>
  <c r="C20" i="15"/>
  <c r="C42" i="11"/>
  <c r="C24" i="11"/>
  <c r="C23" i="11"/>
  <c r="C44" i="11"/>
  <c r="D41" i="11" s="1"/>
  <c r="C26" i="11"/>
  <c r="D22" i="11" s="1"/>
  <c r="C43" i="11"/>
  <c r="C25" i="11"/>
  <c r="C61" i="67"/>
  <c r="C24" i="69"/>
  <c r="C20" i="69"/>
  <c r="C25" i="69" s="1"/>
  <c r="C39" i="68" l="1"/>
  <c r="C43" i="68" s="1"/>
  <c r="C41" i="68" s="1"/>
  <c r="C27" i="12"/>
  <c r="C25" i="12" s="1"/>
  <c r="C32" i="12" s="1"/>
  <c r="B2" i="12" s="1"/>
  <c r="B3" i="12" s="1"/>
  <c r="C38" i="35"/>
  <c r="C39" i="35"/>
  <c r="C46" i="69"/>
  <c r="C45" i="69" s="1"/>
  <c r="P37" i="43"/>
  <c r="O37" i="43"/>
  <c r="N37" i="43"/>
  <c r="Q37" i="43"/>
  <c r="M37" i="43"/>
  <c r="C28" i="69"/>
  <c r="C27" i="69" s="1"/>
  <c r="C66" i="67"/>
  <c r="C60" i="67"/>
  <c r="C59" i="67" s="1"/>
  <c r="C22" i="11"/>
  <c r="C31" i="11" s="1"/>
  <c r="C26" i="15"/>
  <c r="C60" i="15"/>
  <c r="C59" i="15" s="1"/>
  <c r="C66" i="15"/>
  <c r="C22" i="69"/>
  <c r="C23" i="15"/>
  <c r="C23" i="67"/>
  <c r="C29" i="67" s="1"/>
  <c r="C46" i="68"/>
  <c r="C45" i="68" s="1"/>
  <c r="C41" i="11"/>
  <c r="C49" i="11" s="1"/>
  <c r="C51" i="11" s="1"/>
  <c r="C38" i="67"/>
  <c r="C41" i="69"/>
  <c r="C38" i="15"/>
  <c r="C22" i="68"/>
  <c r="C31" i="68" s="1"/>
  <c r="C49" i="69" l="1"/>
  <c r="C51" i="69" s="1"/>
  <c r="B2" i="35"/>
  <c r="M3" i="35"/>
  <c r="C31" i="69"/>
  <c r="C29" i="15"/>
  <c r="C36" i="15" s="1"/>
  <c r="Q49" i="67"/>
  <c r="C36" i="67"/>
  <c r="J14" i="67"/>
  <c r="C13" i="67"/>
  <c r="C57" i="67"/>
  <c r="C64" i="67" s="1"/>
  <c r="J59" i="67"/>
  <c r="J60" i="67" s="1"/>
  <c r="C49" i="68"/>
  <c r="C51" i="68" s="1"/>
  <c r="C52" i="68" s="1"/>
  <c r="B2" i="68" s="1"/>
  <c r="B3" i="68" s="1"/>
  <c r="C52" i="11"/>
  <c r="B2" i="11" s="1"/>
  <c r="B3" i="11" s="1"/>
  <c r="C19" i="9"/>
  <c r="C52" i="69" l="1"/>
  <c r="B2" i="69" s="1"/>
  <c r="B3" i="69" s="1"/>
  <c r="C21" i="9"/>
  <c r="C102" i="9"/>
  <c r="B3" i="35"/>
  <c r="J59" i="15"/>
  <c r="J60" i="15" s="1"/>
  <c r="Q48" i="15" s="1"/>
  <c r="C13" i="15"/>
  <c r="C56" i="15" s="1"/>
  <c r="C65" i="15" s="1"/>
  <c r="C57" i="15"/>
  <c r="C64" i="15" s="1"/>
  <c r="J14" i="15"/>
  <c r="J22" i="15" s="1"/>
  <c r="Q49" i="15"/>
  <c r="C56" i="11"/>
  <c r="C57" i="11" s="1"/>
  <c r="Q48" i="67"/>
  <c r="L46" i="67"/>
  <c r="C56" i="67"/>
  <c r="C65" i="67" s="1"/>
  <c r="C58" i="67" s="1"/>
  <c r="C67" i="67" s="1"/>
  <c r="C68" i="67" s="1"/>
  <c r="C37" i="67"/>
  <c r="C30" i="67" s="1"/>
  <c r="C39" i="67" s="1"/>
  <c r="C75" i="67"/>
  <c r="Q70" i="67"/>
  <c r="C57" i="68"/>
  <c r="C56" i="68" s="1"/>
  <c r="J13" i="67"/>
  <c r="J23" i="67" s="1"/>
  <c r="J22" i="67"/>
  <c r="C20" i="9"/>
  <c r="C57" i="69" l="1"/>
  <c r="C56" i="69" s="1"/>
  <c r="Q70" i="15"/>
  <c r="C75" i="15"/>
  <c r="L46" i="15"/>
  <c r="J13" i="15"/>
  <c r="J23" i="15" s="1"/>
  <c r="J16" i="15" s="1"/>
  <c r="J25" i="15" s="1"/>
  <c r="C58" i="15"/>
  <c r="C67" i="15" s="1"/>
  <c r="C68" i="15" s="1"/>
  <c r="C71" i="15" s="1"/>
  <c r="C103" i="9"/>
  <c r="C37" i="15"/>
  <c r="C30" i="15" s="1"/>
  <c r="C39" i="15" s="1"/>
  <c r="C40" i="15" s="1"/>
  <c r="J16" i="67"/>
  <c r="J25" i="67" s="1"/>
  <c r="C80" i="67"/>
  <c r="C79" i="67" s="1"/>
  <c r="Q69" i="67"/>
  <c r="Q68" i="67" s="1"/>
  <c r="C40" i="67"/>
  <c r="C45" i="67" s="1"/>
  <c r="C46" i="67" s="1"/>
  <c r="C71" i="67"/>
  <c r="L51" i="67"/>
  <c r="L51" i="15"/>
  <c r="C46" i="15" l="1"/>
  <c r="Q69" i="15"/>
  <c r="Q68" i="15" s="1"/>
  <c r="C80" i="15"/>
  <c r="C79" i="15" s="1"/>
  <c r="Q67" i="15"/>
  <c r="L57" i="15"/>
  <c r="L60" i="15" s="1"/>
  <c r="Q67" i="67"/>
  <c r="Q65" i="15"/>
  <c r="Q56" i="15"/>
  <c r="C43" i="15"/>
  <c r="Q47" i="15"/>
  <c r="Q53" i="15" s="1"/>
  <c r="B2" i="15"/>
  <c r="B3" i="15" s="1"/>
  <c r="C83" i="15"/>
  <c r="C82" i="15" s="1"/>
  <c r="Q56" i="67"/>
  <c r="Q62" i="67" s="1"/>
  <c r="Q47" i="67"/>
  <c r="Q53" i="67" s="1"/>
  <c r="C43" i="67"/>
  <c r="Q65" i="67"/>
  <c r="Q75" i="67" s="1"/>
  <c r="D2" i="67"/>
  <c r="C83" i="67"/>
  <c r="C82" i="67" s="1"/>
  <c r="B3" i="67" l="1"/>
  <c r="B2" i="67"/>
  <c r="Q66" i="15"/>
  <c r="Q75" i="15" s="1"/>
  <c r="Q57" i="15"/>
  <c r="Q62" i="15" s="1"/>
  <c r="D20" i="9"/>
  <c r="AO6" i="1"/>
  <c r="D19" i="9"/>
  <c r="D21" i="9" l="1"/>
  <c r="D102" i="9"/>
  <c r="G19" i="9"/>
  <c r="D22" i="9"/>
  <c r="B6" i="70"/>
  <c r="B2" i="70" s="1"/>
  <c r="B3" i="70" s="1"/>
  <c r="D103" i="9"/>
  <c r="G20" i="9"/>
  <c r="C32" i="9" s="1"/>
  <c r="C35" i="9" l="1"/>
  <c r="C34" i="9" s="1"/>
  <c r="R24" i="86"/>
  <c r="G21" i="9"/>
  <c r="R637" i="86" l="1"/>
  <c r="S637" i="86" s="1"/>
  <c r="R635" i="86"/>
  <c r="S635" i="86" s="1"/>
  <c r="R633" i="86"/>
  <c r="S633" i="86" s="1"/>
  <c r="R631" i="86"/>
  <c r="S631" i="86" s="1"/>
  <c r="R629" i="86"/>
  <c r="S629" i="86" s="1"/>
  <c r="R627" i="86"/>
  <c r="S627" i="86" s="1"/>
  <c r="R625" i="86"/>
  <c r="S625" i="86" s="1"/>
  <c r="R623" i="86"/>
  <c r="S623" i="86" s="1"/>
  <c r="R621" i="86"/>
  <c r="S621" i="86" s="1"/>
  <c r="R619" i="86"/>
  <c r="S619" i="86" s="1"/>
  <c r="R617" i="86"/>
  <c r="S617" i="86" s="1"/>
  <c r="R615" i="86"/>
  <c r="S615" i="86" s="1"/>
  <c r="R613" i="86"/>
  <c r="S613" i="86" s="1"/>
  <c r="R611" i="86"/>
  <c r="S611" i="86" s="1"/>
  <c r="R609" i="86"/>
  <c r="S609" i="86" s="1"/>
  <c r="R607" i="86"/>
  <c r="S607" i="86" s="1"/>
  <c r="R605" i="86"/>
  <c r="S605" i="86" s="1"/>
  <c r="R603" i="86"/>
  <c r="S603" i="86" s="1"/>
  <c r="R601" i="86"/>
  <c r="S601" i="86" s="1"/>
  <c r="R599" i="86"/>
  <c r="S599" i="86" s="1"/>
  <c r="R597" i="86"/>
  <c r="S597" i="86" s="1"/>
  <c r="R595" i="86"/>
  <c r="S595" i="86" s="1"/>
  <c r="R593" i="86"/>
  <c r="S593" i="86" s="1"/>
  <c r="R591" i="86"/>
  <c r="S591" i="86" s="1"/>
  <c r="R589" i="86"/>
  <c r="S589" i="86" s="1"/>
  <c r="R587" i="86"/>
  <c r="S587" i="86" s="1"/>
  <c r="R585" i="86"/>
  <c r="S585" i="86" s="1"/>
  <c r="R583" i="86"/>
  <c r="S583" i="86" s="1"/>
  <c r="R581" i="86"/>
  <c r="S581" i="86" s="1"/>
  <c r="R579" i="86"/>
  <c r="S579" i="86" s="1"/>
  <c r="R577" i="86"/>
  <c r="S577" i="86" s="1"/>
  <c r="R575" i="86"/>
  <c r="S575" i="86" s="1"/>
  <c r="R573" i="86"/>
  <c r="S573" i="86" s="1"/>
  <c r="R571" i="86"/>
  <c r="S571" i="86" s="1"/>
  <c r="R569" i="86"/>
  <c r="S569" i="86" s="1"/>
  <c r="R567" i="86"/>
  <c r="S567" i="86" s="1"/>
  <c r="R636" i="86"/>
  <c r="S636" i="86" s="1"/>
  <c r="R634" i="86"/>
  <c r="S634" i="86" s="1"/>
  <c r="R632" i="86"/>
  <c r="S632" i="86" s="1"/>
  <c r="R630" i="86"/>
  <c r="S630" i="86" s="1"/>
  <c r="R628" i="86"/>
  <c r="S628" i="86" s="1"/>
  <c r="R626" i="86"/>
  <c r="S626" i="86" s="1"/>
  <c r="R624" i="86"/>
  <c r="S624" i="86" s="1"/>
  <c r="R622" i="86"/>
  <c r="S622" i="86" s="1"/>
  <c r="R620" i="86"/>
  <c r="S620" i="86" s="1"/>
  <c r="R618" i="86"/>
  <c r="S618" i="86" s="1"/>
  <c r="R616" i="86"/>
  <c r="S616" i="86" s="1"/>
  <c r="R614" i="86"/>
  <c r="S614" i="86" s="1"/>
  <c r="R612" i="86"/>
  <c r="S612" i="86" s="1"/>
  <c r="R610" i="86"/>
  <c r="S610" i="86" s="1"/>
  <c r="R608" i="86"/>
  <c r="S608" i="86" s="1"/>
  <c r="R606" i="86"/>
  <c r="S606" i="86" s="1"/>
  <c r="R604" i="86"/>
  <c r="S604" i="86" s="1"/>
  <c r="R602" i="86"/>
  <c r="S602" i="86" s="1"/>
  <c r="R600" i="86"/>
  <c r="S600" i="86" s="1"/>
  <c r="R598" i="86"/>
  <c r="S598" i="86" s="1"/>
  <c r="R596" i="86"/>
  <c r="S596" i="86" s="1"/>
  <c r="R594" i="86"/>
  <c r="S594" i="86" s="1"/>
  <c r="R592" i="86"/>
  <c r="S592" i="86" s="1"/>
  <c r="R590" i="86"/>
  <c r="S590" i="86" s="1"/>
  <c r="R588" i="86"/>
  <c r="S588" i="86" s="1"/>
  <c r="R586" i="86"/>
  <c r="S586" i="86" s="1"/>
  <c r="R584" i="86"/>
  <c r="S584" i="86" s="1"/>
  <c r="R582" i="86"/>
  <c r="S582" i="86" s="1"/>
  <c r="R580" i="86"/>
  <c r="S580" i="86" s="1"/>
  <c r="R578" i="86"/>
  <c r="S578" i="86" s="1"/>
  <c r="R576" i="86"/>
  <c r="S576" i="86" s="1"/>
  <c r="R574" i="86"/>
  <c r="S574" i="86" s="1"/>
  <c r="R572" i="86"/>
  <c r="S572"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42" i="86"/>
  <c r="S542" i="86" s="1"/>
  <c r="R540" i="86"/>
  <c r="S540" i="86" s="1"/>
  <c r="R538" i="86"/>
  <c r="S538" i="86" s="1"/>
  <c r="R536" i="86"/>
  <c r="S536" i="86" s="1"/>
  <c r="R534" i="86"/>
  <c r="S534" i="86" s="1"/>
  <c r="R532" i="86"/>
  <c r="S532" i="86" s="1"/>
  <c r="R530" i="86"/>
  <c r="S530" i="86" s="1"/>
  <c r="R528" i="86"/>
  <c r="S528" i="86" s="1"/>
  <c r="R526" i="86"/>
  <c r="S526"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563" i="86"/>
  <c r="S563" i="86" s="1"/>
  <c r="R555" i="86"/>
  <c r="S555" i="86" s="1"/>
  <c r="R547" i="86"/>
  <c r="S547" i="86" s="1"/>
  <c r="R539" i="86"/>
  <c r="S539" i="86" s="1"/>
  <c r="R531" i="86"/>
  <c r="S531" i="86" s="1"/>
  <c r="R523" i="86"/>
  <c r="S523" i="86" s="1"/>
  <c r="R515" i="86"/>
  <c r="S515" i="86" s="1"/>
  <c r="R507" i="86"/>
  <c r="S507" i="86" s="1"/>
  <c r="R499" i="86"/>
  <c r="S499" i="86" s="1"/>
  <c r="R491" i="86"/>
  <c r="S491" i="86" s="1"/>
  <c r="R561" i="86"/>
  <c r="S561" i="86" s="1"/>
  <c r="R553" i="86"/>
  <c r="S553" i="86" s="1"/>
  <c r="R545" i="86"/>
  <c r="S545" i="86" s="1"/>
  <c r="R537" i="86"/>
  <c r="S537" i="86" s="1"/>
  <c r="R529" i="86"/>
  <c r="S529" i="86" s="1"/>
  <c r="R521" i="86"/>
  <c r="S521" i="86" s="1"/>
  <c r="R513" i="86"/>
  <c r="S513" i="86" s="1"/>
  <c r="R505" i="86"/>
  <c r="S505" i="86" s="1"/>
  <c r="R497" i="86"/>
  <c r="S497" i="86" s="1"/>
  <c r="R489" i="86"/>
  <c r="S489"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350" i="86"/>
  <c r="S350" i="86" s="1"/>
  <c r="R348" i="86"/>
  <c r="S348" i="86" s="1"/>
  <c r="R346" i="86"/>
  <c r="S346" i="86" s="1"/>
  <c r="R559" i="86"/>
  <c r="S559" i="86" s="1"/>
  <c r="R551" i="86"/>
  <c r="S551" i="86" s="1"/>
  <c r="R543" i="86"/>
  <c r="S543" i="86" s="1"/>
  <c r="R535" i="86"/>
  <c r="S535" i="86" s="1"/>
  <c r="R527" i="86"/>
  <c r="S527" i="86" s="1"/>
  <c r="R519" i="86"/>
  <c r="S519" i="86" s="1"/>
  <c r="R511" i="86"/>
  <c r="S511" i="86" s="1"/>
  <c r="R503" i="86"/>
  <c r="S503" i="86" s="1"/>
  <c r="R495" i="86"/>
  <c r="S495" i="86" s="1"/>
  <c r="R487" i="86"/>
  <c r="S487" i="86" s="1"/>
  <c r="R557" i="86"/>
  <c r="S557" i="86" s="1"/>
  <c r="R525" i="86"/>
  <c r="S525" i="86" s="1"/>
  <c r="R493" i="86"/>
  <c r="S493" i="86" s="1"/>
  <c r="R479" i="86"/>
  <c r="S479" i="86" s="1"/>
  <c r="R471" i="86"/>
  <c r="S471" i="86" s="1"/>
  <c r="R463" i="86"/>
  <c r="S463" i="86" s="1"/>
  <c r="R455" i="86"/>
  <c r="S455" i="86" s="1"/>
  <c r="R447" i="86"/>
  <c r="S447" i="86" s="1"/>
  <c r="R439" i="86"/>
  <c r="S439" i="86" s="1"/>
  <c r="R431" i="86"/>
  <c r="S431" i="86" s="1"/>
  <c r="R423" i="86"/>
  <c r="S423" i="86" s="1"/>
  <c r="R415" i="86"/>
  <c r="S415" i="86" s="1"/>
  <c r="R407" i="86"/>
  <c r="S407" i="86" s="1"/>
  <c r="R399" i="86"/>
  <c r="S399" i="86" s="1"/>
  <c r="R391" i="86"/>
  <c r="S391" i="86" s="1"/>
  <c r="R383" i="86"/>
  <c r="S383" i="86" s="1"/>
  <c r="R375" i="86"/>
  <c r="S375" i="86" s="1"/>
  <c r="R367" i="86"/>
  <c r="S367" i="86" s="1"/>
  <c r="R359" i="86"/>
  <c r="S359" i="86" s="1"/>
  <c r="R351" i="86"/>
  <c r="S351" i="86" s="1"/>
  <c r="R344" i="86"/>
  <c r="S344" i="86" s="1"/>
  <c r="R340" i="86"/>
  <c r="S340" i="86" s="1"/>
  <c r="R336" i="86"/>
  <c r="S336" i="86" s="1"/>
  <c r="R333" i="86"/>
  <c r="S333" i="86" s="1"/>
  <c r="R331" i="86"/>
  <c r="S331" i="86" s="1"/>
  <c r="R329" i="86"/>
  <c r="S329" i="86" s="1"/>
  <c r="R327" i="86"/>
  <c r="S327" i="86" s="1"/>
  <c r="R325" i="86"/>
  <c r="S325" i="86" s="1"/>
  <c r="R323" i="86"/>
  <c r="S323" i="86" s="1"/>
  <c r="R321" i="86"/>
  <c r="S321" i="86" s="1"/>
  <c r="R319" i="86"/>
  <c r="S319" i="86" s="1"/>
  <c r="R317" i="86"/>
  <c r="S317" i="86" s="1"/>
  <c r="R549" i="86"/>
  <c r="S549" i="86" s="1"/>
  <c r="R517" i="86"/>
  <c r="S517" i="86" s="1"/>
  <c r="R485" i="86"/>
  <c r="S485" i="86" s="1"/>
  <c r="R477" i="86"/>
  <c r="S477" i="86" s="1"/>
  <c r="R469" i="86"/>
  <c r="S469" i="86" s="1"/>
  <c r="R461" i="86"/>
  <c r="S461" i="86" s="1"/>
  <c r="R453" i="86"/>
  <c r="S453" i="86" s="1"/>
  <c r="R445" i="86"/>
  <c r="S445" i="86" s="1"/>
  <c r="R437" i="86"/>
  <c r="S437" i="86" s="1"/>
  <c r="R429" i="86"/>
  <c r="S429" i="86" s="1"/>
  <c r="R421" i="86"/>
  <c r="S421" i="86" s="1"/>
  <c r="R413" i="86"/>
  <c r="S413" i="86" s="1"/>
  <c r="R405" i="86"/>
  <c r="S405" i="86" s="1"/>
  <c r="R397" i="86"/>
  <c r="S397" i="86" s="1"/>
  <c r="R389" i="86"/>
  <c r="S389" i="86" s="1"/>
  <c r="R381" i="86"/>
  <c r="S381" i="86" s="1"/>
  <c r="R373" i="86"/>
  <c r="S373" i="86" s="1"/>
  <c r="R365" i="86"/>
  <c r="S365" i="86" s="1"/>
  <c r="R357" i="86"/>
  <c r="S357" i="86" s="1"/>
  <c r="R349" i="86"/>
  <c r="S349" i="86" s="1"/>
  <c r="R343" i="86"/>
  <c r="S343" i="86" s="1"/>
  <c r="R339" i="86"/>
  <c r="S339" i="86" s="1"/>
  <c r="R335" i="86"/>
  <c r="S335" i="86" s="1"/>
  <c r="R541" i="86"/>
  <c r="S541" i="86" s="1"/>
  <c r="R509" i="86"/>
  <c r="S509" i="86" s="1"/>
  <c r="R483" i="86"/>
  <c r="S483" i="86" s="1"/>
  <c r="R475" i="86"/>
  <c r="S475" i="86" s="1"/>
  <c r="R467" i="86"/>
  <c r="S467" i="86" s="1"/>
  <c r="R459" i="86"/>
  <c r="S459" i="86" s="1"/>
  <c r="R451" i="86"/>
  <c r="S451" i="86" s="1"/>
  <c r="R443" i="86"/>
  <c r="S443" i="86" s="1"/>
  <c r="R435" i="86"/>
  <c r="S435" i="86" s="1"/>
  <c r="R427" i="86"/>
  <c r="S427" i="86" s="1"/>
  <c r="R419" i="86"/>
  <c r="S419" i="86" s="1"/>
  <c r="R411" i="86"/>
  <c r="S411" i="86" s="1"/>
  <c r="R403" i="86"/>
  <c r="S403" i="86" s="1"/>
  <c r="R395" i="86"/>
  <c r="S395" i="86" s="1"/>
  <c r="R387" i="86"/>
  <c r="S387" i="86" s="1"/>
  <c r="R379" i="86"/>
  <c r="S379" i="86" s="1"/>
  <c r="R371" i="86"/>
  <c r="S371" i="86" s="1"/>
  <c r="R363" i="86"/>
  <c r="S363" i="86" s="1"/>
  <c r="R355" i="86"/>
  <c r="S355" i="86" s="1"/>
  <c r="R347" i="86"/>
  <c r="S347" i="86" s="1"/>
  <c r="R342" i="86"/>
  <c r="S342" i="86" s="1"/>
  <c r="R338" i="86"/>
  <c r="S338"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4" i="86"/>
  <c r="S304" i="86" s="1"/>
  <c r="R302" i="86"/>
  <c r="S302" i="86" s="1"/>
  <c r="R300" i="86"/>
  <c r="S300" i="86" s="1"/>
  <c r="R298" i="86"/>
  <c r="S298" i="86" s="1"/>
  <c r="R296" i="86"/>
  <c r="S296" i="86" s="1"/>
  <c r="R294" i="86"/>
  <c r="S294" i="86" s="1"/>
  <c r="R292" i="86"/>
  <c r="S292" i="86" s="1"/>
  <c r="R290" i="86"/>
  <c r="S290" i="86" s="1"/>
  <c r="R288" i="86"/>
  <c r="S288" i="86" s="1"/>
  <c r="R286" i="86"/>
  <c r="S286" i="86" s="1"/>
  <c r="R284" i="86"/>
  <c r="S284" i="86" s="1"/>
  <c r="R282" i="86"/>
  <c r="S282" i="86" s="1"/>
  <c r="R280" i="86"/>
  <c r="S280" i="86" s="1"/>
  <c r="R278" i="86"/>
  <c r="S278" i="86" s="1"/>
  <c r="R276" i="86"/>
  <c r="S276" i="86" s="1"/>
  <c r="R274" i="86"/>
  <c r="S274" i="86" s="1"/>
  <c r="R272" i="86"/>
  <c r="S272" i="86" s="1"/>
  <c r="R270" i="86"/>
  <c r="S270" i="86" s="1"/>
  <c r="R268" i="86"/>
  <c r="S268"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30" i="86"/>
  <c r="S230" i="86" s="1"/>
  <c r="R228" i="86"/>
  <c r="S228" i="86" s="1"/>
  <c r="R226" i="86"/>
  <c r="S226" i="86" s="1"/>
  <c r="R224" i="86"/>
  <c r="S224" i="86" s="1"/>
  <c r="R222" i="86"/>
  <c r="S222" i="86" s="1"/>
  <c r="R220" i="86"/>
  <c r="S220" i="86" s="1"/>
  <c r="R218" i="86"/>
  <c r="S218" i="86" s="1"/>
  <c r="R216" i="86"/>
  <c r="S216" i="86" s="1"/>
  <c r="R214" i="86"/>
  <c r="S214" i="86" s="1"/>
  <c r="R533" i="86"/>
  <c r="S533" i="86" s="1"/>
  <c r="R465" i="86"/>
  <c r="S465" i="86" s="1"/>
  <c r="R433" i="86"/>
  <c r="S433" i="86" s="1"/>
  <c r="R401" i="86"/>
  <c r="S401" i="86" s="1"/>
  <c r="R369" i="86"/>
  <c r="S369" i="86" s="1"/>
  <c r="R341" i="86"/>
  <c r="S341" i="86" s="1"/>
  <c r="R315" i="86"/>
  <c r="S315" i="86" s="1"/>
  <c r="R311" i="86"/>
  <c r="S311" i="86" s="1"/>
  <c r="R307" i="86"/>
  <c r="S307" i="86" s="1"/>
  <c r="R303" i="86"/>
  <c r="S303" i="86" s="1"/>
  <c r="R299" i="86"/>
  <c r="S299" i="86" s="1"/>
  <c r="R295" i="86"/>
  <c r="S295" i="86" s="1"/>
  <c r="R291" i="86"/>
  <c r="S291" i="86" s="1"/>
  <c r="R287" i="86"/>
  <c r="S287" i="86" s="1"/>
  <c r="R283" i="86"/>
  <c r="S283" i="86" s="1"/>
  <c r="R279" i="86"/>
  <c r="S279" i="86" s="1"/>
  <c r="R275" i="86"/>
  <c r="S275" i="86" s="1"/>
  <c r="R271" i="86"/>
  <c r="S271" i="86" s="1"/>
  <c r="R267" i="86"/>
  <c r="S267" i="86" s="1"/>
  <c r="R263" i="86"/>
  <c r="S263" i="86" s="1"/>
  <c r="R259" i="86"/>
  <c r="S259" i="86" s="1"/>
  <c r="R255" i="86"/>
  <c r="S255" i="86" s="1"/>
  <c r="R251" i="86"/>
  <c r="S251" i="86" s="1"/>
  <c r="R247" i="86"/>
  <c r="S247" i="86" s="1"/>
  <c r="R243" i="86"/>
  <c r="S243" i="86" s="1"/>
  <c r="R239" i="86"/>
  <c r="S239" i="86" s="1"/>
  <c r="R235" i="86"/>
  <c r="S235" i="86" s="1"/>
  <c r="R231" i="86"/>
  <c r="S231" i="86" s="1"/>
  <c r="R227" i="86"/>
  <c r="S227" i="86" s="1"/>
  <c r="R223" i="86"/>
  <c r="S223" i="86" s="1"/>
  <c r="R219" i="86"/>
  <c r="S219" i="86" s="1"/>
  <c r="R215" i="86"/>
  <c r="S215" i="86" s="1"/>
  <c r="R209" i="86"/>
  <c r="S209" i="86" s="1"/>
  <c r="R207" i="86"/>
  <c r="S207" i="86" s="1"/>
  <c r="R205" i="86"/>
  <c r="S205" i="86" s="1"/>
  <c r="R203" i="86"/>
  <c r="S203" i="86" s="1"/>
  <c r="R201" i="86"/>
  <c r="S201" i="86" s="1"/>
  <c r="R199" i="86"/>
  <c r="S199" i="86" s="1"/>
  <c r="R197" i="86"/>
  <c r="S197" i="86" s="1"/>
  <c r="R195" i="86"/>
  <c r="S195" i="86" s="1"/>
  <c r="R193" i="86"/>
  <c r="S193"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67" i="86"/>
  <c r="S167" i="86" s="1"/>
  <c r="R165" i="86"/>
  <c r="S165" i="86" s="1"/>
  <c r="R163" i="86"/>
  <c r="S163" i="86" s="1"/>
  <c r="R161" i="86"/>
  <c r="S161"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31" i="86"/>
  <c r="S131" i="86" s="1"/>
  <c r="R129" i="86"/>
  <c r="S129" i="86" s="1"/>
  <c r="R127" i="86"/>
  <c r="S127" i="86" s="1"/>
  <c r="R125" i="86"/>
  <c r="S125" i="86" s="1"/>
  <c r="R123" i="86"/>
  <c r="S123" i="86" s="1"/>
  <c r="R121" i="86"/>
  <c r="S121" i="86" s="1"/>
  <c r="R119" i="86"/>
  <c r="S119" i="86" s="1"/>
  <c r="R117" i="86"/>
  <c r="S117" i="86" s="1"/>
  <c r="R115" i="86"/>
  <c r="S115" i="86" s="1"/>
  <c r="R113" i="86"/>
  <c r="S113" i="86" s="1"/>
  <c r="R111" i="86"/>
  <c r="S111" i="86" s="1"/>
  <c r="R109" i="86"/>
  <c r="S109" i="86" s="1"/>
  <c r="R107" i="86"/>
  <c r="S107" i="86" s="1"/>
  <c r="R105" i="86"/>
  <c r="S105" i="86" s="1"/>
  <c r="R103" i="86"/>
  <c r="S103" i="86" s="1"/>
  <c r="R101" i="86"/>
  <c r="S101" i="86" s="1"/>
  <c r="R99" i="86"/>
  <c r="S99" i="86" s="1"/>
  <c r="R97" i="86"/>
  <c r="S97" i="86" s="1"/>
  <c r="R95" i="86"/>
  <c r="S95" i="86" s="1"/>
  <c r="R93" i="86"/>
  <c r="S93" i="86" s="1"/>
  <c r="R91" i="86"/>
  <c r="S91" i="86" s="1"/>
  <c r="R89" i="86"/>
  <c r="S89" i="86" s="1"/>
  <c r="R87" i="86"/>
  <c r="S87" i="86" s="1"/>
  <c r="R85" i="86"/>
  <c r="S85" i="86" s="1"/>
  <c r="R83" i="86"/>
  <c r="S83" i="86" s="1"/>
  <c r="R81" i="86"/>
  <c r="S81" i="86" s="1"/>
  <c r="R79" i="86"/>
  <c r="S79" i="86" s="1"/>
  <c r="R77" i="86"/>
  <c r="S77" i="86" s="1"/>
  <c r="R75" i="86"/>
  <c r="S75" i="86" s="1"/>
  <c r="R73" i="86"/>
  <c r="S73" i="86" s="1"/>
  <c r="R71" i="86"/>
  <c r="S71" i="86" s="1"/>
  <c r="R69" i="86"/>
  <c r="S69" i="86" s="1"/>
  <c r="R67" i="86"/>
  <c r="S67" i="86" s="1"/>
  <c r="R65" i="86"/>
  <c r="S65" i="86" s="1"/>
  <c r="R63" i="86"/>
  <c r="S63" i="86" s="1"/>
  <c r="R61" i="86"/>
  <c r="S61" i="86" s="1"/>
  <c r="R59" i="86"/>
  <c r="S59"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29" i="86"/>
  <c r="S29" i="86" s="1"/>
  <c r="R26" i="86"/>
  <c r="S26" i="86" s="1"/>
  <c r="S24" i="86"/>
  <c r="R501" i="86"/>
  <c r="S501" i="86" s="1"/>
  <c r="R457" i="86"/>
  <c r="S457" i="86" s="1"/>
  <c r="R425" i="86"/>
  <c r="S425" i="86" s="1"/>
  <c r="R393" i="86"/>
  <c r="S393" i="86" s="1"/>
  <c r="R361" i="86"/>
  <c r="S361" i="86" s="1"/>
  <c r="R337" i="86"/>
  <c r="S337" i="86" s="1"/>
  <c r="R211" i="86"/>
  <c r="S211" i="86" s="1"/>
  <c r="R27" i="86"/>
  <c r="S27" i="86" s="1"/>
  <c r="R481" i="86"/>
  <c r="S481" i="86" s="1"/>
  <c r="R449" i="86"/>
  <c r="S449" i="86" s="1"/>
  <c r="R417" i="86"/>
  <c r="S417" i="86" s="1"/>
  <c r="R385" i="86"/>
  <c r="S385" i="86" s="1"/>
  <c r="R353" i="86"/>
  <c r="S353" i="86" s="1"/>
  <c r="R313" i="86"/>
  <c r="S313" i="86" s="1"/>
  <c r="R309" i="86"/>
  <c r="S309" i="86" s="1"/>
  <c r="R305" i="86"/>
  <c r="S305" i="86" s="1"/>
  <c r="R301" i="86"/>
  <c r="S301" i="86" s="1"/>
  <c r="R297" i="86"/>
  <c r="S297" i="86" s="1"/>
  <c r="R293" i="86"/>
  <c r="S293" i="86" s="1"/>
  <c r="R289" i="86"/>
  <c r="S289" i="86" s="1"/>
  <c r="R285" i="86"/>
  <c r="S285" i="86" s="1"/>
  <c r="R281" i="86"/>
  <c r="S281" i="86" s="1"/>
  <c r="R277" i="86"/>
  <c r="S277" i="86" s="1"/>
  <c r="R273" i="86"/>
  <c r="S273" i="86" s="1"/>
  <c r="R269" i="86"/>
  <c r="S269" i="86" s="1"/>
  <c r="R265" i="86"/>
  <c r="S265" i="86" s="1"/>
  <c r="R261" i="86"/>
  <c r="S261" i="86" s="1"/>
  <c r="R257" i="86"/>
  <c r="S257" i="86" s="1"/>
  <c r="R253" i="86"/>
  <c r="S253" i="86" s="1"/>
  <c r="R249" i="86"/>
  <c r="S249" i="86" s="1"/>
  <c r="R245" i="86"/>
  <c r="S245" i="86" s="1"/>
  <c r="R241" i="86"/>
  <c r="S241" i="86" s="1"/>
  <c r="R237" i="86"/>
  <c r="S237" i="86" s="1"/>
  <c r="R233" i="86"/>
  <c r="S233" i="86" s="1"/>
  <c r="R229" i="86"/>
  <c r="S229" i="86" s="1"/>
  <c r="R225" i="86"/>
  <c r="S225" i="86" s="1"/>
  <c r="R221" i="86"/>
  <c r="S221" i="86" s="1"/>
  <c r="R217" i="86"/>
  <c r="S217" i="86" s="1"/>
  <c r="R213" i="86"/>
  <c r="S213" i="86" s="1"/>
  <c r="R210" i="86"/>
  <c r="S210"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80" i="86"/>
  <c r="S180" i="86" s="1"/>
  <c r="R178" i="86"/>
  <c r="S178" i="86" s="1"/>
  <c r="R176" i="86"/>
  <c r="S176" i="86" s="1"/>
  <c r="R174" i="86"/>
  <c r="S174" i="86" s="1"/>
  <c r="R172" i="86"/>
  <c r="S172" i="86" s="1"/>
  <c r="R170" i="86"/>
  <c r="S170" i="86" s="1"/>
  <c r="R168" i="86"/>
  <c r="S168" i="86" s="1"/>
  <c r="R166" i="86"/>
  <c r="S166" i="86" s="1"/>
  <c r="R164" i="86"/>
  <c r="S164" i="86" s="1"/>
  <c r="R162" i="86"/>
  <c r="S162" i="86" s="1"/>
  <c r="R160" i="86"/>
  <c r="S160"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2" i="86"/>
  <c r="S132" i="86" s="1"/>
  <c r="R130" i="86"/>
  <c r="S130" i="86" s="1"/>
  <c r="R128" i="86"/>
  <c r="S128" i="86" s="1"/>
  <c r="R126" i="86"/>
  <c r="S126" i="86" s="1"/>
  <c r="R124" i="86"/>
  <c r="S124" i="86" s="1"/>
  <c r="R122" i="86"/>
  <c r="S122" i="86" s="1"/>
  <c r="R120" i="86"/>
  <c r="S120" i="86" s="1"/>
  <c r="R118" i="86"/>
  <c r="S118" i="86" s="1"/>
  <c r="R116" i="86"/>
  <c r="S116" i="86" s="1"/>
  <c r="R114" i="86"/>
  <c r="S114" i="86" s="1"/>
  <c r="R112" i="86"/>
  <c r="S112" i="86" s="1"/>
  <c r="R110" i="86"/>
  <c r="S110" i="86" s="1"/>
  <c r="R108" i="86"/>
  <c r="S108" i="86" s="1"/>
  <c r="R106" i="86"/>
  <c r="S106" i="86" s="1"/>
  <c r="R104" i="86"/>
  <c r="S104" i="86" s="1"/>
  <c r="R102" i="86"/>
  <c r="S102" i="86" s="1"/>
  <c r="R100" i="86"/>
  <c r="S100" i="86" s="1"/>
  <c r="R98" i="86"/>
  <c r="S98" i="86" s="1"/>
  <c r="R96" i="86"/>
  <c r="S96" i="86" s="1"/>
  <c r="R94" i="86"/>
  <c r="S94" i="86" s="1"/>
  <c r="R92" i="86"/>
  <c r="S92" i="86" s="1"/>
  <c r="R90" i="86"/>
  <c r="S90" i="86" s="1"/>
  <c r="R88" i="86"/>
  <c r="S88" i="86" s="1"/>
  <c r="R86" i="86"/>
  <c r="S86" i="86" s="1"/>
  <c r="R84" i="86"/>
  <c r="S84" i="86" s="1"/>
  <c r="R82" i="86"/>
  <c r="S82" i="86" s="1"/>
  <c r="R80" i="86"/>
  <c r="S80" i="86" s="1"/>
  <c r="R78" i="86"/>
  <c r="S78" i="86" s="1"/>
  <c r="R76" i="86"/>
  <c r="S76" i="86" s="1"/>
  <c r="R74" i="86"/>
  <c r="S74" i="86" s="1"/>
  <c r="R72" i="86"/>
  <c r="S72" i="86" s="1"/>
  <c r="R70" i="86"/>
  <c r="S70" i="86" s="1"/>
  <c r="R68" i="86"/>
  <c r="S68" i="86" s="1"/>
  <c r="R66" i="86"/>
  <c r="S66" i="86" s="1"/>
  <c r="R64" i="86"/>
  <c r="S64" i="86" s="1"/>
  <c r="R62" i="86"/>
  <c r="S62" i="86" s="1"/>
  <c r="R60" i="86"/>
  <c r="S60"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30" i="86"/>
  <c r="S30" i="86" s="1"/>
  <c r="R28" i="86"/>
  <c r="S28" i="86" s="1"/>
  <c r="R473" i="86"/>
  <c r="S473" i="86" s="1"/>
  <c r="R345" i="86"/>
  <c r="S345" i="86" s="1"/>
  <c r="R441" i="86"/>
  <c r="S441" i="86" s="1"/>
  <c r="R212" i="86"/>
  <c r="S212" i="86" s="1"/>
  <c r="R25" i="86"/>
  <c r="S25" i="86" s="1"/>
  <c r="R409" i="86"/>
  <c r="S409" i="86" s="1"/>
  <c r="R565" i="86"/>
  <c r="S565" i="86" s="1"/>
  <c r="R377" i="86"/>
  <c r="S377" i="86" s="1"/>
  <c r="R22" i="86" l="1"/>
  <c r="D14" i="74" s="1"/>
  <c r="S22" i="86"/>
  <c r="B20" i="86" s="1"/>
  <c r="B21" i="86" s="1"/>
  <c r="E14" i="74" l="1"/>
  <c r="G14" i="74"/>
  <c r="B6" i="74" s="1"/>
  <c r="F14" i="74"/>
  <c r="B5" i="74"/>
  <c r="D6" i="74" l="1"/>
  <c r="D5" i="74"/>
  <c r="B53" i="72" l="1"/>
  <c r="E97" i="9"/>
  <c r="B32" i="72"/>
  <c r="D52" i="9"/>
  <c r="D53" i="9"/>
  <c r="M67" i="9"/>
  <c r="C104" i="9"/>
  <c r="H4" i="52"/>
  <c r="F4" i="52"/>
  <c r="B51" i="72"/>
  <c r="D9" i="52"/>
  <c r="M66" i="9"/>
  <c r="P57" i="9"/>
  <c r="N58" i="9"/>
  <c r="B47" i="72"/>
  <c r="B20" i="72"/>
  <c r="D4" i="52"/>
  <c r="L67" i="9"/>
  <c r="L66" i="9"/>
  <c r="M48" i="9"/>
  <c r="C105" i="9"/>
  <c r="I4" i="52"/>
  <c r="M54" i="9"/>
  <c r="D56" i="9"/>
  <c r="D8" i="52"/>
  <c r="D123" i="9"/>
  <c r="H119" i="9"/>
  <c r="H5" i="52"/>
  <c r="C93" i="9"/>
  <c r="C86" i="9"/>
  <c r="N60" i="9"/>
  <c r="N59" i="9"/>
  <c r="N61" i="9"/>
  <c r="F119" i="9"/>
  <c r="F5" i="52"/>
  <c r="B30" i="72"/>
  <c r="D14" i="53"/>
  <c r="E80" i="9"/>
  <c r="E81" i="9"/>
  <c r="F118" i="9"/>
  <c r="G118" i="9"/>
  <c r="G4" i="52"/>
  <c r="B52" i="72"/>
  <c r="D5" i="53"/>
  <c r="D6" i="53"/>
  <c r="B22" i="72"/>
  <c r="M69" i="9"/>
  <c r="N69" i="9"/>
  <c r="D59" i="9"/>
  <c r="M55" i="9"/>
  <c r="L65" i="9"/>
  <c r="M65" i="9"/>
  <c r="D122" i="9"/>
  <c r="D13" i="53"/>
  <c r="C5" i="74"/>
  <c r="L63" i="9"/>
  <c r="M63" i="9"/>
  <c r="C96" i="9"/>
  <c r="E96" i="9"/>
  <c r="B31" i="72"/>
  <c r="B49" i="72"/>
  <c r="C6" i="74"/>
  <c r="H108" i="9"/>
  <c r="D15" i="53"/>
  <c r="C78" i="9"/>
  <c r="C73" i="9"/>
  <c r="E4" i="52"/>
  <c r="B48" i="72"/>
  <c r="L64" i="9"/>
  <c r="M64" i="9"/>
  <c r="H102" i="9"/>
  <c r="D7" i="53"/>
  <c r="B21" i="72"/>
  <c r="C85" i="9"/>
  <c r="C95" i="9"/>
  <c r="C97" i="9"/>
  <c r="D58" i="9"/>
  <c r="C64" i="9"/>
  <c r="C63" i="9"/>
  <c r="C67" i="9"/>
  <c r="C68" i="9"/>
  <c r="D54" i="9"/>
  <c r="C81" i="9"/>
  <c r="C72" i="9"/>
  <c r="C79" i="9"/>
  <c r="C80" i="9"/>
  <c r="H107" i="9"/>
  <c r="M49" i="9"/>
  <c r="L68" i="9"/>
  <c r="M68" i="9"/>
  <c r="H101" i="9"/>
  <c r="D45" i="9"/>
  <c r="D55" i="9"/>
  <c r="M53" i="9"/>
  <c r="N57"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<sst xmlns="http://schemas.openxmlformats.org/spreadsheetml/2006/main" count="12024" uniqueCount="3131">
  <si>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</si>
  <si>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</si>
  <si>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</si>
  <si>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</si>
  <si>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</si>
  <si>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</si>
  <si>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</si>
  <si>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</si>
  <si>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</si>
  <si>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</si>
  <si>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</si>
  <si>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</si>
  <si>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</si>
  <si>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</si>
  <si>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</si>
  <si>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</si>
  <si>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</si>
  <si>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</si>
  <si>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</si>
  <si>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</si>
  <si>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</si>
  <si>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</si>
  <si>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</si>
  <si>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</si>
  <si>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</si>
  <si>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</si>
  <si>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</si>
  <si>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</si>
  <si>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</si>
  <si>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</si>
  <si>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</si>
  <si>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</si>
  <si>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</si>
  <si>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</si>
  <si>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</si>
  <si>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</si>
  <si>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</si>
  <si>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</si>
  <si>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</si>
  <si>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</si>
  <si>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</si>
  <si>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</si>
  <si>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</si>
  <si>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</si>
  <si>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</si>
  <si>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</si>
  <si>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</si>
  <si>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</si>
  <si>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</si>
  <si>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</si>
  <si>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</si>
  <si>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</si>
  <si>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</si>
  <si>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</si>
  <si>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</si>
  <si>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</si>
  <si>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</si>
  <si>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</si>
  <si>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</si>
  <si>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</si>
  <si>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</si>
  <si>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</si>
  <si>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</si>
  <si>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</si>
  <si>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</si>
  <si>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</si>
  <si>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</si>
  <si>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</si>
  <si>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</si>
  <si>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</si>
  <si>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</si>
  <si>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</si>
  <si>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</si>
  <si>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</si>
  <si>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</si>
  <si>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</si>
  <si>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</si>
  <si>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</si>
  <si>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</si>
  <si>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</si>
  <si>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</si>
  <si>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</si>
  <si>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</si>
  <si>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</si>
  <si>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</si>
  <si>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</si>
  <si>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</si>
  <si>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</si>
  <si>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</si>
  <si>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</si>
  <si>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</si>
  <si>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</si>
  <si>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</si>
  <si>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</si>
  <si>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</si>
  <si>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</si>
  <si>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</si>
  <si>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</si>
  <si>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</si>
  <si>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</si>
  <si>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</si>
  <si>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</si>
  <si>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</si>
  <si>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</si>
  <si>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</si>
  <si>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</si>
  <si>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</si>
  <si>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</si>
  <si>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</si>
  <si>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</si>
  <si>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</si>
  <si>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</si>
  <si>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</si>
  <si>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</si>
  <si>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</si>
  <si>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</si>
  <si>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</si>
  <si>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</si>
  <si>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</si>
  <si>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</si>
  <si>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</si>
  <si>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</si>
  <si>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</si>
  <si>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</si>
  <si>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</si>
  <si>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</si>
  <si>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</si>
  <si>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</si>
  <si>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</si>
  <si>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</si>
  <si>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</si>
  <si>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</si>
  <si>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</si>
  <si>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</si>
  <si>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</si>
  <si>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</si>
  <si>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</si>
  <si>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</si>
  <si>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</si>
  <si>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</si>
  <si>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</si>
  <si>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</si>
  <si>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</si>
  <si>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</si>
  <si>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</si>
  <si>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</si>
  <si>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</si>
  <si>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</si>
  <si>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</si>
  <si>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</si>
  <si>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</si>
  <si>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</si>
  <si>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</si>
  <si>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</si>
  <si>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</si>
  <si>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</si>
  <si>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</si>
  <si>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</si>
  <si>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</si>
  <si>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</si>
  <si>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</si>
  <si>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</si>
  <si>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</si>
  <si>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</si>
  <si>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</si>
  <si>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</si>
  <si>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</si>
  <si>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</si>
  <si>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</si>
  <si>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</si>
  <si>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</si>
  <si>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</si>
  <si>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</si>
  <si>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</si>
  <si>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</si>
  <si>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</si>
  <si>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</si>
  <si>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</si>
  <si>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</si>
  <si>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</si>
  <si>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</si>
  <si>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</si>
  <si>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</si>
  <si>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</si>
  <si>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</si>
  <si>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</si>
  <si>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</si>
  <si>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</si>
  <si>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</si>
  <si>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</si>
  <si>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</si>
  <si>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</si>
  <si>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</si>
  <si>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</si>
  <si>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</si>
  <si>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</si>
  <si>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</si>
  <si>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</si>
  <si>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</si>
  <si>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</si>
  <si>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</si>
  <si>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</si>
  <si>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</si>
  <si>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</si>
  <si>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</si>
  <si>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</si>
  <si>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</si>
  <si>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</si>
  <si>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</si>
  <si>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</si>
  <si>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</si>
  <si>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</si>
  <si>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</si>
  <si>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</si>
  <si>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</si>
  <si>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</si>
  <si>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</si>
  <si>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</si>
  <si>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</si>
  <si>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</si>
  <si>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</si>
  <si>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</si>
  <si>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</si>
  <si>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</si>
  <si>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</si>
  <si>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</si>
  <si>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</si>
  <si>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</si>
  <si>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</si>
  <si>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</si>
  <si>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</si>
  <si>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</si>
  <si>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</si>
  <si>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</si>
  <si>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</si>
  <si>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</si>
  <si>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</si>
  <si>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</si>
  <si>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</si>
  <si>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</si>
  <si>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</si>
  <si>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</si>
  <si>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</si>
  <si>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</si>
  <si>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</si>
  <si>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</si>
  <si>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</si>
  <si>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</si>
  <si>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</si>
  <si>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</si>
  <si>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</si>
  <si>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</si>
  <si>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</si>
  <si>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</si>
  <si>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</si>
  <si>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</si>
  <si>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</si>
  <si>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</si>
  <si>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</si>
  <si>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</si>
  <si>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</si>
  <si>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</si>
  <si>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</si>
  <si>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</si>
  <si>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</si>
  <si>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</si>
  <si>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</si>
  <si>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</si>
  <si>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</si>
  <si>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</si>
  <si>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</si>
  <si>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</si>
  <si>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</si>
  <si>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</si>
  <si>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</si>
  <si>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</si>
  <si>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</si>
  <si>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</si>
  <si>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</si>
  <si>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</si>
  <si>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</si>
  <si>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</si>
  <si>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</si>
  <si>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</si>
  <si>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</si>
  <si>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</si>
  <si>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</si>
  <si>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</si>
  <si>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</si>
  <si>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</si>
  <si>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</si>
  <si>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</si>
  <si>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</si>
  <si>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</si>
  <si>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</si>
  <si>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</si>
  <si>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</si>
  <si>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</si>
  <si>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</si>
  <si>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</si>
  <si>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</si>
  <si>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</si>
  <si>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</si>
  <si>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</si>
  <si>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</si>
  <si>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</si>
  <si>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</si>
  <si>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</si>
  <si>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</si>
  <si>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</si>
  <si>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</si>
  <si>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</si>
  <si>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</si>
  <si>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</si>
  <si>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</si>
  <si>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</si>
  <si>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</si>
  <si>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</si>
  <si>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</si>
  <si>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</si>
  <si>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</si>
  <si>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</si>
  <si>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</si>
  <si>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</si>
  <si>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</si>
  <si>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</si>
  <si>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</si>
  <si>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</si>
  <si>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</si>
  <si>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</si>
  <si>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</si>
  <si>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</si>
  <si>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</si>
  <si>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</si>
  <si>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</si>
  <si>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</si>
  <si>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</si>
  <si>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</si>
  <si>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</si>
  <si>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</si>
  <si>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</si>
  <si>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</si>
  <si>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</si>
  <si>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</si>
  <si>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</si>
  <si>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</si>
  <si>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</si>
  <si>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</si>
  <si>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</si>
  <si>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</si>
  <si>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</si>
  <si>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</si>
  <si>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</si>
  <si>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</si>
  <si>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</si>
  <si>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</si>
  <si>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</si>
  <si>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</si>
  <si>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</si>
  <si>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</si>
  <si>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</si>
  <si>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</si>
  <si>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</si>
  <si>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</si>
  <si>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</si>
  <si>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</si>
  <si>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</si>
  <si>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</si>
  <si>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</si>
  <si>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</si>
  <si>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</si>
  <si>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</si>
  <si>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</si>
  <si>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</si>
  <si>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</si>
  <si>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</si>
  <si>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</si>
  <si>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</si>
  <si>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</si>
  <si>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</si>
  <si>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</si>
  <si>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</si>
  <si>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</si>
  <si>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</si>
  <si>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</si>
  <si>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</si>
  <si>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</si>
  <si>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</si>
  <si>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</si>
  <si>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</si>
  <si>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</si>
  <si>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</si>
  <si>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</si>
  <si>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</si>
  <si>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</si>
  <si>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</si>
  <si>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</si>
  <si>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</si>
  <si>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</si>
  <si>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</si>
  <si>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</si>
  <si>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</si>
  <si>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</si>
  <si>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</si>
  <si>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</si>
  <si>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</si>
  <si>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</si>
  <si>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</si>
  <si>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</si>
  <si>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</si>
  <si>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</si>
  <si>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</si>
  <si>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</si>
  <si>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</si>
  <si>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</si>
  <si>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</si>
  <si>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</si>
  <si>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</si>
  <si>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</si>
  <si>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</si>
  <si>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</si>
  <si>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</si>
  <si>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</si>
  <si>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</si>
  <si>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</si>
  <si>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</si>
  <si>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</si>
  <si>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</si>
  <si>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</si>
  <si>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</si>
  <si>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</si>
  <si>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</si>
  <si>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</si>
  <si>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</si>
  <si>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</si>
  <si>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</si>
  <si>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</si>
  <si>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</si>
  <si>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</si>
  <si>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</si>
  <si>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</si>
  <si>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</si>
  <si>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</si>
  <si>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</si>
  <si>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</si>
  <si>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</si>
  <si>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</si>
  <si>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</si>
  <si>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</si>
  <si>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</si>
  <si>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</si>
  <si>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</si>
  <si>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</si>
  <si>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</si>
  <si>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</si>
  <si>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</si>
  <si>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</si>
  <si>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</si>
  <si>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</si>
  <si>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</si>
  <si>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</si>
  <si>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</si>
  <si>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</si>
  <si>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</si>
  <si>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</si>
  <si>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</si>
  <si>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</si>
  <si>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</si>
  <si>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</si>
  <si>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</si>
  <si>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</si>
  <si>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</si>
  <si>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</si>
  <si>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</si>
  <si>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</si>
  <si>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</si>
  <si>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</si>
  <si>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</si>
  <si>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</si>
  <si>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</si>
  <si>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</si>
  <si>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</si>
  <si>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</si>
  <si>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</si>
  <si>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</si>
  <si>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</si>
  <si>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</si>
  <si>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</si>
  <si>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</si>
  <si>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</si>
  <si>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</si>
  <si>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</si>
  <si>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</si>
  <si>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</si>
  <si>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</si>
  <si>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</si>
  <si>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</si>
  <si>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</si>
  <si>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</si>
  <si>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</si>
  <si>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</si>
  <si>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</si>
  <si>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</si>
  <si>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</si>
  <si>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</si>
  <si>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</si>
  <si>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</si>
  <si>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</si>
  <si>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</si>
  <si>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</si>
  <si>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</si>
  <si>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</si>
  <si>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</si>
  <si>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</si>
  <si>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</si>
  <si>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</si>
  <si>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</si>
  <si>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</si>
  <si>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</si>
  <si>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</si>
  <si>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</si>
  <si>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</si>
  <si>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</si>
  <si>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</si>
  <si>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</si>
  <si>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</si>
  <si>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</si>
  <si>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</si>
  <si>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</si>
  <si>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</si>
  <si>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</si>
  <si>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</si>
  <si>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</si>
  <si>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</si>
  <si>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</si>
  <si>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</si>
  <si>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</si>
  <si>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</si>
  <si>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</si>
  <si>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</si>
  <si>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</si>
  <si>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</si>
  <si>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</si>
  <si>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</si>
  <si>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</si>
  <si>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</si>
  <si>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</si>
  <si>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</si>
  <si>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</si>
  <si>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</si>
  <si>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</si>
  <si>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</si>
  <si>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</si>
  <si>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</si>
  <si>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</si>
  <si>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</si>
  <si>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</si>
  <si>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</si>
  <si>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</si>
  <si>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</si>
  <si>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</si>
  <si>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</si>
  <si>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</si>
  <si>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</si>
  <si>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</si>
  <si>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</si>
  <si>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</si>
  <si>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</si>
  <si>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</si>
  <si>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</si>
  <si>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</si>
  <si>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</si>
  <si>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</si>
  <si>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</si>
  <si>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</si>
  <si>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</si>
  <si>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</si>
  <si>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</si>
  <si>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</si>
  <si>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</si>
  <si>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</si>
  <si>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</si>
  <si>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</si>
  <si>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</si>
  <si>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</si>
  <si>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</si>
  <si>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</si>
  <si>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</si>
  <si>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</si>
  <si>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</si>
  <si>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</si>
  <si>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</si>
  <si>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</si>
  <si>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</si>
  <si>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</si>
  <si>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</si>
  <si>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</si>
  <si>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</si>
  <si>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</si>
  <si>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</si>
  <si>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</si>
  <si>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</si>
  <si>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</si>
  <si>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</si>
  <si>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</si>
  <si>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</si>
  <si>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</si>
  <si>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</si>
  <si>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</si>
  <si>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</si>
  <si>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</si>
  <si>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</si>
  <si>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</si>
  <si>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</si>
  <si>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</si>
  <si>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</si>
  <si>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</si>
  <si>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</si>
  <si>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</si>
  <si>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</si>
  <si>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</si>
  <si>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</si>
  <si>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</si>
  <si>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</si>
  <si>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</si>
  <si>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</si>
  <si>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</si>
  <si>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</si>
  <si>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</si>
  <si>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</si>
  <si>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</si>
  <si>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</si>
  <si>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</si>
  <si>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</si>
  <si>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</si>
  <si>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</si>
  <si>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</si>
  <si>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</si>
  <si>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</si>
  <si>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</si>
  <si>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</si>
  <si>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</si>
  <si>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</si>
  <si>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</si>
  <si>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</si>
  <si>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</si>
  <si>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</si>
  <si>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</si>
  <si>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1-024</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</si>
  <si>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</si>
  <si>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</si>
  <si>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</si>
  <si>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</si>
  <si>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</si>
  <si>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</si>
  <si>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</si>
  <si>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</si>
  <si>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</si>
  <si>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</si>
  <si>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</si>
  <si>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</si>
  <si>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</si>
  <si>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</si>
  <si>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</si>
  <si>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</si>
  <si>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</si>
  <si>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</si>
  <si>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</si>
  <si>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</si>
  <si>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</si>
  <si>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</si>
  <si>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</si>
  <si>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</si>
  <si>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</si>
  <si>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</si>
  <si>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</si>
  <si>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</si>
  <si>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</si>
  <si>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</si>
  <si>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</si>
  <si>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</si>
  <si>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</si>
  <si>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</si>
  <si>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</si>
  <si>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</si>
  <si>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</si>
  <si>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</si>
  <si>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</si>
  <si>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</si>
  <si>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</si>
  <si>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</si>
  <si>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</si>
  <si>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</si>
  <si>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</si>
  <si>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</si>
  <si>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</si>
  <si>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</si>
  <si>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</si>
  <si>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</si>
  <si>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</si>
  <si>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</si>
  <si>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</si>
  <si>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</si>
  <si>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</si>
  <si>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</si>
  <si>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</si>
  <si>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</si>
  <si>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</si>
  <si>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</si>
  <si>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</si>
  <si>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</si>
  <si>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</si>
  <si>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</si>
  <si>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</si>
  <si>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</si>
  <si>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</si>
  <si>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</si>
  <si>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</si>
  <si>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</si>
  <si>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</si>
  <si>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</si>
  <si>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</si>
  <si>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</si>
  <si>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</si>
  <si>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</si>
  <si>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</si>
  <si>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</si>
  <si>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</si>
  <si>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</si>
  <si>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</si>
  <si>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</si>
  <si>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</si>
  <si>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</si>
  <si>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</si>
  <si>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</si>
  <si>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</si>
  <si>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</si>
  <si>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</si>
  <si>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</si>
  <si>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</si>
  <si>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</si>
  <si>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</si>
  <si>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</si>
  <si>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</si>
  <si>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</si>
  <si>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</si>
  <si>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</si>
  <si>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</si>
  <si>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</si>
  <si>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</si>
  <si>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</si>
  <si>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</si>
  <si>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</si>
  <si>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</si>
  <si>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</si>
  <si>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</si>
  <si>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</si>
  <si>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</si>
  <si>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</si>
  <si>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</si>
  <si>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</si>
  <si>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</si>
  <si>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</si>
  <si>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</si>
  <si>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</si>
  <si>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</si>
  <si>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</si>
  <si>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</si>
  <si>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</si>
  <si>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</si>
  <si>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</si>
  <si>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</si>
  <si>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</si>
  <si>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</si>
  <si>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</si>
  <si>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</si>
  <si>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</si>
  <si>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</si>
  <si>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</si>
  <si>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</si>
  <si>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</si>
  <si>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</si>
  <si>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</si>
  <si>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</si>
  <si>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</si>
  <si>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</si>
  <si>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</si>
  <si>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</si>
  <si>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</si>
  <si>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</si>
  <si>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0"/>
        <color theme="1"/>
        <rFont val="华文细黑"/>
        <family val="3"/>
        <charset val="134"/>
      </rPr>
      <t>北京华庭苑地库车位可抵押明细表</t>
    </r>
    <r>
      <rPr>
        <b/>
        <sz val="10"/>
        <color theme="1"/>
        <rFont val="Arial"/>
        <family val="2"/>
      </rPr>
      <t>20250909</t>
    </r>
  </si>
  <si>
    <r>
      <rPr>
        <b/>
        <sz val="10"/>
        <color theme="1"/>
        <rFont val="华文细黑"/>
        <family val="3"/>
        <charset val="134"/>
      </rPr>
      <t>序号</t>
    </r>
  </si>
  <si>
    <r>
      <rPr>
        <b/>
        <sz val="10"/>
        <color theme="1"/>
        <rFont val="华文细黑"/>
        <family val="3"/>
        <charset val="134"/>
      </rPr>
      <t>位置</t>
    </r>
  </si>
  <si>
    <r>
      <rPr>
        <b/>
        <sz val="10"/>
        <color theme="1"/>
        <rFont val="华文细黑"/>
        <family val="3"/>
        <charset val="134"/>
      </rPr>
      <t>车位号</t>
    </r>
  </si>
  <si>
    <r>
      <rPr>
        <b/>
        <sz val="10"/>
        <color theme="1"/>
        <rFont val="华文细黑"/>
        <family val="3"/>
        <charset val="134"/>
      </rPr>
      <t>位置及车位号</t>
    </r>
  </si>
  <si>
    <r>
      <rPr>
        <b/>
        <sz val="10"/>
        <color theme="1"/>
        <rFont val="华文细黑"/>
        <family val="3"/>
        <charset val="134"/>
      </rPr>
      <t>房屋坐落</t>
    </r>
  </si>
  <si>
    <r>
      <rPr>
        <b/>
        <sz val="10"/>
        <color theme="1"/>
        <rFont val="华文细黑"/>
        <family val="3"/>
        <charset val="134"/>
      </rPr>
      <t>规划用途</t>
    </r>
  </si>
  <si>
    <t>产证用途</t>
  </si>
  <si>
    <t>建筑面积（㎡）</t>
  </si>
  <si>
    <t>套内面积（㎡）</t>
  </si>
  <si>
    <r>
      <rPr>
        <sz val="10"/>
        <color theme="1"/>
        <rFont val="Arial"/>
        <family val="2"/>
      </rPr>
      <t>1#</t>
    </r>
    <r>
      <rPr>
        <sz val="10"/>
        <color theme="1"/>
        <rFont val="华文细黑"/>
        <family val="3"/>
        <charset val="134"/>
      </rPr>
      <t>地库</t>
    </r>
  </si>
  <si>
    <t>024</t>
  </si>
  <si>
    <r>
      <rPr>
        <sz val="10"/>
        <color theme="1"/>
        <rFont val="华文细黑"/>
        <family val="3"/>
        <charset val="134"/>
      </rPr>
      <t>大兴区团结路</t>
    </r>
    <r>
      <rPr>
        <sz val="10"/>
        <color theme="1"/>
        <rFont val="Arial"/>
        <family val="2"/>
      </rPr>
      <t>21</t>
    </r>
    <r>
      <rPr>
        <sz val="10"/>
        <color theme="1"/>
        <rFont val="华文细黑"/>
        <family val="3"/>
        <charset val="134"/>
      </rPr>
      <t>号院</t>
    </r>
    <r>
      <rPr>
        <sz val="10"/>
        <color theme="1"/>
        <rFont val="Arial"/>
        <family val="2"/>
      </rPr>
      <t>20</t>
    </r>
    <r>
      <rPr>
        <sz val="10"/>
        <color theme="1"/>
        <rFont val="华文细黑"/>
        <family val="3"/>
        <charset val="134"/>
      </rPr>
      <t>幢</t>
    </r>
  </si>
  <si>
    <r>
      <rPr>
        <sz val="10"/>
        <color theme="1"/>
        <rFont val="华文细黑"/>
        <family val="3"/>
        <charset val="134"/>
      </rPr>
      <t>机械车位</t>
    </r>
  </si>
  <si>
    <r>
      <rPr>
        <sz val="10"/>
        <color theme="1"/>
        <rFont val="华文细黑"/>
        <family val="3"/>
        <charset val="134"/>
      </rPr>
      <t>车位</t>
    </r>
  </si>
  <si>
    <t>标准车位</t>
  </si>
  <si>
    <r>
      <rPr>
        <sz val="10"/>
        <color theme="1"/>
        <rFont val="Arial"/>
        <family val="2"/>
      </rPr>
      <t>-1</t>
    </r>
    <r>
      <rPr>
        <sz val="10"/>
        <color theme="1"/>
        <rFont val="宋体"/>
        <family val="3"/>
        <charset val="134"/>
      </rPr>
      <t>层</t>
    </r>
  </si>
  <si>
    <t>036</t>
  </si>
  <si>
    <t>042</t>
  </si>
  <si>
    <t>047</t>
  </si>
  <si>
    <t>049</t>
  </si>
  <si>
    <t>053</t>
  </si>
  <si>
    <t>054</t>
  </si>
  <si>
    <t>057</t>
  </si>
  <si>
    <t>059</t>
  </si>
  <si>
    <t>061</t>
  </si>
  <si>
    <t>062</t>
  </si>
  <si>
    <t>063</t>
  </si>
  <si>
    <t>064</t>
  </si>
  <si>
    <t>066</t>
  </si>
  <si>
    <t>067</t>
  </si>
  <si>
    <t>071</t>
  </si>
  <si>
    <t>073</t>
  </si>
  <si>
    <t>074</t>
  </si>
  <si>
    <t>075</t>
  </si>
  <si>
    <t>076</t>
  </si>
  <si>
    <t>106</t>
  </si>
  <si>
    <t>114</t>
  </si>
  <si>
    <t>117</t>
  </si>
  <si>
    <t>118</t>
  </si>
  <si>
    <t>119</t>
  </si>
  <si>
    <t>120</t>
  </si>
  <si>
    <t>123</t>
  </si>
  <si>
    <t>124</t>
  </si>
  <si>
    <t>126</t>
  </si>
  <si>
    <t>127</t>
  </si>
  <si>
    <t>129</t>
  </si>
  <si>
    <t>130</t>
  </si>
  <si>
    <t>132</t>
  </si>
  <si>
    <t>134</t>
  </si>
  <si>
    <t>135</t>
  </si>
  <si>
    <t>140</t>
  </si>
  <si>
    <t>141</t>
  </si>
  <si>
    <t>142</t>
  </si>
  <si>
    <t>144</t>
  </si>
  <si>
    <t>145</t>
  </si>
  <si>
    <t>146</t>
  </si>
  <si>
    <t>147</t>
  </si>
  <si>
    <t>148</t>
  </si>
  <si>
    <t>149</t>
  </si>
  <si>
    <t>150</t>
  </si>
  <si>
    <t>151</t>
  </si>
  <si>
    <t>152</t>
  </si>
  <si>
    <t>153</t>
  </si>
  <si>
    <t>154</t>
  </si>
  <si>
    <t>158</t>
  </si>
  <si>
    <t>164</t>
  </si>
  <si>
    <t>180</t>
  </si>
  <si>
    <t>183</t>
  </si>
  <si>
    <t>189</t>
  </si>
  <si>
    <t>192</t>
  </si>
  <si>
    <t>194</t>
  </si>
  <si>
    <t>195</t>
  </si>
  <si>
    <t>198</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</si>
  <si>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</si>
  <si>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</si>
  <si>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</si>
  <si>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</si>
  <si>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</si>
  <si>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</si>
  <si>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</si>
  <si>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</si>
  <si>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</si>
  <si>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</si>
  <si>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</si>
  <si>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</si>
  <si>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</si>
  <si>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</si>
  <si>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</si>
  <si>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</si>
  <si>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</si>
  <si>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</si>
  <si>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</si>
  <si>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</si>
  <si>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</si>
  <si>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</si>
  <si>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</si>
  <si>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</si>
  <si>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</si>
  <si>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</si>
  <si>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228</t>
  </si>
  <si>
    <t>234</t>
  </si>
  <si>
    <t>243</t>
  </si>
  <si>
    <t>244</t>
  </si>
  <si>
    <t>245</t>
  </si>
  <si>
    <t>247</t>
  </si>
  <si>
    <t>248</t>
  </si>
  <si>
    <t>249</t>
  </si>
  <si>
    <t>250</t>
  </si>
  <si>
    <t>252</t>
  </si>
  <si>
    <t>253</t>
  </si>
  <si>
    <t>254</t>
  </si>
  <si>
    <t>255</t>
  </si>
  <si>
    <t>256</t>
  </si>
  <si>
    <t>257</t>
  </si>
  <si>
    <t>258</t>
  </si>
  <si>
    <t>259</t>
  </si>
  <si>
    <t>262</t>
  </si>
  <si>
    <t>264</t>
  </si>
  <si>
    <t>265</t>
  </si>
  <si>
    <t>266</t>
  </si>
  <si>
    <t>267</t>
  </si>
  <si>
    <t>268</t>
  </si>
  <si>
    <t>269</t>
  </si>
  <si>
    <t>270</t>
  </si>
  <si>
    <t>271</t>
  </si>
  <si>
    <t>272</t>
  </si>
  <si>
    <t>274</t>
  </si>
  <si>
    <t>278</t>
  </si>
  <si>
    <t>281</t>
  </si>
  <si>
    <t>282</t>
  </si>
  <si>
    <t>283</t>
  </si>
  <si>
    <t>284</t>
  </si>
  <si>
    <t>285</t>
  </si>
  <si>
    <t>286</t>
  </si>
  <si>
    <t>287</t>
  </si>
  <si>
    <t>289</t>
  </si>
  <si>
    <t>290</t>
  </si>
  <si>
    <t>293</t>
  </si>
  <si>
    <t>294</t>
  </si>
  <si>
    <t>295</t>
  </si>
  <si>
    <t>299</t>
  </si>
  <si>
    <t>302</t>
  </si>
  <si>
    <t>304</t>
  </si>
  <si>
    <t>305</t>
  </si>
  <si>
    <t>306</t>
  </si>
  <si>
    <t>310</t>
  </si>
  <si>
    <t>312</t>
  </si>
  <si>
    <t>313</t>
  </si>
  <si>
    <t>314</t>
  </si>
  <si>
    <t>315</t>
  </si>
  <si>
    <t>316</t>
  </si>
  <si>
    <t>318</t>
  </si>
  <si>
    <t>322</t>
  </si>
  <si>
    <t>323</t>
  </si>
  <si>
    <t>324</t>
  </si>
  <si>
    <t>329</t>
  </si>
  <si>
    <t>331</t>
  </si>
  <si>
    <t>333</t>
  </si>
  <si>
    <t>334</t>
  </si>
  <si>
    <t>376</t>
  </si>
  <si>
    <t>393</t>
  </si>
  <si>
    <t>397</t>
  </si>
  <si>
    <t>398</t>
  </si>
  <si>
    <t>399</t>
  </si>
  <si>
    <t>401</t>
  </si>
  <si>
    <t>405</t>
  </si>
  <si>
    <t>409</t>
  </si>
  <si>
    <t>412</t>
  </si>
  <si>
    <t>413</t>
  </si>
  <si>
    <t>414</t>
  </si>
  <si>
    <t>415</t>
  </si>
  <si>
    <t>416</t>
  </si>
  <si>
    <t>418</t>
  </si>
  <si>
    <t>419</t>
  </si>
  <si>
    <t>421</t>
  </si>
  <si>
    <t>422</t>
  </si>
  <si>
    <t>423</t>
  </si>
  <si>
    <t>424</t>
  </si>
  <si>
    <t>425</t>
  </si>
  <si>
    <t>426</t>
  </si>
  <si>
    <t>427</t>
  </si>
  <si>
    <t>430</t>
  </si>
  <si>
    <t>431</t>
  </si>
  <si>
    <t>433</t>
  </si>
  <si>
    <t>441</t>
  </si>
  <si>
    <t>442</t>
  </si>
  <si>
    <t>444</t>
  </si>
  <si>
    <t>448</t>
  </si>
  <si>
    <t>451</t>
  </si>
  <si>
    <t>454</t>
  </si>
  <si>
    <t>462</t>
  </si>
  <si>
    <t>463</t>
  </si>
  <si>
    <t>464</t>
  </si>
  <si>
    <t>465</t>
  </si>
  <si>
    <t>466</t>
  </si>
  <si>
    <t>467</t>
  </si>
  <si>
    <t>468</t>
  </si>
  <si>
    <t>469</t>
  </si>
  <si>
    <t>470</t>
  </si>
  <si>
    <t>471</t>
  </si>
  <si>
    <t>473</t>
  </si>
  <si>
    <t>474</t>
  </si>
  <si>
    <t>475</t>
  </si>
  <si>
    <t>477</t>
  </si>
  <si>
    <t>480</t>
  </si>
  <si>
    <t>483</t>
  </si>
  <si>
    <t>489</t>
  </si>
  <si>
    <t>492</t>
  </si>
  <si>
    <t>493</t>
  </si>
  <si>
    <t>495</t>
  </si>
  <si>
    <t>498</t>
  </si>
  <si>
    <t>501</t>
  </si>
  <si>
    <t>502</t>
  </si>
  <si>
    <t>503</t>
  </si>
  <si>
    <t>504</t>
  </si>
  <si>
    <t>505</t>
  </si>
  <si>
    <t>506</t>
  </si>
  <si>
    <t>507</t>
  </si>
  <si>
    <t>508</t>
  </si>
  <si>
    <t>509</t>
  </si>
  <si>
    <t>510</t>
  </si>
  <si>
    <t>511</t>
  </si>
  <si>
    <t>512</t>
  </si>
  <si>
    <t>513</t>
  </si>
  <si>
    <t>微型车位</t>
  </si>
  <si>
    <r>
      <rPr>
        <sz val="10"/>
        <color theme="1"/>
        <rFont val="Arial"/>
        <family val="2"/>
      </rPr>
      <t>2#</t>
    </r>
    <r>
      <rPr>
        <sz val="10"/>
        <color theme="1"/>
        <rFont val="华文细黑"/>
        <family val="3"/>
        <charset val="134"/>
      </rPr>
      <t>地库</t>
    </r>
  </si>
  <si>
    <r>
      <rPr>
        <sz val="10"/>
        <color theme="1"/>
        <rFont val="华文细黑"/>
        <family val="3"/>
        <charset val="134"/>
      </rPr>
      <t>大兴区团结路</t>
    </r>
    <r>
      <rPr>
        <sz val="10"/>
        <color theme="1"/>
        <rFont val="Arial"/>
        <family val="2"/>
      </rPr>
      <t>19</t>
    </r>
    <r>
      <rPr>
        <sz val="10"/>
        <color theme="1"/>
        <rFont val="华文细黑"/>
        <family val="3"/>
        <charset val="134"/>
      </rPr>
      <t>号院</t>
    </r>
    <r>
      <rPr>
        <sz val="10"/>
        <color theme="1"/>
        <rFont val="Arial"/>
        <family val="2"/>
      </rPr>
      <t>30</t>
    </r>
    <r>
      <rPr>
        <sz val="10"/>
        <color theme="1"/>
        <rFont val="华文细黑"/>
        <family val="3"/>
        <charset val="134"/>
      </rPr>
      <t>幢</t>
    </r>
  </si>
  <si>
    <r>
      <rPr>
        <sz val="10"/>
        <color theme="1"/>
        <rFont val="Arial"/>
        <family val="2"/>
      </rPr>
      <t>-2</t>
    </r>
    <r>
      <rPr>
        <sz val="10"/>
        <color theme="1"/>
        <rFont val="宋体"/>
        <family val="3"/>
        <charset val="134"/>
      </rPr>
      <t>层</t>
    </r>
  </si>
  <si>
    <r>
      <rPr>
        <sz val="10"/>
        <color theme="1"/>
        <rFont val="Arial"/>
        <family val="2"/>
      </rPr>
      <t>3#</t>
    </r>
    <r>
      <rPr>
        <sz val="10"/>
        <color theme="1"/>
        <rFont val="华文细黑"/>
        <family val="3"/>
        <charset val="134"/>
      </rPr>
      <t>地库</t>
    </r>
  </si>
  <si>
    <t>004</t>
  </si>
  <si>
    <r>
      <rPr>
        <sz val="10"/>
        <color theme="1"/>
        <rFont val="华文细黑"/>
        <family val="3"/>
        <charset val="134"/>
      </rPr>
      <t>大兴区团结路</t>
    </r>
    <r>
      <rPr>
        <sz val="10"/>
        <color theme="1"/>
        <rFont val="Arial"/>
        <family val="2"/>
      </rPr>
      <t>19</t>
    </r>
    <r>
      <rPr>
        <sz val="10"/>
        <color theme="1"/>
        <rFont val="华文细黑"/>
        <family val="3"/>
        <charset val="134"/>
      </rPr>
      <t>号院</t>
    </r>
    <r>
      <rPr>
        <sz val="10"/>
        <color theme="1"/>
        <rFont val="Arial"/>
        <family val="2"/>
      </rPr>
      <t>40</t>
    </r>
    <r>
      <rPr>
        <sz val="10"/>
        <color theme="1"/>
        <rFont val="华文细黑"/>
        <family val="3"/>
        <charset val="134"/>
      </rPr>
      <t>幢</t>
    </r>
  </si>
  <si>
    <t>005</t>
  </si>
  <si>
    <t>006</t>
  </si>
  <si>
    <t>007</t>
  </si>
  <si>
    <t>008</t>
  </si>
  <si>
    <t>009</t>
  </si>
  <si>
    <t>010</t>
  </si>
  <si>
    <t>011</t>
  </si>
  <si>
    <t>012</t>
  </si>
  <si>
    <t>013</t>
  </si>
  <si>
    <t>014</t>
  </si>
  <si>
    <t>015</t>
  </si>
  <si>
    <t>016</t>
  </si>
  <si>
    <t>017</t>
  </si>
  <si>
    <t>018</t>
  </si>
  <si>
    <t>019</t>
  </si>
  <si>
    <t>020</t>
  </si>
  <si>
    <t>021</t>
  </si>
  <si>
    <t>022</t>
  </si>
  <si>
    <t>023</t>
  </si>
  <si>
    <t>025</t>
  </si>
  <si>
    <t>026</t>
  </si>
  <si>
    <t>027</t>
  </si>
  <si>
    <t>028</t>
  </si>
  <si>
    <t>029</t>
  </si>
  <si>
    <t>030</t>
  </si>
  <si>
    <t>031</t>
  </si>
  <si>
    <t>032</t>
  </si>
  <si>
    <t>033</t>
  </si>
  <si>
    <t>034</t>
  </si>
  <si>
    <t>035</t>
  </si>
  <si>
    <t>037</t>
  </si>
  <si>
    <t>038</t>
  </si>
  <si>
    <t>子母车位</t>
  </si>
  <si>
    <t>039</t>
  </si>
  <si>
    <t>040</t>
  </si>
  <si>
    <t>041</t>
  </si>
  <si>
    <t>043</t>
  </si>
  <si>
    <t>044</t>
  </si>
  <si>
    <t>045</t>
  </si>
  <si>
    <t>046</t>
  </si>
  <si>
    <t>048</t>
  </si>
  <si>
    <t>050</t>
  </si>
  <si>
    <t>051</t>
  </si>
  <si>
    <t>052</t>
  </si>
  <si>
    <t>055</t>
  </si>
  <si>
    <t>056</t>
  </si>
  <si>
    <t>058</t>
  </si>
  <si>
    <t>060</t>
  </si>
  <si>
    <t>065</t>
  </si>
  <si>
    <t>068</t>
  </si>
  <si>
    <t>069</t>
  </si>
  <si>
    <t>070</t>
  </si>
  <si>
    <t>072</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</si>
  <si>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</si>
  <si>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</si>
  <si>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</si>
  <si>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</si>
  <si>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</si>
  <si>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</si>
  <si>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</si>
  <si>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</si>
  <si>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</si>
  <si>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</si>
  <si>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</si>
  <si>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</si>
  <si>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</si>
  <si>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</si>
  <si>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</si>
  <si>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</si>
  <si>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</si>
  <si>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</si>
  <si>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</si>
  <si>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</si>
  <si>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</si>
  <si>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</si>
  <si>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</si>
  <si>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</si>
  <si>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</si>
  <si>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</si>
  <si>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</si>
  <si>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</si>
  <si>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</si>
  <si>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107</t>
  </si>
  <si>
    <t>108</t>
  </si>
  <si>
    <t>109</t>
  </si>
  <si>
    <t>110</t>
  </si>
  <si>
    <t>111</t>
  </si>
  <si>
    <t>112</t>
  </si>
  <si>
    <t>113</t>
  </si>
  <si>
    <t>115</t>
  </si>
  <si>
    <t>116</t>
  </si>
  <si>
    <t>121</t>
  </si>
  <si>
    <t>122</t>
  </si>
  <si>
    <t>125</t>
  </si>
  <si>
    <t>128</t>
  </si>
  <si>
    <t>131</t>
  </si>
  <si>
    <t>133</t>
  </si>
  <si>
    <t>136</t>
  </si>
  <si>
    <t>137</t>
  </si>
  <si>
    <t>138</t>
  </si>
  <si>
    <t>139</t>
  </si>
  <si>
    <t>143</t>
  </si>
  <si>
    <t>155</t>
  </si>
  <si>
    <t>156</t>
  </si>
  <si>
    <t>157</t>
  </si>
  <si>
    <t>159</t>
  </si>
  <si>
    <t>160</t>
  </si>
  <si>
    <t>161</t>
  </si>
  <si>
    <t>162</t>
  </si>
  <si>
    <t>163</t>
  </si>
  <si>
    <t>165</t>
  </si>
  <si>
    <t>166</t>
  </si>
  <si>
    <t>167</t>
  </si>
  <si>
    <t>168</t>
  </si>
  <si>
    <t>169</t>
  </si>
  <si>
    <t>170</t>
  </si>
  <si>
    <t>171</t>
  </si>
  <si>
    <t>172</t>
  </si>
  <si>
    <t>173</t>
  </si>
  <si>
    <t>174</t>
  </si>
  <si>
    <r>
      <rPr>
        <b/>
        <sz val="10"/>
        <color theme="1"/>
        <rFont val="华文细黑"/>
        <family val="3"/>
        <charset val="134"/>
      </rPr>
      <t>合计：</t>
    </r>
    <r>
      <rPr>
        <b/>
        <sz val="10"/>
        <color theme="1"/>
        <rFont val="Arial"/>
        <family val="2"/>
      </rPr>
      <t>614</t>
    </r>
    <r>
      <rPr>
        <b/>
        <sz val="10"/>
        <color theme="1"/>
        <rFont val="华文细黑"/>
        <family val="3"/>
        <charset val="134"/>
      </rPr>
      <t>个</t>
    </r>
  </si>
  <si>
    <t>-</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</si>
  <si>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</si>
  <si>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</si>
  <si>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</si>
  <si>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</si>
  <si>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</si>
  <si>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</si>
  <si>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</si>
  <si>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</si>
  <si>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</si>
  <si>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</si>
  <si>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</si>
  <si>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</si>
  <si>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</si>
  <si>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</si>
  <si>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</si>
  <si>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</si>
  <si>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</si>
  <si>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</si>
  <si>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</si>
  <si>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</si>
  <si>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</si>
  <si>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</si>
  <si>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</si>
  <si>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</si>
  <si>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</si>
  <si>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</si>
  <si>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</si>
  <si>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</si>
  <si>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</si>
  <si>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</si>
  <si>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</si>
  <si>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</si>
  <si>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</si>
  <si>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</si>
  <si>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</si>
  <si>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比较法-车位</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</si>
  <si>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</si>
  <si>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</si>
  <si>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</si>
  <si>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</si>
  <si>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</si>
  <si>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</si>
  <si>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</si>
  <si>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</si>
  <si>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</si>
  <si>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</si>
  <si>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</si>
  <si>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</si>
  <si>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</si>
  <si>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</si>
  <si>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</si>
  <si>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</si>
  <si>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</si>
  <si>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</si>
  <si>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</si>
  <si>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</si>
  <si>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</si>
  <si>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</si>
  <si>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</si>
  <si>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</si>
  <si>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</si>
  <si>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</si>
  <si>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</si>
  <si>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</si>
  <si>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</si>
  <si>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</si>
  <si>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</si>
  <si>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</si>
  <si>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</si>
  <si>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</si>
  <si>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</si>
  <si>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</si>
  <si>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</si>
  <si>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</si>
  <si>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</si>
  <si>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</si>
  <si>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</si>
  <si>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</si>
  <si>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</si>
  <si>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</si>
  <si>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</si>
  <si>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</si>
  <si>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</si>
  <si>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</si>
  <si>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</si>
  <si>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</si>
  <si>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</si>
  <si>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</si>
  <si>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</si>
  <si>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</si>
  <si>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</si>
  <si>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</si>
  <si>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</si>
  <si>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</si>
  <si>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</si>
  <si>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</si>
  <si>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</si>
  <si>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</si>
  <si>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</si>
  <si>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</si>
  <si>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</si>
  <si>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</si>
  <si>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</si>
  <si>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</si>
  <si>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</si>
  <si>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</si>
  <si>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</si>
  <si>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</si>
  <si>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</si>
  <si>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</si>
  <si>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</si>
  <si>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</si>
  <si>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</si>
  <si>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</si>
  <si>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</si>
  <si>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</si>
  <si>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</si>
  <si>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</si>
  <si>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</si>
  <si>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</si>
  <si>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</si>
  <si>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</si>
  <si>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</si>
  <si>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</si>
  <si>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</si>
  <si>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</si>
  <si>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</si>
  <si>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</si>
  <si>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</si>
  <si>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</si>
  <si>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</si>
  <si>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</si>
  <si>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</si>
  <si>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</si>
  <si>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</si>
  <si>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</si>
  <si>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</si>
  <si>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</si>
  <si>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</si>
  <si>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</si>
  <si>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</si>
  <si>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</si>
  <si>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</si>
  <si>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</si>
  <si>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</si>
  <si>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</si>
  <si>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</si>
  <si>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</si>
  <si>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</si>
  <si>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</si>
  <si>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</si>
  <si>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</si>
  <si>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</si>
  <si>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</si>
  <si>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</si>
  <si>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</si>
  <si>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</si>
  <si>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</si>
  <si>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</si>
  <si>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</si>
  <si>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</si>
  <si>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</si>
  <si>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</si>
  <si>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</si>
  <si>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</si>
  <si>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</si>
  <si>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</si>
  <si>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</si>
  <si>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</si>
  <si>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</si>
  <si>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</si>
  <si>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</si>
  <si>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</si>
  <si>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</si>
  <si>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</si>
  <si>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</si>
  <si>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</si>
  <si>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</si>
  <si>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</si>
  <si>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</si>
  <si>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</si>
  <si>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</si>
  <si>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</si>
  <si>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</si>
  <si>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</si>
  <si>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</si>
  <si>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</si>
  <si>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</si>
  <si>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</si>
  <si>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</si>
  <si>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</si>
  <si>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</si>
  <si>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</si>
  <si>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</si>
  <si>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</si>
  <si>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</si>
  <si>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</si>
  <si>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</si>
  <si>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</si>
  <si>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</si>
  <si>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</si>
  <si>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</si>
  <si>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</si>
  <si>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</si>
  <si>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</si>
  <si>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</si>
  <si>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</si>
  <si>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</si>
  <si>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</si>
  <si>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</si>
  <si>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</si>
  <si>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</si>
  <si>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</si>
  <si>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</si>
  <si>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</si>
  <si>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</si>
  <si>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</si>
  <si>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</si>
  <si>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</si>
  <si>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</si>
  <si>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</si>
  <si>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</si>
  <si>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</si>
  <si>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</si>
  <si>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</si>
  <si>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</si>
  <si>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</si>
  <si>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</si>
  <si>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</si>
  <si>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</si>
  <si>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</si>
  <si>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</si>
  <si>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</si>
  <si>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</si>
  <si>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</si>
  <si>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</si>
  <si>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</si>
  <si>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</si>
  <si>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</si>
  <si>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</si>
  <si>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</si>
  <si>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</si>
  <si>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</si>
  <si>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比较法</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</si>
  <si>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</si>
  <si>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</si>
  <si>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</si>
  <si>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</si>
  <si>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</si>
  <si>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</si>
  <si>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</si>
  <si>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</si>
  <si>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</si>
  <si>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</si>
  <si>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</si>
  <si>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</si>
  <si>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</si>
  <si>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</si>
  <si>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</si>
  <si>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</si>
  <si>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</si>
  <si>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中海云筑</t>
  </si>
  <si>
    <t>和悦春风</t>
  </si>
  <si>
    <t>兴创荣墅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</si>
  <si>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</si>
  <si>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</si>
  <si>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</si>
  <si>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</si>
  <si>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</si>
  <si>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</si>
  <si>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</si>
  <si>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</si>
  <si>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</si>
  <si>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</si>
  <si>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</si>
  <si>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</si>
  <si>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</si>
  <si>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35-40</t>
    </r>
    <r>
      <rPr>
        <sz val="11"/>
        <color rgb="FF000000"/>
        <rFont val="宋体"/>
        <family val="3"/>
        <charset val="134"/>
      </rPr>
      <t>（含）</t>
    </r>
  </si>
  <si>
    <r>
      <rPr>
        <sz val="11"/>
        <color rgb="FF000000"/>
        <rFont val="Arial"/>
        <family val="2"/>
      </rPr>
      <t>40-45</t>
    </r>
    <r>
      <rPr>
        <sz val="11"/>
        <color rgb="FF000000"/>
        <rFont val="宋体"/>
        <family val="3"/>
        <charset val="134"/>
      </rPr>
      <t>（含）</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</si>
  <si>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</si>
  <si>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</si>
  <si>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</si>
  <si>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</si>
  <si>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</si>
  <si>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</si>
  <si>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</si>
  <si>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</si>
  <si>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</si>
  <si>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t>-1层</t>
  </si>
  <si>
    <t>-2层</t>
  </si>
  <si>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</si>
  <si>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</si>
  <si>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</si>
  <si>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</si>
  <si>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t>1:1.2</t>
  </si>
  <si>
    <t>1:1.3</t>
  </si>
  <si>
    <r>
      <t>1</t>
    </r>
    <r>
      <rPr>
        <sz val="11"/>
        <color rgb="FF000000"/>
        <rFont val="宋体"/>
        <family val="3"/>
        <charset val="134"/>
      </rPr>
      <t>：</t>
    </r>
    <r>
      <rPr>
        <sz val="11"/>
        <color rgb="FF000000"/>
        <rFont val="Arial"/>
        <family val="2"/>
      </rPr>
      <t>1.89</t>
    </r>
  </si>
  <si>
    <r>
      <rPr>
        <sz val="11"/>
        <color indexed="8"/>
        <rFont val="宋体"/>
        <family val="3"/>
        <charset val="134"/>
      </rPr>
      <t>公共部分装修</t>
    </r>
  </si>
  <si>
    <t>精装修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</si>
  <si>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</si>
  <si>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</si>
  <si>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</si>
  <si>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</si>
  <si>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</si>
  <si>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</si>
  <si>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</si>
  <si>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</si>
  <si>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</si>
  <si>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</si>
  <si>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</si>
  <si>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</si>
  <si>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</si>
  <si>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</si>
  <si>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</si>
  <si>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</si>
  <si>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</si>
  <si>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</si>
  <si>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</si>
  <si>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</si>
  <si>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</si>
  <si>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</si>
  <si>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</si>
  <si>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</si>
  <si>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</si>
  <si>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</si>
  <si>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</si>
  <si>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</si>
  <si>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</si>
  <si>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</si>
  <si>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-1</t>
    </r>
    <r>
      <rPr>
        <sz val="11"/>
        <color rgb="FF000000"/>
        <rFont val="宋体"/>
        <family val="3"/>
        <charset val="134"/>
      </rPr>
      <t>层</t>
    </r>
  </si>
  <si>
    <r>
      <rPr>
        <sz val="11"/>
        <color rgb="FF000000"/>
        <rFont val="Arial"/>
        <family val="2"/>
      </rPr>
      <t>-2</t>
    </r>
    <r>
      <rPr>
        <sz val="11"/>
        <color rgb="FF000000"/>
        <rFont val="宋体"/>
        <family val="3"/>
        <charset val="134"/>
      </rPr>
      <t>层</t>
    </r>
  </si>
  <si>
    <r>
      <rPr>
        <sz val="11"/>
        <color indexed="8"/>
        <rFont val="宋体"/>
        <family val="3"/>
        <charset val="134"/>
      </rPr>
      <t>配套类型（地上主用途）</t>
    </r>
  </si>
  <si>
    <r>
      <t>1</t>
    </r>
    <r>
      <rPr>
        <sz val="11"/>
        <rFont val="宋体"/>
        <family val="3"/>
        <charset val="134"/>
      </rPr>
      <t>：</t>
    </r>
    <r>
      <rPr>
        <sz val="11"/>
        <rFont val="Arial"/>
        <family val="2"/>
      </rPr>
      <t>1.89</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</si>
  <si>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</si>
  <si>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</si>
  <si>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</si>
  <si>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</si>
  <si>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</si>
  <si>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</si>
  <si>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</si>
  <si>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</si>
  <si>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</si>
  <si>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</si>
  <si>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</si>
  <si>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</si>
  <si>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</si>
  <si>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</si>
  <si>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</si>
  <si>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</si>
  <si>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</si>
  <si>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</si>
  <si>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</si>
  <si>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</si>
  <si>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</si>
  <si>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</si>
  <si>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</si>
  <si>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</si>
  <si>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</si>
  <si>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</si>
  <si>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</si>
  <si>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</si>
  <si>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</si>
  <si>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</si>
  <si>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</si>
  <si>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</si>
  <si>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</si>
  <si>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</si>
  <si>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</si>
  <si>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</si>
  <si>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</si>
  <si>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</si>
  <si>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</si>
  <si>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</si>
  <si>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</si>
  <si>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</si>
  <si>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</si>
  <si>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</si>
  <si>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</si>
  <si>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</si>
  <si>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</si>
  <si>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</si>
  <si>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</si>
  <si>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</si>
  <si>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</si>
  <si>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</si>
  <si>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</si>
  <si>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</si>
  <si>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</si>
  <si>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</si>
  <si>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</si>
  <si>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</si>
  <si>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</si>
  <si>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</si>
  <si>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</si>
  <si>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</si>
  <si>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</si>
  <si>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</si>
  <si>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</si>
  <si>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</si>
  <si>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</si>
  <si>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</si>
  <si>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</si>
  <si>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</si>
  <si>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</si>
  <si>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</si>
  <si>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</si>
  <si>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</si>
  <si>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</si>
  <si>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</si>
  <si>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</si>
  <si>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</si>
  <si>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</si>
  <si>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</si>
  <si>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</si>
  <si>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</si>
  <si>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</si>
  <si>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</si>
  <si>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</si>
  <si>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</si>
  <si>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</si>
  <si>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</si>
  <si>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</si>
  <si>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</si>
  <si>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</si>
  <si>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</si>
  <si>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</si>
  <si>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</si>
  <si>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</si>
  <si>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</si>
  <si>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</si>
  <si>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</si>
  <si>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</si>
  <si>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</si>
  <si>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</si>
  <si>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</si>
  <si>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</si>
  <si>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</si>
  <si>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</si>
  <si>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</si>
  <si>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</si>
  <si>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</si>
  <si>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</si>
  <si>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</si>
  <si>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</si>
  <si>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</si>
  <si>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</si>
  <si>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</si>
  <si>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</si>
  <si>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</si>
  <si>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</si>
  <si>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</si>
  <si>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</si>
  <si>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</si>
  <si>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</si>
  <si>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</si>
  <si>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</si>
  <si>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</si>
  <si>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</si>
  <si>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</si>
  <si>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</si>
  <si>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</si>
  <si>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</si>
  <si>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</si>
  <si>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</si>
  <si>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</si>
  <si>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</si>
  <si>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</si>
  <si>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</si>
  <si>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</si>
  <si>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</si>
  <si>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</si>
  <si>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</si>
  <si>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</si>
  <si>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</si>
  <si>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</si>
  <si>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</si>
  <si>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</si>
  <si>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</si>
  <si>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</si>
  <si>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</si>
  <si>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</si>
  <si>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</si>
  <si>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</si>
  <si>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</si>
  <si>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</si>
  <si>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</si>
  <si>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</si>
  <si>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</si>
  <si>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</si>
  <si>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</si>
  <si>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</si>
  <si>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</si>
  <si>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</si>
  <si>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</si>
  <si>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</si>
  <si>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</si>
  <si>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</si>
  <si>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</si>
  <si>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</si>
  <si>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</si>
  <si>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</si>
  <si>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</si>
  <si>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</si>
  <si>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</si>
  <si>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</si>
  <si>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</si>
  <si>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</si>
  <si>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</si>
  <si>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</si>
  <si>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</si>
  <si>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</si>
  <si>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</si>
  <si>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</si>
  <si>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</si>
  <si>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</si>
  <si>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</si>
  <si>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</si>
  <si>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</si>
  <si>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</si>
  <si>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</si>
  <si>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</si>
  <si>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</si>
  <si>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</si>
  <si>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</si>
  <si>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</si>
  <si>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</si>
  <si>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</si>
  <si>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</si>
  <si>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</si>
  <si>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</si>
  <si>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</si>
  <si>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</si>
  <si>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</si>
  <si>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</si>
  <si>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</si>
  <si>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</si>
  <si>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</si>
  <si>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</si>
  <si>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</si>
  <si>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</si>
  <si>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</si>
  <si>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</si>
  <si>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</si>
  <si>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</si>
  <si>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</si>
  <si>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</si>
  <si>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</si>
  <si>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</si>
  <si>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</si>
  <si>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</si>
  <si>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</si>
  <si>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</si>
  <si>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</si>
  <si>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</si>
  <si>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</si>
  <si>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</si>
  <si>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</si>
  <si>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</si>
  <si>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</si>
  <si>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</si>
  <si>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</si>
  <si>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</si>
  <si>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</si>
  <si>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</si>
  <si>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</si>
  <si>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</si>
  <si>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</si>
  <si>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</si>
  <si>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</si>
  <si>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</si>
  <si>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</si>
  <si>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</si>
  <si>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</si>
  <si>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</si>
  <si>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</si>
  <si>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</si>
  <si>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</si>
  <si>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</si>
  <si>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</si>
  <si>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</si>
  <si>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</si>
  <si>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</si>
  <si>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</si>
  <si>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</si>
  <si>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</si>
  <si>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</si>
  <si>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</si>
  <si>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</si>
  <si>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</si>
  <si>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</si>
  <si>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</si>
  <si>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</si>
  <si>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</si>
  <si>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</si>
  <si>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</si>
  <si>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</si>
  <si>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</si>
  <si>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</si>
  <si>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</si>
  <si>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</si>
  <si>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</si>
  <si>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</si>
  <si>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</si>
  <si>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</si>
  <si>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</si>
  <si>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</si>
  <si>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</si>
  <si>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</si>
  <si>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</si>
  <si>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</si>
  <si>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</si>
  <si>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</si>
  <si>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</si>
  <si>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</si>
  <si>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</si>
  <si>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</si>
  <si>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</si>
  <si>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</si>
  <si>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</si>
  <si>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</si>
  <si>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</si>
  <si>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</si>
  <si>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</si>
  <si>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</si>
  <si>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</si>
  <si>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</si>
  <si>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</si>
  <si>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</si>
  <si>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</si>
  <si>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</si>
  <si>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</si>
  <si>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</si>
  <si>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</si>
  <si>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</si>
  <si>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</si>
  <si>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</si>
  <si>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</si>
  <si>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</si>
  <si>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</si>
  <si>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</si>
  <si>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</si>
  <si>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</si>
  <si>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</si>
  <si>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</si>
  <si>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</si>
  <si>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</si>
  <si>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</si>
  <si>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</si>
  <si>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</si>
  <si>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</si>
  <si>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</si>
  <si>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</si>
  <si>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</si>
  <si>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</si>
  <si>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</si>
  <si>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</si>
  <si>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</si>
  <si>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</si>
  <si>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</si>
  <si>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</si>
  <si>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</si>
  <si>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</si>
  <si>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</si>
  <si>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</si>
  <si>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</si>
  <si>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</si>
  <si>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</si>
  <si>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</si>
  <si>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</si>
  <si>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</si>
  <si>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</si>
  <si>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</si>
  <si>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</si>
  <si>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</si>
  <si>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</si>
  <si>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</si>
  <si>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</si>
  <si>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</si>
  <si>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</si>
  <si>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</si>
  <si>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</si>
  <si>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</si>
  <si>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</si>
  <si>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</si>
  <si>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</si>
  <si>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</si>
  <si>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</si>
  <si>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</si>
  <si>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</si>
  <si>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</si>
  <si>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</si>
  <si>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</si>
  <si>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</si>
  <si>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</si>
  <si>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</si>
  <si>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</si>
  <si>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</si>
  <si>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</si>
  <si>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</si>
  <si>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</si>
  <si>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</si>
  <si>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</si>
  <si>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</si>
  <si>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</si>
  <si>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</si>
  <si>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</si>
  <si>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</si>
  <si>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</si>
  <si>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</si>
  <si>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</si>
  <si>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</si>
  <si>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</si>
  <si>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</si>
  <si>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</si>
  <si>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</si>
  <si>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</si>
  <si>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</si>
  <si>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</si>
  <si>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</si>
  <si>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</si>
  <si>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</si>
  <si>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</si>
  <si>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</si>
  <si>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</si>
  <si>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</si>
  <si>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</si>
  <si>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</si>
  <si>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</si>
  <si>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</si>
  <si>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</si>
  <si>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</si>
  <si>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</si>
  <si>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</si>
  <si>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</si>
  <si>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</si>
  <si>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</si>
  <si>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</si>
  <si>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</si>
  <si>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</si>
  <si>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</si>
  <si>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</si>
  <si>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</si>
  <si>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</si>
  <si>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</si>
  <si>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</si>
  <si>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</si>
  <si>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</si>
  <si>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</si>
  <si>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</si>
  <si>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</si>
  <si>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</si>
  <si>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</si>
  <si>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</si>
  <si>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</si>
  <si>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</si>
  <si>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</si>
  <si>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</si>
  <si>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</si>
  <si>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</si>
  <si>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</si>
  <si>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</si>
  <si>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</si>
  <si>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</si>
  <si>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</si>
  <si>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</si>
  <si>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</si>
  <si>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</si>
  <si>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</si>
  <si>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</si>
  <si>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</si>
  <si>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</si>
  <si>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</si>
  <si>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</si>
  <si>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</si>
  <si>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</si>
  <si>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</si>
  <si>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</si>
  <si>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</si>
  <si>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</si>
  <si>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</si>
  <si>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</si>
  <si>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</si>
  <si>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</si>
  <si>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</si>
  <si>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</si>
  <si>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</si>
  <si>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</si>
  <si>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</si>
  <si>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</si>
  <si>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</si>
  <si>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</si>
  <si>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</si>
  <si>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</si>
  <si>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</si>
  <si>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</si>
  <si>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</si>
  <si>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</si>
  <si>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</si>
  <si>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</si>
  <si>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</si>
  <si>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</si>
  <si>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</si>
  <si>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</si>
  <si>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</si>
  <si>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</si>
  <si>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</si>
  <si>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</si>
  <si>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</si>
  <si>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</si>
  <si>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</si>
  <si>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</si>
  <si>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</si>
  <si>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</si>
  <si>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</si>
  <si>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</si>
  <si>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</si>
  <si>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</si>
  <si>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</si>
  <si>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</si>
  <si>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</si>
  <si>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</si>
  <si>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</si>
  <si>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</si>
  <si>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</si>
  <si>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</si>
  <si>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</si>
  <si>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</si>
  <si>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</si>
  <si>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</si>
  <si>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</si>
  <si>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</si>
  <si>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</si>
  <si>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</si>
  <si>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</si>
  <si>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</si>
  <si>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</si>
  <si>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</si>
  <si>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</si>
  <si>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</si>
  <si>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</si>
  <si>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</si>
  <si>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</si>
  <si>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</si>
  <si>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</si>
  <si>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</si>
  <si>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</si>
  <si>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</si>
  <si>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</si>
  <si>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</si>
  <si>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</si>
  <si>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</si>
  <si>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</si>
  <si>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</si>
  <si>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</si>
  <si>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</si>
  <si>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</si>
  <si>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</si>
  <si>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</si>
  <si>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</si>
  <si>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</si>
  <si>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</si>
  <si>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</si>
  <si>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</si>
  <si>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</si>
  <si>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</si>
  <si>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</si>
  <si>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</si>
  <si>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</si>
  <si>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</si>
  <si>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</si>
  <si>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</si>
  <si>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</si>
  <si>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</si>
  <si>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</si>
  <si>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</si>
  <si>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</si>
  <si>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</si>
  <si>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</si>
  <si>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</si>
  <si>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</si>
  <si>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</si>
  <si>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</si>
  <si>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</si>
  <si>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</si>
  <si>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</si>
  <si>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</si>
  <si>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</si>
  <si>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</si>
  <si>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</si>
  <si>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</si>
  <si>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</si>
  <si>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</si>
  <si>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</si>
  <si>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</si>
  <si>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</si>
  <si>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</si>
  <si>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</si>
  <si>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</si>
  <si>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</si>
  <si>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</si>
  <si>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</si>
  <si>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</si>
  <si>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</si>
  <si>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</si>
  <si>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</si>
  <si>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</si>
  <si>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</si>
  <si>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</si>
  <si>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</si>
  <si>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</si>
  <si>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</si>
  <si>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</si>
  <si>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</si>
  <si>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</si>
  <si>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</si>
  <si>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</si>
  <si>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</si>
  <si>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</si>
  <si>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</si>
  <si>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</si>
  <si>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</si>
  <si>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</si>
  <si>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</si>
  <si>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</si>
  <si>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</si>
  <si>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</si>
  <si>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</si>
  <si>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</si>
  <si>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</si>
  <si>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</si>
  <si>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</si>
  <si>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</si>
  <si>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</si>
  <si>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</si>
  <si>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</si>
  <si>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</si>
  <si>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</si>
  <si>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</si>
  <si>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</si>
  <si>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</si>
  <si>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</si>
  <si>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</si>
  <si>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</si>
  <si>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</si>
  <si>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</si>
  <si>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</si>
  <si>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</si>
  <si>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</si>
  <si>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</si>
  <si>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</si>
  <si>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</si>
  <si>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</si>
  <si>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</si>
  <si>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</si>
  <si>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</si>
  <si>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</si>
  <si>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</si>
  <si>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</si>
  <si>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</si>
  <si>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</si>
  <si>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</si>
  <si>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</si>
  <si>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</si>
  <si>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</si>
  <si>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</si>
  <si>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</si>
  <si>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</si>
  <si>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</si>
  <si>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</si>
  <si>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</si>
  <si>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</si>
  <si>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</si>
  <si>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</si>
  <si>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</si>
  <si>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</si>
  <si>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</si>
  <si>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</si>
  <si>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</si>
  <si>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</si>
  <si>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</si>
  <si>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</si>
  <si>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</si>
  <si>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</si>
  <si>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</si>
  <si>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</si>
  <si>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</si>
  <si>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</si>
  <si>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</si>
  <si>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</si>
  <si>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</si>
  <si>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</si>
  <si>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</si>
  <si>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</si>
  <si>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</si>
  <si>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</si>
  <si>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</si>
  <si>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</si>
  <si>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</si>
  <si>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</si>
  <si>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</si>
  <si>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</si>
  <si>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</si>
  <si>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</si>
  <si>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</si>
  <si>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</si>
  <si>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</si>
  <si>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</si>
  <si>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</si>
  <si>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</si>
  <si>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</si>
  <si>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</si>
  <si>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</si>
  <si>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</si>
  <si>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</si>
  <si>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</si>
  <si>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</si>
  <si>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</si>
  <si>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</si>
  <si>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</si>
  <si>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</si>
  <si>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</si>
  <si>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</si>
  <si>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</si>
  <si>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</si>
  <si>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</si>
  <si>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</si>
  <si>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</si>
  <si>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</si>
  <si>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</si>
  <si>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</si>
  <si>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</si>
  <si>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</si>
  <si>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</si>
  <si>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</si>
  <si>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</si>
  <si>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</si>
  <si>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</si>
  <si>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</si>
  <si>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</si>
  <si>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</si>
  <si>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</si>
  <si>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</si>
  <si>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</si>
  <si>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</si>
  <si>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</si>
  <si>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</si>
  <si>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</si>
  <si>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</si>
  <si>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</si>
  <si>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</si>
  <si>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</si>
  <si>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</si>
  <si>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</si>
  <si>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</si>
  <si>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</si>
  <si>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</si>
  <si>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</si>
  <si>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</si>
  <si>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</si>
  <si>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</si>
  <si>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</si>
  <si>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</si>
  <si>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</si>
  <si>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</si>
  <si>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</si>
  <si>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</si>
  <si>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</si>
  <si>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</si>
  <si>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</si>
  <si>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</si>
  <si>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</si>
  <si>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</si>
  <si>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</si>
  <si>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</si>
  <si>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</si>
  <si>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</si>
  <si>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</si>
  <si>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</si>
  <si>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</si>
  <si>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</si>
  <si>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</si>
  <si>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</si>
  <si>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</si>
  <si>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</si>
  <si>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</si>
  <si>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</si>
  <si>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</si>
  <si>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</si>
  <si>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</si>
  <si>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</si>
  <si>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</si>
  <si>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</si>
  <si>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</si>
  <si>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</si>
  <si>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</si>
  <si>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</si>
  <si>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</si>
  <si>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</si>
  <si>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</si>
  <si>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</si>
  <si>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</si>
  <si>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</si>
  <si>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</si>
  <si>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</si>
  <si>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</si>
  <si>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</si>
  <si>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</si>
  <si>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</si>
  <si>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</si>
  <si>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</si>
  <si>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</si>
  <si>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</si>
  <si>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</si>
  <si>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</si>
  <si>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</si>
  <si>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</si>
  <si>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</si>
  <si>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</si>
  <si>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</si>
  <si>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</si>
  <si>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</si>
  <si>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</si>
  <si>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</si>
  <si>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</si>
  <si>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</si>
  <si>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</si>
  <si>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</si>
  <si>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</si>
  <si>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</si>
  <si>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</si>
  <si>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</si>
  <si>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</si>
  <si>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</si>
  <si>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</si>
  <si>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t>修正项2</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</si>
  <si>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</si>
  <si>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</si>
  <si>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</si>
  <si>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车位类型</t>
  </si>
  <si>
    <t>机械车位</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</si>
  <si>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</si>
  <si>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</si>
  <si>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</si>
  <si>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Arial"/>
        <family val="2"/>
      </rPr>
      <t>-1</t>
    </r>
    <r>
      <rPr>
        <sz val="10"/>
        <color rgb="FF000000"/>
        <rFont val="宋体"/>
        <family val="3"/>
        <charset val="134"/>
      </rPr>
      <t>层</t>
    </r>
  </si>
  <si>
    <r>
      <rPr>
        <sz val="10"/>
        <color rgb="FF000000"/>
        <rFont val="Arial"/>
        <family val="2"/>
      </rPr>
      <t>-2</t>
    </r>
    <r>
      <rPr>
        <sz val="10"/>
        <color rgb="FF000000"/>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</si>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</sst>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_);[Red]\(#,##0.00\)"/>
    <numFmt numFmtId="199"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sz val="10"/>
      <color rgb="FF000000"/>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b/>
      <sz val="10"/>
      <color theme="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sz val="8"/>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vertAlign val="subscript"/>
      <sz val="10"/>
      <color indexed="8"/>
      <name val="宋体"/>
      <family val="3"/>
      <charset val="134"/>
    </font>
    <font>
      <b/>
      <sz val="10"/>
      <color indexed="10"/>
      <name val="宋体"/>
      <family val="3"/>
      <charset val="134"/>
    </font>
    <font>
      <i/>
      <sz val="10"/>
      <color indexed="8"/>
      <name val="宋体"/>
      <family val="3"/>
      <charset val="134"/>
    </font>
    <font>
      <b/>
      <sz val="11"/>
      <color indexed="8"/>
      <name val="宋体"/>
      <family val="3"/>
      <charset val="134"/>
    </font>
    <font>
      <sz val="11"/>
      <color theme="1"/>
      <name val="宋体"/>
      <family val="3"/>
      <charset val="134"/>
    </font>
    <font>
      <sz val="11"/>
      <name val="宋体"/>
      <family val="3"/>
      <charset val="134"/>
    </font>
    <font>
      <b/>
      <sz val="10"/>
      <color indexed="8"/>
      <name val="宋体"/>
      <family val="3"/>
      <charset val="134"/>
    </font>
    <font>
      <sz val="12"/>
      <color theme="1"/>
      <name val="宋体"/>
      <family val="3"/>
      <charset val="134"/>
    </font>
    <font>
      <b/>
      <sz val="11"/>
      <color rgb="FFFF0000"/>
      <name val="宋体"/>
      <family val="3"/>
      <charset val="134"/>
    </font>
    <font>
      <b/>
      <vertAlign val="subscript"/>
      <sz val="10"/>
      <name val="楷体_GB2312"/>
      <charset val="134"/>
    </font>
    <font>
      <b/>
      <vertAlign val="subscript"/>
      <sz val="10"/>
      <name val="宋体"/>
      <family val="3"/>
      <charset val="134"/>
    </font>
    <font>
      <b/>
      <vertAlign val="subscript"/>
      <sz val="10"/>
      <name val="Arial"/>
      <family val="2"/>
    </font>
    <font>
      <sz val="14"/>
      <color rgb="FF000000"/>
      <name val="宋体"/>
      <family val="3"/>
      <charset val="134"/>
    </font>
    <font>
      <i/>
      <sz val="10"/>
      <name val="宋体"/>
      <family val="3"/>
      <charset val="134"/>
    </font>
    <font>
      <sz val="10"/>
      <color rgb="FFFF0000"/>
      <name val="楷体_GB2312"/>
      <charset val="134"/>
    </font>
    <font>
      <sz val="10"/>
      <color indexed="53"/>
      <name val="宋体"/>
      <family val="3"/>
      <charset val="134"/>
    </font>
    <font>
      <b/>
      <sz val="12"/>
      <color rgb="FF000000"/>
      <name val="宋体"/>
      <family val="3"/>
      <charset val="134"/>
    </font>
    <font>
      <b/>
      <sz val="14"/>
      <color rgb="FFFF0000"/>
      <name val="宋体"/>
      <family val="3"/>
      <charset val="134"/>
    </font>
    <font>
      <b/>
      <sz val="12"/>
      <color indexed="8"/>
      <name val="宋体"/>
      <family val="3"/>
      <charset val="134"/>
    </font>
    <font>
      <b/>
      <sz val="18"/>
      <color theme="1"/>
      <name val="宋体"/>
      <family val="3"/>
      <charset val="134"/>
    </font>
    <font>
      <b/>
      <sz val="14"/>
      <color theme="1"/>
      <name val="宋体"/>
      <family val="3"/>
      <charset val="134"/>
    </font>
    <font>
      <sz val="12"/>
      <color rgb="FF000000"/>
      <name val="宋体"/>
      <family val="3"/>
      <charset val="134"/>
    </font>
    <font>
      <sz val="10"/>
      <color indexed="8"/>
      <name val="楷体_GB2312"/>
      <charset val="134"/>
    </font>
    <font>
      <sz val="9"/>
      <color indexed="8"/>
      <name val="仿宋_GB2312"/>
      <charset val="134"/>
    </font>
    <font>
      <sz val="12"/>
      <color indexed="8"/>
      <name val="宋体"/>
      <family val="3"/>
      <charset val="134"/>
    </font>
    <font>
      <vertAlign val="subscript"/>
      <sz val="10"/>
      <color theme="1"/>
      <name val="Arial"/>
      <family val="2"/>
    </font>
    <font>
      <sz val="10"/>
      <color indexed="10"/>
      <name val="宋体"/>
      <family val="3"/>
      <charset val="134"/>
    </font>
    <font>
      <sz val="9"/>
      <color indexed="8"/>
      <name val="宋体"/>
      <family val="3"/>
      <charset val="134"/>
    </font>
    <font>
      <sz val="8"/>
      <color indexed="8"/>
      <name val="仿宋_GB2312"/>
      <charset val="134"/>
    </font>
    <font>
      <b/>
      <sz val="11"/>
      <color theme="1"/>
      <name val="宋体"/>
      <family val="3"/>
      <charset val="134"/>
    </font>
    <font>
      <b/>
      <i/>
      <sz val="14"/>
      <color theme="3" tint="0.39994506668294322"/>
      <name val="宋体"/>
      <family val="3"/>
      <charset val="134"/>
    </font>
    <font>
      <b/>
      <sz val="18"/>
      <color indexed="10"/>
      <name val="΢ȭхڬˎ̥"/>
      <charset val="134"/>
    </font>
    <font>
      <sz val="10"/>
      <color rgb="FF707070"/>
      <name val="宋体"/>
      <family val="3"/>
      <charset val="134"/>
    </font>
    <font>
      <i/>
      <sz val="14"/>
      <color theme="3" tint="0.39994506668294322"/>
      <name val="宋体"/>
      <family val="3"/>
      <charset val="134"/>
    </font>
    <font>
      <sz val="10"/>
      <color theme="1"/>
      <name val="华文细黑"/>
      <family val="3"/>
      <charset val="134"/>
    </font>
    <font>
      <b/>
      <sz val="10"/>
      <color indexed="53"/>
      <name val="宋体"/>
      <family val="3"/>
      <charset val="134"/>
    </font>
    <font>
      <sz val="12"/>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楷体_GB2312"/>
      <charset val="134"/>
    </font>
    <font>
      <b/>
      <sz val="10"/>
      <color indexed="10"/>
      <name val="楷体_GB2312"/>
      <charset val="134"/>
    </font>
    <font>
      <vertAlign val="superscript"/>
      <sz val="10"/>
      <color theme="1"/>
      <name val="宋体"/>
      <family val="3"/>
      <charset val="134"/>
    </font>
    <font>
      <b/>
      <sz val="14"/>
      <color indexed="10"/>
      <name val="宋体"/>
      <family val="3"/>
      <charset val="134"/>
      <scheme val="minor"/>
    </font>
    <font>
      <b/>
      <sz val="14"/>
      <color rgb="FF000000"/>
      <name val="宋体"/>
      <family val="3"/>
      <charset val="134"/>
    </font>
    <font>
      <b/>
      <sz val="16"/>
      <color indexed="10"/>
      <name val="楷体_GB2312"/>
      <charset val="134"/>
    </font>
    <font>
      <vertAlign val="superscript"/>
      <sz val="10"/>
      <color theme="1"/>
      <name val="Arial"/>
      <family val="2"/>
    </font>
    <font>
      <vertAlign val="superscript"/>
      <sz val="10"/>
      <color indexed="8"/>
      <name val="Arial"/>
      <family val="2"/>
    </font>
    <font>
      <sz val="11"/>
      <color indexed="10"/>
      <name val="宋体"/>
      <family val="3"/>
      <charset val="134"/>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1"/>
      <name val="楷体_GB2312"/>
      <charset val="134"/>
    </font>
    <font>
      <b/>
      <sz val="14"/>
      <name val="宋体"/>
      <family val="3"/>
      <charset val="134"/>
    </font>
    <font>
      <b/>
      <sz val="8"/>
      <name val="宋体"/>
      <family val="3"/>
      <charset val="134"/>
    </font>
    <font>
      <sz val="12"/>
      <name val="楷体_GB2312"/>
      <charset val="134"/>
    </font>
    <font>
      <b/>
      <sz val="9"/>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9"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9" fillId="0" borderId="0"/>
    <xf numFmtId="0" fontId="227" fillId="0" borderId="0">
      <alignment vertical="center"/>
    </xf>
    <xf numFmtId="0" fontId="227" fillId="0" borderId="0"/>
    <xf numFmtId="0" fontId="154" fillId="0" borderId="0">
      <alignment vertical="center"/>
    </xf>
    <xf numFmtId="0" fontId="154" fillId="0" borderId="0">
      <alignment vertical="center"/>
    </xf>
    <xf numFmtId="0" fontId="154" fillId="0" borderId="0">
      <alignment vertical="center"/>
    </xf>
    <xf numFmtId="0" fontId="227" fillId="0" borderId="0">
      <alignment vertical="center"/>
    </xf>
    <xf numFmtId="0" fontId="154" fillId="0" borderId="0">
      <alignment vertical="center"/>
    </xf>
    <xf numFmtId="0" fontId="227" fillId="0" borderId="0"/>
  </cellStyleXfs>
  <cellXfs count="383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0" fillId="0" borderId="0" xfId="0" applyFont="1" applyFill="1" applyAlignment="1"/>
    <xf numFmtId="0" fontId="29"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65" fillId="0" borderId="108" xfId="0" applyNumberFormat="1"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1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4"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64"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7"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protection locked="0"/>
    </xf>
    <xf numFmtId="0" fontId="69"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8" xfId="0" applyFont="1" applyFill="1" applyBorder="1" applyAlignment="1" applyProtection="1">
      <alignment horizontal="center" vertical="center" wrapText="1"/>
    </xf>
    <xf numFmtId="0" fontId="29" fillId="2" borderId="12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protection locked="0"/>
    </xf>
    <xf numFmtId="0" fontId="29" fillId="2" borderId="12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89"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28"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9"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8"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89"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21"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18" xfId="6"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8"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8" fillId="7" borderId="0" xfId="0" applyFont="1" applyFill="1" applyProtection="1">
      <alignment vertical="center"/>
      <protection locked="0"/>
    </xf>
    <xf numFmtId="0" fontId="78" fillId="2" borderId="7" xfId="0" applyFont="1" applyFill="1" applyBorder="1" applyAlignment="1">
      <alignment horizontal="left" vertical="center" wrapText="1"/>
    </xf>
    <xf numFmtId="0" fontId="78" fillId="2" borderId="7" xfId="0" applyFont="1" applyFill="1" applyBorder="1" applyAlignment="1">
      <alignment horizontal="center" vertical="center"/>
    </xf>
    <xf numFmtId="0" fontId="28" fillId="2" borderId="7" xfId="0" applyFont="1" applyFill="1" applyBorder="1">
      <alignment vertical="center"/>
    </xf>
    <xf numFmtId="0" fontId="78" fillId="2" borderId="7" xfId="0" applyFont="1" applyFill="1" applyBorder="1" applyAlignment="1">
      <alignment horizontal="left" vertical="center"/>
    </xf>
    <xf numFmtId="0" fontId="78" fillId="3" borderId="7" xfId="0" applyFont="1" applyFill="1" applyBorder="1" applyAlignment="1" applyProtection="1">
      <alignment horizontal="left"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0"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2"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2" xfId="0" applyFont="1" applyFill="1" applyBorder="1" applyAlignment="1" applyProtection="1">
      <alignment vertical="center"/>
    </xf>
    <xf numFmtId="0" fontId="8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70" fillId="2" borderId="107"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28" xfId="0" applyFont="1" applyFill="1" applyBorder="1" applyAlignment="1" applyProtection="1">
      <alignment vertical="center" wrapText="1"/>
    </xf>
    <xf numFmtId="191"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91"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91"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14"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3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2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5" borderId="114"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6"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9" fillId="15" borderId="106"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3"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89"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2" fontId="70"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0" fillId="10" borderId="91" xfId="0" applyNumberFormat="1" applyFont="1" applyFill="1" applyBorder="1" applyAlignment="1" applyProtection="1">
      <alignment horizontal="left" vertical="center" wrapText="1"/>
      <protection locked="0"/>
    </xf>
    <xf numFmtId="182" fontId="70" fillId="2" borderId="89" xfId="0" applyNumberFormat="1" applyFont="1" applyFill="1" applyBorder="1" applyAlignment="1" applyProtection="1">
      <alignment vertical="center" wrapText="1"/>
    </xf>
    <xf numFmtId="49" fontId="70" fillId="0" borderId="117"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2"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1"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0" fontId="84" fillId="2" borderId="52" xfId="0" applyNumberFormat="1" applyFont="1" applyFill="1" applyBorder="1" applyAlignment="1" applyProtection="1">
      <alignment horizontal="center" vertical="center"/>
    </xf>
    <xf numFmtId="183" fontId="84" fillId="2" borderId="52" xfId="0" applyNumberFormat="1" applyFont="1" applyFill="1" applyBorder="1" applyAlignment="1" applyProtection="1">
      <alignment vertical="center"/>
    </xf>
    <xf numFmtId="0" fontId="84" fillId="2" borderId="5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90" fontId="84" fillId="2" borderId="0" xfId="0" applyNumberFormat="1" applyFont="1" applyFill="1" applyBorder="1" applyAlignment="1" applyProtection="1">
      <alignment horizontal="center" vertical="center"/>
      <protection locked="0"/>
    </xf>
    <xf numFmtId="183"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90" fontId="76" fillId="2" borderId="14" xfId="0" applyNumberFormat="1" applyFont="1" applyFill="1" applyBorder="1" applyAlignment="1" applyProtection="1">
      <alignment horizontal="center" vertical="center" wrapText="1"/>
    </xf>
    <xf numFmtId="183" fontId="76"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wrapText="1"/>
    </xf>
    <xf numFmtId="183"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49" fontId="69" fillId="15" borderId="11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69" fillId="2" borderId="14" xfId="0" applyNumberFormat="1" applyFont="1" applyFill="1" applyBorder="1" applyAlignment="1" applyProtection="1">
      <alignment horizontal="center" vertical="center"/>
    </xf>
    <xf numFmtId="183" fontId="69" fillId="7" borderId="0" xfId="0" applyNumberFormat="1" applyFont="1" applyFill="1" applyBorder="1" applyAlignment="1" applyProtection="1">
      <alignment vertical="center" wrapText="1"/>
      <protection locked="0"/>
    </xf>
    <xf numFmtId="188" fontId="69" fillId="2" borderId="87" xfId="0" applyNumberFormat="1" applyFont="1" applyFill="1" applyBorder="1" applyAlignment="1" applyProtection="1">
      <alignment horizontal="left" vertical="center" wrapText="1"/>
    </xf>
    <xf numFmtId="190"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0"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90"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27" xfId="0" applyFont="1" applyFill="1" applyBorder="1" applyAlignment="1" applyProtection="1">
      <alignment horizontal="center" vertical="center"/>
    </xf>
    <xf numFmtId="192"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2"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87" fillId="2" borderId="10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87" fillId="2" borderId="117"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6"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6"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6" xfId="0" applyNumberFormat="1" applyFont="1" applyFill="1" applyBorder="1" applyAlignment="1" applyProtection="1">
      <alignment horizontal="left" vertical="center" wrapText="1"/>
    </xf>
    <xf numFmtId="0" fontId="76"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6" fillId="0" borderId="114"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9" fillId="2" borderId="24"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9" fillId="15" borderId="25" xfId="0" applyNumberFormat="1" applyFont="1" applyFill="1" applyBorder="1" applyAlignment="1" applyProtection="1">
      <alignment horizontal="center" vertical="center" wrapText="1"/>
      <protection locked="0"/>
    </xf>
    <xf numFmtId="49" fontId="69" fillId="15" borderId="79"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9" fillId="15" borderId="25"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9" fillId="2" borderId="0" xfId="0" applyNumberFormat="1" applyFont="1" applyFill="1" applyBorder="1" applyAlignment="1" applyProtection="1">
      <alignment horizontal="center"/>
      <protection locked="0"/>
    </xf>
    <xf numFmtId="183" fontId="69" fillId="2" borderId="0" xfId="0" applyNumberFormat="1" applyFont="1" applyFill="1" applyBorder="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5"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8" fontId="69" fillId="7" borderId="0" xfId="0" applyNumberFormat="1" applyFont="1" applyFill="1" applyAlignment="1" applyProtection="1">
      <alignment horizontal="center" vertical="center"/>
      <protection locked="0"/>
    </xf>
    <xf numFmtId="0" fontId="87" fillId="2" borderId="10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193" fontId="76" fillId="2" borderId="98" xfId="0" applyNumberFormat="1" applyFont="1" applyFill="1" applyBorder="1" applyAlignment="1" applyProtection="1">
      <alignment horizontal="center" vertical="center" wrapText="1"/>
    </xf>
    <xf numFmtId="193" fontId="76"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0" fontId="84" fillId="2" borderId="141" xfId="0" applyNumberFormat="1" applyFont="1" applyFill="1" applyBorder="1" applyAlignment="1" applyProtection="1">
      <alignment horizontal="center" vertical="center"/>
    </xf>
    <xf numFmtId="183"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6" fillId="0" borderId="136" xfId="0" applyNumberFormat="1" applyFont="1" applyFill="1" applyBorder="1" applyAlignment="1" applyProtection="1">
      <alignment horizontal="left" vertical="center" wrapText="1"/>
      <protection locked="0"/>
    </xf>
    <xf numFmtId="0" fontId="76" fillId="0" borderId="138"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90"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49" fontId="76" fillId="15" borderId="98" xfId="0" applyNumberFormat="1" applyFont="1" applyFill="1" applyBorder="1" applyAlignment="1" applyProtection="1">
      <alignment horizontal="center" vertical="center" wrapText="1"/>
      <protection locked="0"/>
    </xf>
    <xf numFmtId="188" fontId="76" fillId="0" borderId="14"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3"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0" fontId="76" fillId="0" borderId="28" xfId="0" applyNumberFormat="1" applyFont="1" applyFill="1" applyBorder="1" applyAlignment="1" applyProtection="1">
      <alignment horizontal="center" vertical="center" wrapText="1"/>
      <protection locked="0"/>
    </xf>
    <xf numFmtId="49" fontId="69" fillId="2" borderId="129"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14" xfId="0" applyNumberFormat="1"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69" fillId="2" borderId="29" xfId="0"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6" fillId="0" borderId="143"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76"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4" xfId="0" applyFont="1" applyFill="1" applyBorder="1" applyAlignment="1" applyProtection="1">
      <alignment vertical="center"/>
      <protection locked="0"/>
    </xf>
    <xf numFmtId="0" fontId="69" fillId="15" borderId="3"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84" fillId="2" borderId="145"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8"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3" fontId="76"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5"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6" fillId="2" borderId="84" xfId="0" applyNumberFormat="1" applyFont="1" applyFill="1" applyBorder="1" applyAlignment="1" applyProtection="1">
      <alignment horizontal="center" vertical="center" wrapText="1"/>
    </xf>
    <xf numFmtId="190"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190" fontId="69" fillId="2" borderId="87" xfId="0" applyNumberFormat="1" applyFont="1" applyFill="1" applyBorder="1" applyAlignment="1" applyProtection="1">
      <alignment horizontal="center" vertical="center"/>
    </xf>
    <xf numFmtId="188" fontId="69" fillId="10" borderId="87" xfId="0" applyNumberFormat="1" applyFont="1" applyFill="1" applyBorder="1" applyAlignment="1" applyProtection="1">
      <alignment horizontal="left" vertical="center" wrapText="1"/>
    </xf>
    <xf numFmtId="190" fontId="69"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8"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9"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5" fillId="2" borderId="6" xfId="0" applyFont="1" applyFill="1" applyBorder="1" applyAlignment="1">
      <alignment horizontal="left"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6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8" xfId="10" applyFont="1" applyFill="1" applyBorder="1" applyAlignment="1">
      <alignment vertical="center"/>
    </xf>
    <xf numFmtId="0" fontId="33" fillId="2" borderId="130"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31" xfId="10" applyFont="1" applyFill="1" applyBorder="1" applyAlignment="1">
      <alignment horizontal="left" vertical="center"/>
    </xf>
    <xf numFmtId="0" fontId="33" fillId="2" borderId="152"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2"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2"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2"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2"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2"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2"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2"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3"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9"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100"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5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0" fontId="6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81"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25" xfId="0" applyNumberFormat="1" applyFont="1" applyFill="1" applyBorder="1" applyAlignment="1" applyProtection="1">
      <alignment vertical="center"/>
    </xf>
    <xf numFmtId="0" fontId="64" fillId="2" borderId="27"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24" fillId="2" borderId="27" xfId="0" applyFont="1" applyFill="1" applyBorder="1" applyAlignment="1" applyProtection="1">
      <alignment vertical="center"/>
    </xf>
    <xf numFmtId="183" fontId="64" fillId="2" borderId="31" xfId="0" applyNumberFormat="1" applyFont="1" applyFill="1" applyBorder="1" applyAlignment="1" applyProtection="1">
      <alignment horizontal="center" vertical="center"/>
    </xf>
    <xf numFmtId="49" fontId="6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4" fillId="2" borderId="137" xfId="0" applyNumberFormat="1" applyFont="1" applyFill="1" applyBorder="1" applyAlignment="1" applyProtection="1">
      <alignment horizontal="center" vertical="center"/>
    </xf>
    <xf numFmtId="49" fontId="64" fillId="2" borderId="114"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4"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3"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4" fillId="2" borderId="142"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17"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4" fillId="2" borderId="123"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4" fillId="2" borderId="2" xfId="0" applyNumberFormat="1"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protection locked="0"/>
    </xf>
    <xf numFmtId="0" fontId="73" fillId="13" borderId="132" xfId="0" applyFont="1" applyFill="1" applyBorder="1" applyAlignment="1" applyProtection="1">
      <alignment vertical="center"/>
      <protection locked="0"/>
    </xf>
    <xf numFmtId="0" fontId="29" fillId="13" borderId="128" xfId="0" applyFont="1" applyFill="1" applyBorder="1" applyAlignment="1" applyProtection="1">
      <alignment vertical="center"/>
      <protection locked="0"/>
    </xf>
    <xf numFmtId="0" fontId="29" fillId="13" borderId="13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3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5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5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Alignment="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6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7"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2"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80"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80"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23"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17" xfId="0" applyFont="1" applyFill="1" applyBorder="1" applyAlignment="1" applyProtection="1">
      <alignment vertical="center"/>
    </xf>
    <xf numFmtId="0" fontId="87" fillId="2" borderId="19" xfId="0" applyFont="1" applyFill="1" applyBorder="1" applyAlignment="1" applyProtection="1">
      <alignment vertical="center"/>
    </xf>
    <xf numFmtId="182" fontId="68" fillId="2" borderId="26" xfId="0" applyNumberFormat="1"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84" fillId="15" borderId="154"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3" fillId="3" borderId="8" xfId="5"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189" fontId="6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5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0" fontId="104" fillId="0" borderId="82" xfId="0" applyNumberFormat="1" applyFont="1" applyFill="1" applyBorder="1" applyAlignment="1" applyProtection="1">
      <alignment horizontal="center" vertical="center" wrapText="1"/>
      <protection locked="0"/>
    </xf>
    <xf numFmtId="0" fontId="88" fillId="2" borderId="148"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8" fontId="105" fillId="0" borderId="6" xfId="0" applyNumberFormat="1" applyFont="1" applyFill="1" applyBorder="1" applyAlignment="1" applyProtection="1">
      <alignment horizontal="center" vertical="center" wrapText="1"/>
      <protection locked="0"/>
    </xf>
    <xf numFmtId="0" fontId="70" fillId="2" borderId="148"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87" fillId="2" borderId="148" xfId="0" applyFont="1" applyFill="1" applyBorder="1" applyAlignment="1" applyProtection="1">
      <alignment vertical="center" wrapText="1"/>
    </xf>
    <xf numFmtId="0" fontId="70" fillId="2" borderId="158" xfId="0" applyFont="1" applyFill="1" applyBorder="1" applyAlignment="1" applyProtection="1">
      <alignment vertical="center" wrapText="1"/>
    </xf>
    <xf numFmtId="0" fontId="76" fillId="0" borderId="3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2" borderId="95" xfId="0" applyNumberFormat="1" applyFont="1" applyFill="1" applyBorder="1" applyAlignment="1" applyProtection="1">
      <alignment horizontal="center" vertical="center" wrapText="1"/>
    </xf>
    <xf numFmtId="0" fontId="70" fillId="2" borderId="107"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0" fillId="2" borderId="117"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69" fillId="7" borderId="0" xfId="0" applyNumberFormat="1" applyFont="1" applyFill="1" applyAlignment="1" applyProtection="1">
      <alignment horizontal="center" vertical="center"/>
      <protection locked="0"/>
    </xf>
    <xf numFmtId="0" fontId="9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90" fontId="84" fillId="2" borderId="141" xfId="0" applyNumberFormat="1" applyFont="1" applyFill="1" applyBorder="1" applyAlignment="1" applyProtection="1">
      <alignment horizontal="center" vertical="center"/>
      <protection locked="0"/>
    </xf>
    <xf numFmtId="183"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59"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49" fontId="105" fillId="0" borderId="86" xfId="0" applyNumberFormat="1" applyFont="1" applyFill="1" applyBorder="1" applyAlignment="1" applyProtection="1">
      <alignment horizontal="center" vertical="center" wrapText="1"/>
      <protection locked="0"/>
    </xf>
    <xf numFmtId="190" fontId="69" fillId="12" borderId="14" xfId="0" applyNumberFormat="1" applyFont="1" applyFill="1" applyBorder="1" applyAlignment="1" applyProtection="1">
      <alignment horizontal="center" vertical="center"/>
      <protection locked="0"/>
    </xf>
    <xf numFmtId="190" fontId="69" fillId="12" borderId="7"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6" fillId="2" borderId="0" xfId="0" applyFont="1" applyFill="1" applyProtection="1">
      <alignment vertical="center"/>
    </xf>
    <xf numFmtId="181" fontId="76" fillId="2" borderId="12" xfId="0" applyNumberFormat="1" applyFont="1" applyFill="1" applyBorder="1" applyAlignment="1" applyProtection="1">
      <alignment horizontal="center" vertical="center"/>
    </xf>
    <xf numFmtId="0" fontId="87" fillId="2" borderId="107"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2"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3" fontId="107" fillId="2" borderId="130" xfId="0" applyNumberFormat="1" applyFont="1" applyFill="1" applyBorder="1" applyAlignment="1" applyProtection="1">
      <alignment horizontal="center" vertical="center"/>
    </xf>
    <xf numFmtId="0" fontId="76" fillId="2" borderId="84" xfId="0" applyFont="1" applyFill="1" applyBorder="1" applyAlignment="1" applyProtection="1">
      <alignment horizontal="center" vertical="center"/>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07"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3"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3"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6"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6" fillId="3" borderId="132" xfId="0" applyFont="1" applyFill="1" applyBorder="1" applyProtection="1">
      <alignment vertical="center"/>
      <protection locked="0"/>
    </xf>
    <xf numFmtId="0" fontId="76" fillId="2" borderId="130"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76"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6" fillId="0" borderId="13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6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8" applyFont="1" applyFill="1" applyBorder="1" applyAlignment="1" applyProtection="1">
      <alignment horizontal="left" vertical="center" wrapText="1"/>
    </xf>
    <xf numFmtId="0" fontId="76"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8" applyFont="1" applyFill="1" applyBorder="1" applyAlignment="1" applyProtection="1">
      <alignment horizontal="left" vertical="center" wrapText="1"/>
    </xf>
    <xf numFmtId="0" fontId="76"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4"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23" fillId="0" borderId="0" xfId="0" applyFont="1" applyFill="1" applyAlignment="1">
      <alignment horizontal="left" vertical="center" wrapText="1"/>
    </xf>
    <xf numFmtId="0" fontId="23" fillId="0" borderId="0" xfId="0" applyFont="1" applyFill="1" applyAlignment="1">
      <alignment horizontal="left"/>
    </xf>
    <xf numFmtId="0" fontId="21" fillId="0" borderId="7" xfId="0" applyFont="1" applyFill="1" applyBorder="1" applyAlignment="1">
      <alignment horizontal="left" vertical="center" wrapText="1"/>
    </xf>
    <xf numFmtId="49" fontId="21" fillId="13" borderId="7" xfId="0" applyNumberFormat="1" applyFont="1" applyFill="1" applyBorder="1" applyAlignment="1">
      <alignment horizontal="left" vertical="center" wrapText="1"/>
    </xf>
    <xf numFmtId="0" fontId="118" fillId="0" borderId="7" xfId="0" applyFont="1" applyFill="1" applyBorder="1" applyAlignment="1">
      <alignment horizontal="left" vertical="center" wrapText="1"/>
    </xf>
    <xf numFmtId="198" fontId="118" fillId="0" borderId="7" xfId="0" applyNumberFormat="1" applyFont="1" applyFill="1" applyBorder="1" applyAlignment="1">
      <alignment horizontal="left" vertical="center" wrapText="1"/>
    </xf>
    <xf numFmtId="0" fontId="23" fillId="0" borderId="7" xfId="0" applyFont="1" applyFill="1" applyBorder="1" applyAlignment="1">
      <alignment horizontal="left" vertical="center" wrapText="1"/>
    </xf>
    <xf numFmtId="49" fontId="23" fillId="13" borderId="7" xfId="0" applyNumberFormat="1" applyFont="1" applyFill="1" applyBorder="1" applyAlignment="1">
      <alignment horizontal="left" vertical="center" wrapText="1"/>
    </xf>
    <xf numFmtId="198" fontId="23" fillId="0" borderId="7" xfId="0" applyNumberFormat="1" applyFont="1" applyFill="1" applyBorder="1" applyAlignment="1">
      <alignment horizontal="left" vertical="center" wrapText="1"/>
    </xf>
    <xf numFmtId="49" fontId="23" fillId="0" borderId="7" xfId="0" applyNumberFormat="1" applyFont="1" applyFill="1" applyBorder="1" applyAlignment="1">
      <alignment horizontal="left" vertical="center" wrapText="1"/>
    </xf>
    <xf numFmtId="0" fontId="7" fillId="0" borderId="0" xfId="0" applyFont="1" applyFill="1" applyAlignment="1">
      <alignment horizontal="left"/>
    </xf>
    <xf numFmtId="0" fontId="23" fillId="17" borderId="7" xfId="0" applyFont="1" applyFill="1" applyBorder="1" applyAlignment="1">
      <alignment horizontal="left" vertical="center" wrapText="1"/>
    </xf>
    <xf numFmtId="49" fontId="23" fillId="17" borderId="7" xfId="0" applyNumberFormat="1" applyFont="1" applyFill="1" applyBorder="1" applyAlignment="1">
      <alignment horizontal="left" vertical="center" wrapText="1"/>
    </xf>
    <xf numFmtId="198" fontId="23" fillId="17" borderId="7" xfId="0" applyNumberFormat="1" applyFont="1" applyFill="1" applyBorder="1" applyAlignment="1">
      <alignment horizontal="left" vertical="center" wrapText="1"/>
    </xf>
    <xf numFmtId="0" fontId="23" fillId="3" borderId="7" xfId="0" applyFont="1" applyFill="1" applyBorder="1" applyAlignment="1">
      <alignment horizontal="left" vertical="center" wrapText="1"/>
    </xf>
    <xf numFmtId="49" fontId="23" fillId="3" borderId="7" xfId="0" applyNumberFormat="1" applyFont="1" applyFill="1" applyBorder="1" applyAlignment="1">
      <alignment horizontal="left" vertical="center" wrapText="1"/>
    </xf>
    <xf numFmtId="198" fontId="23" fillId="3" borderId="7" xfId="0" applyNumberFormat="1" applyFont="1" applyFill="1" applyBorder="1" applyAlignment="1">
      <alignment horizontal="left" vertical="center" wrapText="1"/>
    </xf>
    <xf numFmtId="198" fontId="21" fillId="0" borderId="7" xfId="0" applyNumberFormat="1" applyFont="1" applyFill="1" applyBorder="1" applyAlignment="1">
      <alignment horizontal="left" vertical="center" wrapText="1"/>
    </xf>
    <xf numFmtId="0" fontId="110"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64" fillId="2" borderId="132" xfId="0" applyFont="1" applyFill="1" applyBorder="1" applyAlignment="1" applyProtection="1">
      <alignment vertical="center" wrapText="1"/>
    </xf>
    <xf numFmtId="0" fontId="64" fillId="2" borderId="102" xfId="0" applyFont="1" applyFill="1" applyBorder="1" applyAlignment="1" applyProtection="1">
      <alignment vertical="center" wrapText="1"/>
    </xf>
    <xf numFmtId="0" fontId="64" fillId="2" borderId="130"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4" fillId="2" borderId="107" xfId="0" applyFont="1" applyFill="1" applyBorder="1" applyAlignment="1" applyProtection="1">
      <alignment vertical="center" wrapText="1"/>
    </xf>
    <xf numFmtId="0" fontId="64" fillId="2" borderId="118"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5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4" fillId="2" borderId="15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1"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28" xfId="0" applyFont="1" applyFill="1" applyBorder="1" applyAlignment="1" applyProtection="1">
      <alignment vertical="center"/>
    </xf>
    <xf numFmtId="181" fontId="76" fillId="2" borderId="128" xfId="0" applyNumberFormat="1" applyFont="1" applyFill="1" applyBorder="1" applyAlignment="1" applyProtection="1">
      <alignment vertical="center"/>
    </xf>
    <xf numFmtId="0" fontId="76" fillId="2" borderId="3" xfId="5" applyFont="1" applyFill="1" applyBorder="1" applyAlignment="1" applyProtection="1">
      <alignment vertical="center" wrapText="1"/>
    </xf>
    <xf numFmtId="0" fontId="76" fillId="2" borderId="4" xfId="5" applyFont="1" applyFill="1" applyBorder="1" applyAlignment="1" applyProtection="1">
      <alignment vertical="center" wrapText="1"/>
    </xf>
    <xf numFmtId="0" fontId="76" fillId="2" borderId="22"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81" fontId="76"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6" fillId="2" borderId="7" xfId="5" applyNumberFormat="1" applyFont="1" applyFill="1" applyBorder="1" applyAlignment="1" applyProtection="1">
      <alignment vertical="center"/>
    </xf>
    <xf numFmtId="180" fontId="76"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9" fillId="2" borderId="7" xfId="5" applyNumberFormat="1" applyFont="1" applyFill="1" applyBorder="1" applyAlignment="1" applyProtection="1">
      <alignment horizontal="center" vertical="center"/>
    </xf>
    <xf numFmtId="184" fontId="69"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6" fillId="0" borderId="7" xfId="0" applyNumberFormat="1" applyFont="1" applyFill="1" applyBorder="1" applyAlignment="1" applyProtection="1">
      <alignment horizontal="center" vertical="center"/>
      <protection locked="0"/>
    </xf>
    <xf numFmtId="180" fontId="76" fillId="2" borderId="6" xfId="5" applyNumberFormat="1" applyFont="1" applyFill="1" applyBorder="1" applyAlignment="1" applyProtection="1">
      <alignment horizontal="left" vertical="center" wrapText="1"/>
      <protection locked="0"/>
    </xf>
    <xf numFmtId="180" fontId="76" fillId="2" borderId="13" xfId="5"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3" fontId="87"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81" fontId="76" fillId="7" borderId="0" xfId="0" applyNumberFormat="1" applyFont="1" applyFill="1" applyAlignment="1" applyProtection="1">
      <alignment vertical="center"/>
      <protection locked="0"/>
    </xf>
    <xf numFmtId="188" fontId="69" fillId="2" borderId="3" xfId="5" applyNumberFormat="1" applyFont="1" applyFill="1" applyBorder="1" applyAlignment="1" applyProtection="1">
      <alignment vertical="center" wrapText="1"/>
    </xf>
    <xf numFmtId="188" fontId="6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9" fillId="2" borderId="6" xfId="5" applyNumberFormat="1" applyFont="1" applyFill="1" applyBorder="1" applyAlignment="1" applyProtection="1">
      <alignment vertical="center" wrapText="1"/>
    </xf>
    <xf numFmtId="188" fontId="76"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8" fontId="76" fillId="2" borderId="6" xfId="5" applyNumberFormat="1" applyFont="1" applyFill="1" applyBorder="1" applyAlignment="1" applyProtection="1">
      <alignment vertical="center" wrapText="1"/>
    </xf>
    <xf numFmtId="188" fontId="69" fillId="2" borderId="8" xfId="5" applyNumberFormat="1" applyFont="1" applyFill="1" applyBorder="1" applyAlignment="1" applyProtection="1">
      <alignment horizontal="center" vertical="center"/>
    </xf>
    <xf numFmtId="188" fontId="69" fillId="2" borderId="9" xfId="5" applyNumberFormat="1" applyFont="1" applyFill="1" applyBorder="1" applyAlignment="1" applyProtection="1">
      <alignment vertical="center" wrapText="1"/>
    </xf>
    <xf numFmtId="188" fontId="69" fillId="2" borderId="11" xfId="5"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6"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5"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30" xfId="0" applyFont="1" applyFill="1" applyBorder="1" applyAlignment="1" applyProtection="1">
      <alignment vertical="center"/>
    </xf>
    <xf numFmtId="0" fontId="76" fillId="2" borderId="132" xfId="0" applyFont="1" applyFill="1" applyBorder="1" applyAlignment="1" applyProtection="1">
      <alignment horizontal="center" vertical="center"/>
    </xf>
    <xf numFmtId="0" fontId="76" fillId="2" borderId="12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6" fillId="2" borderId="3" xfId="5" applyNumberFormat="1" applyFont="1" applyFill="1" applyBorder="1" applyAlignment="1" applyProtection="1">
      <alignment horizontal="center" vertical="center" wrapText="1"/>
    </xf>
    <xf numFmtId="0" fontId="76" fillId="2" borderId="4" xfId="5" applyFont="1" applyFill="1" applyBorder="1" applyAlignment="1" applyProtection="1">
      <alignment horizontal="center" vertical="center" wrapText="1"/>
    </xf>
    <xf numFmtId="181" fontId="76" fillId="2" borderId="4" xfId="5" applyNumberFormat="1" applyFont="1" applyFill="1" applyBorder="1" applyAlignment="1" applyProtection="1">
      <alignment horizontal="center" vertical="center" wrapText="1"/>
    </xf>
    <xf numFmtId="0" fontId="76" fillId="3" borderId="4" xfId="5" applyFont="1" applyFill="1" applyBorder="1" applyAlignment="1" applyProtection="1">
      <alignment horizontal="center" vertical="center" wrapText="1"/>
      <protection locked="0"/>
    </xf>
    <xf numFmtId="0" fontId="76"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6"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80" fontId="76" fillId="0" borderId="7" xfId="5" applyNumberFormat="1" applyFont="1" applyFill="1" applyBorder="1" applyAlignment="1" applyProtection="1">
      <alignment horizontal="center" vertical="center"/>
      <protection locked="0"/>
    </xf>
    <xf numFmtId="10" fontId="76" fillId="0" borderId="7" xfId="5" applyNumberFormat="1" applyFont="1" applyFill="1" applyBorder="1" applyAlignment="1" applyProtection="1">
      <alignment horizontal="center" vertical="center"/>
      <protection locked="0"/>
    </xf>
    <xf numFmtId="180" fontId="76" fillId="2" borderId="7" xfId="5" applyNumberFormat="1" applyFont="1" applyFill="1" applyBorder="1" applyAlignment="1" applyProtection="1">
      <alignment horizontal="center" vertical="center"/>
    </xf>
    <xf numFmtId="10" fontId="76"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8" fontId="76" fillId="2" borderId="9" xfId="0" applyNumberFormat="1" applyFont="1" applyFill="1" applyBorder="1" applyAlignment="1" applyProtection="1">
      <alignment horizontal="center" vertical="center"/>
    </xf>
    <xf numFmtId="0" fontId="76" fillId="2" borderId="10" xfId="5" applyNumberFormat="1" applyFont="1" applyFill="1" applyBorder="1" applyAlignment="1" applyProtection="1">
      <alignment horizontal="center" vertical="center"/>
    </xf>
    <xf numFmtId="10" fontId="76"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6" fillId="2" borderId="3" xfId="5" applyFont="1" applyFill="1" applyBorder="1" applyAlignment="1" applyProtection="1">
      <alignment horizontal="center" vertical="center" wrapText="1"/>
    </xf>
    <xf numFmtId="0" fontId="76" fillId="2" borderId="21" xfId="5" applyFont="1" applyFill="1" applyBorder="1" applyAlignment="1" applyProtection="1">
      <alignment horizontal="center" vertical="center" wrapText="1"/>
    </xf>
    <xf numFmtId="0" fontId="76" fillId="2" borderId="30" xfId="5"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6" fillId="2" borderId="6" xfId="5" applyNumberFormat="1" applyFont="1" applyFill="1" applyBorder="1" applyAlignment="1" applyProtection="1">
      <alignment horizontal="center" vertical="center"/>
    </xf>
    <xf numFmtId="181" fontId="76" fillId="2" borderId="7" xfId="0" applyNumberFormat="1" applyFont="1" applyFill="1" applyBorder="1" applyAlignment="1" applyProtection="1">
      <alignment horizontal="center" vertical="center"/>
    </xf>
    <xf numFmtId="0" fontId="76" fillId="2" borderId="8" xfId="5" applyNumberFormat="1" applyFont="1" applyFill="1" applyBorder="1" applyAlignment="1" applyProtection="1">
      <alignment horizontal="center" vertical="center"/>
    </xf>
    <xf numFmtId="181" fontId="76" fillId="0" borderId="6" xfId="0" applyNumberFormat="1" applyFont="1" applyBorder="1" applyAlignment="1" applyProtection="1">
      <alignment horizontal="center" vertical="center"/>
      <protection locked="0"/>
    </xf>
    <xf numFmtId="183" fontId="76" fillId="0" borderId="7" xfId="0" applyNumberFormat="1" applyFont="1" applyBorder="1" applyAlignment="1" applyProtection="1">
      <alignment vertical="center"/>
      <protection locked="0"/>
    </xf>
    <xf numFmtId="183" fontId="76"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81"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3" fontId="76" fillId="2" borderId="7" xfId="0" applyNumberFormat="1" applyFont="1" applyFill="1" applyBorder="1" applyAlignment="1" applyProtection="1">
      <alignment vertical="center"/>
    </xf>
    <xf numFmtId="183"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81" fontId="76" fillId="2" borderId="9" xfId="5" applyNumberFormat="1" applyFont="1" applyFill="1" applyBorder="1" applyAlignment="1" applyProtection="1">
      <alignment horizontal="center" vertical="center"/>
    </xf>
    <xf numFmtId="181" fontId="76" fillId="2" borderId="99" xfId="5" applyNumberFormat="1" applyFont="1" applyFill="1" applyBorder="1" applyAlignment="1" applyProtection="1">
      <alignment horizontal="center" vertical="center"/>
    </xf>
    <xf numFmtId="0" fontId="76" fillId="2" borderId="91" xfId="5"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07"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3"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3"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3"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3"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8"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4" fontId="76" fillId="0" borderId="7" xfId="0" applyNumberFormat="1" applyFont="1" applyBorder="1" applyAlignment="1" applyProtection="1">
      <alignment horizontal="center" vertical="center"/>
      <protection locked="0"/>
    </xf>
    <xf numFmtId="183"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4" fontId="76" fillId="0" borderId="7" xfId="0" applyNumberFormat="1" applyFont="1" applyFill="1" applyBorder="1" applyAlignment="1" applyProtection="1">
      <alignment horizontal="center" vertical="center"/>
      <protection locked="0"/>
    </xf>
    <xf numFmtId="183"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4" fontId="76" fillId="2" borderId="7" xfId="0" applyNumberFormat="1" applyFont="1" applyFill="1" applyBorder="1" applyAlignment="1" applyProtection="1">
      <alignment horizontal="center" vertical="center"/>
    </xf>
    <xf numFmtId="183"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8" fontId="70" fillId="2" borderId="7" xfId="5"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87" fillId="2" borderId="12" xfId="0" applyFont="1" applyFill="1" applyBorder="1" applyAlignment="1" applyProtection="1">
      <alignment vertical="center"/>
    </xf>
    <xf numFmtId="0" fontId="76" fillId="2" borderId="81" xfId="0" applyFont="1" applyFill="1" applyBorder="1" applyProtection="1">
      <alignment vertical="center"/>
    </xf>
    <xf numFmtId="0" fontId="87" fillId="2" borderId="4" xfId="0" applyFont="1" applyFill="1" applyBorder="1" applyAlignment="1" applyProtection="1">
      <alignment horizontal="center" vertical="center"/>
    </xf>
    <xf numFmtId="188" fontId="70" fillId="2" borderId="5" xfId="5" applyNumberFormat="1" applyFont="1" applyFill="1" applyBorder="1" applyAlignment="1" applyProtection="1">
      <alignment horizontal="center" vertical="center"/>
    </xf>
    <xf numFmtId="0" fontId="76" fillId="2" borderId="114"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8"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188" fontId="87" fillId="2" borderId="5" xfId="5"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76" fillId="2" borderId="31" xfId="0" applyFont="1" applyFill="1" applyBorder="1" applyAlignment="1" applyProtection="1">
      <alignment vertical="center"/>
    </xf>
    <xf numFmtId="0" fontId="87" fillId="2" borderId="82" xfId="0" applyFont="1" applyFill="1" applyBorder="1" applyProtection="1">
      <alignment vertical="center"/>
    </xf>
    <xf numFmtId="0" fontId="76" fillId="2" borderId="29" xfId="0" applyFont="1" applyFill="1" applyBorder="1" applyProtection="1">
      <alignment vertical="center"/>
    </xf>
    <xf numFmtId="0" fontId="87" fillId="2" borderId="29" xfId="0" applyFont="1" applyFill="1" applyBorder="1" applyAlignment="1" applyProtection="1">
      <alignment horizontal="center" vertical="center"/>
    </xf>
    <xf numFmtId="188" fontId="70" fillId="2" borderId="80" xfId="5" applyNumberFormat="1" applyFont="1" applyFill="1" applyBorder="1" applyAlignment="1" applyProtection="1">
      <alignment horizontal="center" vertical="center"/>
    </xf>
    <xf numFmtId="188" fontId="70" fillId="2" borderId="83" xfId="5" applyNumberFormat="1" applyFont="1" applyFill="1" applyBorder="1" applyAlignment="1" applyProtection="1">
      <alignment horizontal="center" vertical="center"/>
    </xf>
    <xf numFmtId="188" fontId="70" fillId="2" borderId="84" xfId="5"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8" fontId="69" fillId="2" borderId="16" xfId="5"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80" fontId="72" fillId="0" borderId="7" xfId="5" applyNumberFormat="1" applyFont="1" applyFill="1" applyBorder="1" applyAlignment="1" applyProtection="1">
      <alignment vertical="center"/>
      <protection locked="0" hidden="1"/>
    </xf>
    <xf numFmtId="188"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80" fontId="121" fillId="0" borderId="7" xfId="5"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80" fontId="76" fillId="0" borderId="14" xfId="5" applyNumberFormat="1" applyFont="1" applyFill="1" applyBorder="1" applyAlignment="1" applyProtection="1">
      <alignment vertical="center"/>
      <protection locked="0"/>
    </xf>
    <xf numFmtId="188" fontId="87" fillId="2" borderId="7" xfId="0" applyNumberFormat="1" applyFont="1" applyFill="1" applyBorder="1" applyAlignment="1" applyProtection="1">
      <alignment vertical="center"/>
    </xf>
    <xf numFmtId="188" fontId="87" fillId="2" borderId="7" xfId="0" applyNumberFormat="1" applyFont="1" applyFill="1" applyBorder="1" applyAlignment="1" applyProtection="1">
      <alignment horizontal="center" vertical="center"/>
    </xf>
    <xf numFmtId="188" fontId="87" fillId="2" borderId="8" xfId="0" applyNumberFormat="1" applyFont="1" applyFill="1" applyBorder="1" applyAlignment="1" applyProtection="1">
      <alignment vertical="center"/>
    </xf>
    <xf numFmtId="188" fontId="87"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87" fillId="2" borderId="94" xfId="0" applyFont="1" applyFill="1" applyBorder="1" applyAlignment="1" applyProtection="1">
      <alignment horizontal="left" vertical="center"/>
    </xf>
    <xf numFmtId="0" fontId="76" fillId="2" borderId="117" xfId="0" applyFont="1" applyFill="1" applyBorder="1" applyAlignment="1" applyProtection="1">
      <alignment vertical="center"/>
    </xf>
    <xf numFmtId="0" fontId="76" fillId="2" borderId="23" xfId="0" applyFont="1" applyFill="1" applyBorder="1" applyProtection="1">
      <alignment vertical="center"/>
    </xf>
    <xf numFmtId="181" fontId="87" fillId="2" borderId="99"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81" fontId="76" fillId="2" borderId="16" xfId="0" applyNumberFormat="1" applyFont="1" applyFill="1" applyBorder="1" applyProtection="1">
      <alignment vertical="center"/>
    </xf>
    <xf numFmtId="188"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181" fontId="87" fillId="15" borderId="8" xfId="0" applyNumberFormat="1" applyFont="1" applyFill="1" applyBorder="1" applyAlignment="1" applyProtection="1">
      <alignment horizontal="center" vertical="center"/>
      <protection locked="0"/>
    </xf>
    <xf numFmtId="181"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8"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8"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8" fontId="76" fillId="2" borderId="7" xfId="0" applyNumberFormat="1" applyFont="1" applyFill="1" applyBorder="1" applyAlignment="1" applyProtection="1">
      <alignment horizontal="center" vertical="center" wrapText="1"/>
    </xf>
    <xf numFmtId="188" fontId="76" fillId="0" borderId="16" xfId="0" applyNumberFormat="1" applyFont="1" applyFill="1" applyBorder="1" applyAlignment="1" applyProtection="1">
      <alignment horizontal="center" vertical="center" wrapText="1"/>
      <protection locked="0"/>
    </xf>
    <xf numFmtId="188" fontId="76" fillId="2" borderId="16" xfId="0" applyNumberFormat="1" applyFont="1" applyFill="1" applyBorder="1" applyAlignment="1" applyProtection="1">
      <alignment horizontal="center" vertical="center" wrapText="1"/>
    </xf>
    <xf numFmtId="188" fontId="76"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6"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6"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6" fillId="2" borderId="8" xfId="0" applyNumberFormat="1" applyFont="1" applyFill="1" applyBorder="1" applyAlignment="1" applyProtection="1">
      <alignment horizontal="center" vertical="center" wrapText="1"/>
    </xf>
    <xf numFmtId="188"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8" fontId="76"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5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6"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6" fontId="131" fillId="0" borderId="7" xfId="11" applyNumberFormat="1" applyFont="1" applyFill="1" applyBorder="1" applyAlignment="1">
      <alignment horizontal="left" vertical="center"/>
    </xf>
    <xf numFmtId="196"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91"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91"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1"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8" fillId="0" borderId="0" xfId="16" applyFont="1">
      <alignment vertical="center"/>
    </xf>
    <xf numFmtId="0" fontId="140" fillId="0" borderId="0" xfId="16" applyFont="1" applyProtection="1">
      <alignment vertical="center"/>
    </xf>
    <xf numFmtId="0" fontId="28" fillId="0" borderId="0" xfId="16" applyFont="1" applyProtection="1">
      <alignment vertical="center"/>
    </xf>
    <xf numFmtId="0" fontId="140" fillId="0" borderId="0" xfId="16" applyFont="1" applyAlignment="1" applyProtection="1">
      <alignment horizontal="center" vertical="center"/>
    </xf>
    <xf numFmtId="0" fontId="78"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8"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5"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7"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8"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23" fillId="0" borderId="0" xfId="0" quotePrefix="1" applyFont="1" applyFill="1" applyAlignment="1">
      <alignment horizontal="left"/>
    </xf>
    <xf numFmtId="0" fontId="69" fillId="15" borderId="86" xfId="0" quotePrefix="1" applyNumberFormat="1" applyFont="1" applyFill="1" applyBorder="1" applyAlignment="1" applyProtection="1">
      <alignment horizontal="center" vertical="center" wrapText="1"/>
      <protection locked="0"/>
    </xf>
    <xf numFmtId="0" fontId="105" fillId="0" borderId="136" xfId="0" quotePrefix="1" applyNumberFormat="1" applyFont="1" applyFill="1" applyBorder="1" applyAlignment="1" applyProtection="1">
      <alignment horizontal="center" vertical="center" wrapText="1"/>
      <protection locked="0"/>
    </xf>
    <xf numFmtId="0" fontId="67" fillId="14" borderId="3" xfId="0" quotePrefix="1" applyNumberFormat="1" applyFont="1" applyFill="1" applyBorder="1" applyAlignment="1" applyProtection="1">
      <alignment horizontal="center" vertical="center" wrapText="1"/>
      <protection locked="0"/>
    </xf>
    <xf numFmtId="0" fontId="67" fillId="14" borderId="4" xfId="0" quotePrefix="1" applyNumberFormat="1" applyFont="1" applyFill="1" applyBorder="1" applyAlignment="1" applyProtection="1">
      <alignment horizontal="center" vertical="center" wrapText="1"/>
      <protection locked="0"/>
    </xf>
    <xf numFmtId="0" fontId="21" fillId="15" borderId="7" xfId="0" quotePrefix="1" applyFont="1" applyFill="1" applyBorder="1" applyAlignment="1" applyProtection="1">
      <alignment horizontal="center" vertical="center"/>
      <protection locked="0"/>
    </xf>
    <xf numFmtId="0" fontId="53" fillId="15" borderId="7" xfId="0" quotePrefix="1" applyFont="1" applyFill="1" applyBorder="1" applyAlignment="1" applyProtection="1">
      <alignment horizontal="center" vertical="center"/>
      <protection locked="0"/>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8" fillId="0" borderId="27"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2" xfId="16" applyFont="1" applyFill="1" applyBorder="1" applyAlignment="1" applyProtection="1">
      <alignment horizontal="left" vertical="center" wrapText="1"/>
    </xf>
    <xf numFmtId="0" fontId="68" fillId="0" borderId="27" xfId="16" applyFont="1" applyFill="1" applyBorder="1" applyAlignment="1" applyProtection="1">
      <alignment vertical="center" wrapText="1"/>
    </xf>
    <xf numFmtId="0" fontId="68"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30"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5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18" fillId="0" borderId="53"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21" fillId="0" borderId="13" xfId="0" applyFont="1" applyFill="1" applyBorder="1" applyAlignment="1">
      <alignment horizontal="left" vertical="center" wrapText="1"/>
    </xf>
    <xf numFmtId="0" fontId="21" fillId="0" borderId="15"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94" fillId="2" borderId="132" xfId="0" applyFont="1" applyFill="1" applyBorder="1" applyAlignment="1" applyProtection="1">
      <alignment horizontal="center" vertical="center"/>
    </xf>
    <xf numFmtId="0" fontId="94" fillId="2" borderId="128" xfId="0" applyFont="1" applyFill="1" applyBorder="1" applyAlignment="1" applyProtection="1">
      <alignment horizontal="center" vertical="center"/>
    </xf>
    <xf numFmtId="0" fontId="94" fillId="2" borderId="130"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4" fillId="2" borderId="93" xfId="0" applyFont="1" applyFill="1" applyBorder="1" applyAlignment="1" applyProtection="1">
      <alignment horizontal="left" vertical="center" wrapText="1"/>
    </xf>
    <xf numFmtId="0" fontId="64" fillId="2" borderId="52"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114"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0" fontId="76" fillId="3" borderId="12"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0" borderId="12" xfId="0" applyFont="1" applyBorder="1" applyAlignment="1" applyProtection="1">
      <alignment horizontal="center" vertical="center"/>
      <protection locked="0"/>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67" fillId="2" borderId="7" xfId="0" applyFont="1" applyFill="1" applyBorder="1" applyAlignment="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69" fillId="2" borderId="27"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86" fillId="0" borderId="14" xfId="0" applyFont="1" applyFill="1" applyBorder="1" applyAlignment="1" applyProtection="1">
      <alignment horizontal="center" vertical="center" wrapText="1"/>
      <protection locked="0"/>
    </xf>
    <xf numFmtId="0" fontId="70"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14"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76"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7" xfId="0" applyFont="1" applyFill="1" applyBorder="1" applyAlignment="1" applyProtection="1">
      <alignment horizontal="center" vertical="center" wrapText="1"/>
    </xf>
    <xf numFmtId="0" fontId="69" fillId="2" borderId="129"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80"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182" fontId="69" fillId="2" borderId="7" xfId="0" applyNumberFormat="1" applyFont="1" applyFill="1" applyBorder="1" applyAlignment="1" applyProtection="1">
      <alignment horizontal="center" vertical="center"/>
    </xf>
    <xf numFmtId="182" fontId="70"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0" borderId="8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5">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581025</xdr:colOff>
      <xdr:row>19</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39625" cy="3286125"/>
        </a:xfrm>
        <a:prstGeom prst="rect">
          <a:avLst/>
        </a:prstGeom>
      </xdr:spPr>
    </xdr:pic>
    <xdr:clientData/>
  </xdr:twoCellAnchor>
  <xdr:twoCellAnchor editAs="oneCell">
    <xdr:from>
      <xdr:col>0</xdr:col>
      <xdr:colOff>152400</xdr:colOff>
      <xdr:row>19</xdr:row>
      <xdr:rowOff>104775</xdr:rowOff>
    </xdr:from>
    <xdr:to>
      <xdr:col>17</xdr:col>
      <xdr:colOff>314325</xdr:colOff>
      <xdr:row>50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 y="3362325"/>
          <a:ext cx="11820525" cy="5229225"/>
        </a:xfrm>
        <a:prstGeom prst="rect">
          <a:avLst/>
        </a:prstGeom>
      </xdr:spPr>
    </xdr:pic>
    <xdr:clientData/>
  </xdr:twoCellAnchor>
  <xdr:twoCellAnchor editAs="oneCell">
    <xdr:from>
      <xdr:col>0</xdr:col>
      <xdr:colOff>104775</xdr:colOff>
      <xdr:row>50</xdr:row>
      <xdr:rowOff>152400</xdr:rowOff>
    </xdr:from>
    <xdr:to>
      <xdr:col>17</xdr:col>
      <xdr:colOff>266700</xdr:colOff>
      <xdr:row>58</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8724900"/>
          <a:ext cx="11820525" cy="1238250"/>
        </a:xfrm>
        <a:prstGeom prst="rect">
          <a:avLst/>
        </a:prstGeom>
      </xdr:spPr>
    </xdr:pic>
    <xdr:clientData/>
  </xdr:twoCellAnchor>
  <xdr:twoCellAnchor editAs="oneCell">
    <xdr:from>
      <xdr:col>0</xdr:col>
      <xdr:colOff>123825</xdr:colOff>
      <xdr:row>58</xdr:row>
      <xdr:rowOff>123825</xdr:rowOff>
    </xdr:from>
    <xdr:to>
      <xdr:col>17</xdr:col>
      <xdr:colOff>361950</xdr:colOff>
      <xdr:row>74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25" y="10067925"/>
          <a:ext cx="11896725" cy="2724150"/>
        </a:xfrm>
        <a:prstGeom prst="rect">
          <a:avLst/>
        </a:prstGeom>
      </xdr:spPr>
    </xdr:pic>
    <xdr:clientData/>
  </xdr:twoCellAnchor>
  <xdr:twoCellAnchor editAs="oneCell">
    <xdr:from>
      <xdr:col>0</xdr:col>
      <xdr:colOff>76200</xdr:colOff>
      <xdr:row>74</xdr:row>
      <xdr:rowOff>142875</xdr:rowOff>
    </xdr:from>
    <xdr:to>
      <xdr:col>17</xdr:col>
      <xdr:colOff>285750</xdr:colOff>
      <xdr:row>82</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12830175"/>
          <a:ext cx="11868150" cy="1352550"/>
        </a:xfrm>
        <a:prstGeom prst="rect">
          <a:avLst/>
        </a:prstGeom>
      </xdr:spPr>
    </xdr:pic>
    <xdr:clientData/>
  </xdr:twoCellAnchor>
  <xdr:twoCellAnchor editAs="oneCell">
    <xdr:from>
      <xdr:col>0</xdr:col>
      <xdr:colOff>123825</xdr:colOff>
      <xdr:row>82</xdr:row>
      <xdr:rowOff>133350</xdr:rowOff>
    </xdr:from>
    <xdr:to>
      <xdr:col>17</xdr:col>
      <xdr:colOff>247650</xdr:colOff>
      <xdr:row>92</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825" y="14192250"/>
          <a:ext cx="11782425" cy="1695450"/>
        </a:xfrm>
        <a:prstGeom prst="rect">
          <a:avLst/>
        </a:prstGeom>
      </xdr:spPr>
    </xdr:pic>
    <xdr:clientData/>
  </xdr:twoCellAnchor>
  <xdr:twoCellAnchor editAs="oneCell">
    <xdr:from>
      <xdr:col>18</xdr:col>
      <xdr:colOff>57150</xdr:colOff>
      <xdr:row>0</xdr:row>
      <xdr:rowOff>0</xdr:rowOff>
    </xdr:from>
    <xdr:to>
      <xdr:col>36</xdr:col>
      <xdr:colOff>247650</xdr:colOff>
      <xdr:row>35</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12401550" y="0"/>
          <a:ext cx="12534900" cy="6000750"/>
        </a:xfrm>
        <a:prstGeom prst="rect">
          <a:avLst/>
        </a:prstGeom>
      </xdr:spPr>
    </xdr:pic>
    <xdr:clientData/>
  </xdr:twoCellAnchor>
  <xdr:twoCellAnchor editAs="oneCell">
    <xdr:from>
      <xdr:col>18</xdr:col>
      <xdr:colOff>0</xdr:colOff>
      <xdr:row>35</xdr:row>
      <xdr:rowOff>95250</xdr:rowOff>
    </xdr:from>
    <xdr:to>
      <xdr:col>36</xdr:col>
      <xdr:colOff>152400</xdr:colOff>
      <xdr:row>76</xdr:row>
      <xdr:rowOff>104775</xdr:rowOff>
    </xdr:to>
    <xdr:pic>
      <xdr:nvPicPr>
        <xdr:cNvPr id="9" name="图片 8"/>
        <xdr:cNvPicPr>
          <a:picLocks noChangeAspect="1"/>
        </xdr:cNvPicPr>
      </xdr:nvPicPr>
      <xdr:blipFill>
        <a:blip xmlns:r="http://schemas.openxmlformats.org/officeDocument/2006/relationships" r:embed="rId8"/>
        <a:stretch>
          <a:fillRect/>
        </a:stretch>
      </xdr:blipFill>
      <xdr:spPr>
        <a:xfrm>
          <a:off x="12344400" y="6096000"/>
          <a:ext cx="12496800" cy="7038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447675</xdr:colOff>
      <xdr:row>19</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06275" cy="3333750"/>
        </a:xfrm>
        <a:prstGeom prst="rect">
          <a:avLst/>
        </a:prstGeom>
      </xdr:spPr>
    </xdr:pic>
    <xdr:clientData/>
  </xdr:twoCellAnchor>
  <xdr:twoCellAnchor editAs="oneCell">
    <xdr:from>
      <xdr:col>0</xdr:col>
      <xdr:colOff>104775</xdr:colOff>
      <xdr:row>19</xdr:row>
      <xdr:rowOff>142875</xdr:rowOff>
    </xdr:from>
    <xdr:to>
      <xdr:col>17</xdr:col>
      <xdr:colOff>209550</xdr:colOff>
      <xdr:row>50</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104775" y="3400425"/>
          <a:ext cx="11763375" cy="5276850"/>
        </a:xfrm>
        <a:prstGeom prst="rect">
          <a:avLst/>
        </a:prstGeom>
      </xdr:spPr>
    </xdr:pic>
    <xdr:clientData/>
  </xdr:twoCellAnchor>
  <xdr:twoCellAnchor editAs="oneCell">
    <xdr:from>
      <xdr:col>0</xdr:col>
      <xdr:colOff>85725</xdr:colOff>
      <xdr:row>50</xdr:row>
      <xdr:rowOff>152400</xdr:rowOff>
    </xdr:from>
    <xdr:to>
      <xdr:col>17</xdr:col>
      <xdr:colOff>266700</xdr:colOff>
      <xdr:row>56</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85725" y="8724900"/>
          <a:ext cx="11839575" cy="904875"/>
        </a:xfrm>
        <a:prstGeom prst="rect">
          <a:avLst/>
        </a:prstGeom>
      </xdr:spPr>
    </xdr:pic>
    <xdr:clientData/>
  </xdr:twoCellAnchor>
  <xdr:twoCellAnchor editAs="oneCell">
    <xdr:from>
      <xdr:col>0</xdr:col>
      <xdr:colOff>123825</xdr:colOff>
      <xdr:row>56</xdr:row>
      <xdr:rowOff>142875</xdr:rowOff>
    </xdr:from>
    <xdr:to>
      <xdr:col>17</xdr:col>
      <xdr:colOff>295275</xdr:colOff>
      <xdr:row>70</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25" y="9744075"/>
          <a:ext cx="11830050" cy="2314575"/>
        </a:xfrm>
        <a:prstGeom prst="rect">
          <a:avLst/>
        </a:prstGeom>
      </xdr:spPr>
    </xdr:pic>
    <xdr:clientData/>
  </xdr:twoCellAnchor>
  <xdr:twoCellAnchor editAs="oneCell">
    <xdr:from>
      <xdr:col>0</xdr:col>
      <xdr:colOff>95250</xdr:colOff>
      <xdr:row>70</xdr:row>
      <xdr:rowOff>152400</xdr:rowOff>
    </xdr:from>
    <xdr:to>
      <xdr:col>17</xdr:col>
      <xdr:colOff>295275</xdr:colOff>
      <xdr:row>82</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0" y="12153900"/>
          <a:ext cx="11858625" cy="1962150"/>
        </a:xfrm>
        <a:prstGeom prst="rect">
          <a:avLst/>
        </a:prstGeom>
      </xdr:spPr>
    </xdr:pic>
    <xdr:clientData/>
  </xdr:twoCellAnchor>
  <xdr:twoCellAnchor editAs="oneCell">
    <xdr:from>
      <xdr:col>0</xdr:col>
      <xdr:colOff>104775</xdr:colOff>
      <xdr:row>82</xdr:row>
      <xdr:rowOff>123825</xdr:rowOff>
    </xdr:from>
    <xdr:to>
      <xdr:col>17</xdr:col>
      <xdr:colOff>228600</xdr:colOff>
      <xdr:row>102</xdr:row>
      <xdr:rowOff>142875</xdr:rowOff>
    </xdr:to>
    <xdr:pic>
      <xdr:nvPicPr>
        <xdr:cNvPr id="7" name="图片 6"/>
        <xdr:cNvPicPr>
          <a:picLocks noChangeAspect="1"/>
        </xdr:cNvPicPr>
      </xdr:nvPicPr>
      <xdr:blipFill>
        <a:blip xmlns:r="http://schemas.openxmlformats.org/officeDocument/2006/relationships" r:embed="rId6"/>
        <a:stretch>
          <a:fillRect/>
        </a:stretch>
      </xdr:blipFill>
      <xdr:spPr>
        <a:xfrm>
          <a:off x="104775" y="14182725"/>
          <a:ext cx="11782425" cy="3448050"/>
        </a:xfrm>
        <a:prstGeom prst="rect">
          <a:avLst/>
        </a:prstGeom>
      </xdr:spPr>
    </xdr:pic>
    <xdr:clientData/>
  </xdr:twoCellAnchor>
  <xdr:twoCellAnchor editAs="oneCell">
    <xdr:from>
      <xdr:col>0</xdr:col>
      <xdr:colOff>66675</xdr:colOff>
      <xdr:row>102</xdr:row>
      <xdr:rowOff>152400</xdr:rowOff>
    </xdr:from>
    <xdr:to>
      <xdr:col>17</xdr:col>
      <xdr:colOff>257175</xdr:colOff>
      <xdr:row>119</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66675" y="17640300"/>
          <a:ext cx="11849100" cy="2781300"/>
        </a:xfrm>
        <a:prstGeom prst="rect">
          <a:avLst/>
        </a:prstGeom>
      </xdr:spPr>
    </xdr:pic>
    <xdr:clientData/>
  </xdr:twoCellAnchor>
  <xdr:twoCellAnchor editAs="oneCell">
    <xdr:from>
      <xdr:col>18</xdr:col>
      <xdr:colOff>9525</xdr:colOff>
      <xdr:row>0</xdr:row>
      <xdr:rowOff>66675</xdr:rowOff>
    </xdr:from>
    <xdr:to>
      <xdr:col>36</xdr:col>
      <xdr:colOff>219075</xdr:colOff>
      <xdr:row>36</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2353925" y="66675"/>
          <a:ext cx="12553950" cy="6229350"/>
        </a:xfrm>
        <a:prstGeom prst="rect">
          <a:avLst/>
        </a:prstGeom>
      </xdr:spPr>
    </xdr:pic>
    <xdr:clientData/>
  </xdr:twoCellAnchor>
  <xdr:twoCellAnchor editAs="oneCell">
    <xdr:from>
      <xdr:col>18</xdr:col>
      <xdr:colOff>38100</xdr:colOff>
      <xdr:row>37</xdr:row>
      <xdr:rowOff>76200</xdr:rowOff>
    </xdr:from>
    <xdr:to>
      <xdr:col>36</xdr:col>
      <xdr:colOff>142875</xdr:colOff>
      <xdr:row>78</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00" y="6419850"/>
          <a:ext cx="12449175" cy="710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419100</xdr:colOff>
      <xdr:row>10</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77700" cy="1876425"/>
        </a:xfrm>
        <a:prstGeom prst="rect">
          <a:avLst/>
        </a:prstGeom>
      </xdr:spPr>
    </xdr:pic>
    <xdr:clientData/>
  </xdr:twoCellAnchor>
  <xdr:twoCellAnchor editAs="oneCell">
    <xdr:from>
      <xdr:col>0</xdr:col>
      <xdr:colOff>200025</xdr:colOff>
      <xdr:row>11</xdr:row>
      <xdr:rowOff>57150</xdr:rowOff>
    </xdr:from>
    <xdr:to>
      <xdr:col>17</xdr:col>
      <xdr:colOff>361950</xdr:colOff>
      <xdr:row>36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5" y="1943100"/>
          <a:ext cx="11820525" cy="4305300"/>
        </a:xfrm>
        <a:prstGeom prst="rect">
          <a:avLst/>
        </a:prstGeom>
      </xdr:spPr>
    </xdr:pic>
    <xdr:clientData/>
  </xdr:twoCellAnchor>
  <xdr:twoCellAnchor editAs="oneCell">
    <xdr:from>
      <xdr:col>0</xdr:col>
      <xdr:colOff>114300</xdr:colOff>
      <xdr:row>36</xdr:row>
      <xdr:rowOff>133350</xdr:rowOff>
    </xdr:from>
    <xdr:to>
      <xdr:col>17</xdr:col>
      <xdr:colOff>247650</xdr:colOff>
      <xdr:row>42</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6305550"/>
          <a:ext cx="11791950" cy="1028700"/>
        </a:xfrm>
        <a:prstGeom prst="rect">
          <a:avLst/>
        </a:prstGeom>
      </xdr:spPr>
    </xdr:pic>
    <xdr:clientData/>
  </xdr:twoCellAnchor>
  <xdr:twoCellAnchor editAs="oneCell">
    <xdr:from>
      <xdr:col>0</xdr:col>
      <xdr:colOff>142875</xdr:colOff>
      <xdr:row>42</xdr:row>
      <xdr:rowOff>133350</xdr:rowOff>
    </xdr:from>
    <xdr:to>
      <xdr:col>17</xdr:col>
      <xdr:colOff>314325</xdr:colOff>
      <xdr:row>76</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7334250"/>
          <a:ext cx="11830050" cy="5838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419100</xdr:colOff>
      <xdr:row>34</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77700" cy="5953125"/>
        </a:xfrm>
        <a:prstGeom prst="rect">
          <a:avLst/>
        </a:prstGeom>
      </xdr:spPr>
    </xdr:pic>
    <xdr:clientData/>
  </xdr:twoCellAnchor>
  <xdr:twoCellAnchor editAs="oneCell">
    <xdr:from>
      <xdr:col>18</xdr:col>
      <xdr:colOff>123825</xdr:colOff>
      <xdr:row>0</xdr:row>
      <xdr:rowOff>635</xdr:rowOff>
    </xdr:from>
    <xdr:to>
      <xdr:col>36</xdr:col>
      <xdr:colOff>285750</xdr:colOff>
      <xdr:row>37</xdr:row>
      <xdr:rowOff>19685</xdr:rowOff>
    </xdr:to>
    <xdr:pic>
      <xdr:nvPicPr>
        <xdr:cNvPr id="3" name="图片 2"/>
        <xdr:cNvPicPr>
          <a:picLocks noChangeAspect="1"/>
        </xdr:cNvPicPr>
      </xdr:nvPicPr>
      <xdr:blipFill>
        <a:blip xmlns:r="http://schemas.openxmlformats.org/officeDocument/2006/relationships" r:embed="rId2"/>
        <a:stretch>
          <a:fillRect/>
        </a:stretch>
      </xdr:blipFill>
      <xdr:spPr>
        <a:xfrm>
          <a:off x="12468225" y="635"/>
          <a:ext cx="12506325" cy="6362700"/>
        </a:xfrm>
        <a:prstGeom prst="rect">
          <a:avLst/>
        </a:prstGeom>
      </xdr:spPr>
    </xdr:pic>
    <xdr:clientData/>
  </xdr:twoCellAnchor>
  <xdr:twoCellAnchor editAs="oneCell">
    <xdr:from>
      <xdr:col>18</xdr:col>
      <xdr:colOff>171450</xdr:colOff>
      <xdr:row>38</xdr:row>
      <xdr:rowOff>0</xdr:rowOff>
    </xdr:from>
    <xdr:to>
      <xdr:col>36</xdr:col>
      <xdr:colOff>238125</xdr:colOff>
      <xdr:row>79</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12515850" y="6515100"/>
          <a:ext cx="12411075" cy="7086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190500</xdr:colOff>
      <xdr:row>41</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534900" cy="7134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123825</xdr:colOff>
      <xdr:row>36</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468225" cy="6200775"/>
        </a:xfrm>
        <a:prstGeom prst="rect">
          <a:avLst/>
        </a:prstGeom>
      </xdr:spPr>
    </xdr:pic>
    <xdr:clientData/>
  </xdr:twoCellAnchor>
  <xdr:twoCellAnchor editAs="oneCell">
    <xdr:from>
      <xdr:col>0</xdr:col>
      <xdr:colOff>0</xdr:colOff>
      <xdr:row>37</xdr:row>
      <xdr:rowOff>0</xdr:rowOff>
    </xdr:from>
    <xdr:to>
      <xdr:col>18</xdr:col>
      <xdr:colOff>161925</xdr:colOff>
      <xdr:row>78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2506325" cy="7077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9" customWidth="1"/>
    <col min="2" max="2" width="81" style="3470" customWidth="1"/>
    <col min="3" max="16384" width="9" style="3471"/>
  </cols>
  <sheetData>
    <row r="1" spans="1:2" s="3466" customFormat="1" ht="15.75">
      <c r="A1" s="3472" t="s">
        <v>0</v>
      </c>
      <c r="B1" s="3473" t="s">
        <v>1</v>
      </c>
    </row>
    <row r="2" spans="1:2" s="3467" customFormat="1">
      <c r="A2" s="3474" t="s">
        <v>2</v>
      </c>
      <c r="B2" s="3475" t="str">
        <f>'预评函-封皮'!B37:I37</f>
        <v>北京市房地产抵押价值预评估</v>
      </c>
    </row>
    <row r="3" spans="1:2" s="3468" customFormat="1">
      <c r="A3" s="3476" t="s">
        <v>3</v>
      </c>
      <c r="B3" s="3477">
        <f>'预评函-封皮'!B40</f>
        <v>0</v>
      </c>
    </row>
    <row r="4" spans="1:2" s="3468" customFormat="1">
      <c r="A4" s="3476" t="s">
        <v>4</v>
      </c>
      <c r="B4" s="3477" t="str">
        <f ca="1">'预评函-封皮'!B46</f>
        <v>吴薇（注册号：1419970001)、郑燚（注册号：1120070131)</v>
      </c>
    </row>
    <row r="5" spans="1:2" s="3466" customFormat="1">
      <c r="A5" s="3478" t="s">
        <v>5</v>
      </c>
      <c r="B5" s="3479" t="str">
        <f>'预评函-封皮'!B49</f>
        <v>康正预评字号</v>
      </c>
    </row>
    <row r="6" spans="1:2" s="3467" customFormat="1">
      <c r="A6" s="3474" t="s">
        <v>6</v>
      </c>
      <c r="B6" s="3475" t="str">
        <f>'预评函-1'!A4</f>
        <v>受贵公司委托，我公司对北京市房地产抵押价值进行了预评估。</v>
      </c>
    </row>
    <row r="7" spans="1:2" s="3468" customFormat="1">
      <c r="A7" s="3476" t="s">
        <v>7</v>
      </c>
      <c r="B7" s="3477" t="str">
        <f>'预评函-1'!A7</f>
        <v>估价对象为北京市房地产，为所有。根据《国有土地使用证》[]，估价对象（分摊）出让国有建设用地使用权面积为0平方米，建筑面积为30.6平方米。</v>
      </c>
    </row>
    <row r="8" spans="1:2" s="3468" customFormat="1">
      <c r="A8" s="3476" t="s">
        <v>8</v>
      </c>
      <c r="B8" s="3477" t="str">
        <f>'预评函-1'!A8</f>
        <v>估价对象简述。项目推广名，项目类型（用途），估价对象分布，各用途面积明细情况：XX用途建筑面积XX平方米，XX用途建筑面积XX平方米，……。复杂面积清单需设‘附表’列示：抵押物清单详见附表</v>
      </c>
    </row>
    <row r="9" spans="1:2" s="3468" customFormat="1">
      <c r="A9" s="3476" t="s">
        <v>9</v>
      </c>
      <c r="B9" s="3477" t="str">
        <f>'预评函-1'!A10</f>
        <v>估价对象为北京市房地产,属开发建设的，该项目尚在开发建设中。根据《国有土地使用证》[]，估价对象（分摊）出让国有建设用地使用权面积为0平方米，规划建筑面积为30.6平方米。</v>
      </c>
    </row>
    <row r="10" spans="1:2" s="3468" customFormat="1">
      <c r="A10" s="3476" t="s">
        <v>10</v>
      </c>
      <c r="B10" s="34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8" customFormat="1">
      <c r="A11" s="3476" t="s">
        <v>11</v>
      </c>
      <c r="B11" s="34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8" customFormat="1">
      <c r="A12" s="3476" t="s">
        <v>12</v>
      </c>
      <c r="B12" s="3477" t="str">
        <f>'预评函-1'!A15</f>
        <v>2025年9月11日</v>
      </c>
    </row>
    <row r="13" spans="1:2" s="3468" customFormat="1">
      <c r="A13" s="3476" t="s">
        <v>13</v>
      </c>
      <c r="B13" s="3477"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s="3468" customFormat="1">
      <c r="A14" s="3476" t="s">
        <v>14</v>
      </c>
      <c r="B14" s="34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8" customFormat="1">
      <c r="A15" s="3476" t="s">
        <v>15</v>
      </c>
      <c r="B15" s="3477" t="str">
        <f>'预评函-1'!A20</f>
        <v>本次估价的“房地产抵押价值”是指估价对象在价值时点的“房地产价值”扣减估价师于价值时点所知悉的法定优先受偿款后的余额。</v>
      </c>
    </row>
    <row r="16" spans="1:2" s="3468" customFormat="1">
      <c r="A16" s="3476" t="s">
        <v>16</v>
      </c>
      <c r="B16" s="34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8" customFormat="1">
      <c r="A17" s="3476" t="s">
        <v>17</v>
      </c>
      <c r="B17" s="34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6" customFormat="1">
      <c r="A18" s="3478" t="s">
        <v>18</v>
      </c>
      <c r="B18" s="3479" t="str">
        <f>'预评函-1'!A24</f>
        <v>本次评估采用的主估价方法为比较法和收益法。</v>
      </c>
    </row>
    <row r="19" spans="1:2" s="3467" customFormat="1">
      <c r="A19" s="3474" t="s">
        <v>19</v>
      </c>
      <c r="B19" s="34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8" customFormat="1">
      <c r="A20" s="3476" t="s">
        <v>20</v>
      </c>
      <c r="B20" s="3477" t="e">
        <f ca="1">'预评函-2'!D5</f>
        <v>#REF!</v>
      </c>
    </row>
    <row r="21" spans="1:2" s="3468" customFormat="1">
      <c r="A21" s="3476" t="s">
        <v>21</v>
      </c>
      <c r="B21" s="3477" t="e">
        <f ca="1">'预评函-2'!D7</f>
        <v>#REF!</v>
      </c>
    </row>
    <row r="22" spans="1:2" s="3468" customFormat="1">
      <c r="A22" s="3476" t="s">
        <v>22</v>
      </c>
      <c r="B22" s="3477" t="e">
        <f ca="1">'预评函-2'!D6</f>
        <v>#REF!</v>
      </c>
    </row>
    <row r="23" spans="1:2" s="3468" customFormat="1">
      <c r="A23" s="3476" t="s">
        <v>23</v>
      </c>
      <c r="B23" s="3477" t="str">
        <f>'预评函-2'!B8</f>
        <v>2.估价师知悉的法定优先受偿款</v>
      </c>
    </row>
    <row r="24" spans="1:2" s="3468" customFormat="1">
      <c r="A24" s="3476" t="s">
        <v>24</v>
      </c>
      <c r="B24" s="3477">
        <f>'预评函-2'!D8</f>
        <v>0</v>
      </c>
    </row>
    <row r="25" spans="1:2" s="3468" customFormat="1">
      <c r="A25" s="3476" t="s">
        <v>25</v>
      </c>
      <c r="B25" s="3477" t="str">
        <f>'预评函-2'!D9</f>
        <v>零元整</v>
      </c>
    </row>
    <row r="26" spans="1:2" s="3468" customFormat="1">
      <c r="A26" s="3476" t="s">
        <v>26</v>
      </c>
      <c r="B26" s="3477">
        <f>'预评函-2'!D10</f>
        <v>0</v>
      </c>
    </row>
    <row r="27" spans="1:2" s="3468" customFormat="1">
      <c r="A27" s="3476" t="s">
        <v>27</v>
      </c>
      <c r="B27" s="3477">
        <f>'预评函-2'!D11</f>
        <v>0</v>
      </c>
    </row>
    <row r="28" spans="1:2" s="3468" customFormat="1">
      <c r="A28" s="3476" t="s">
        <v>28</v>
      </c>
      <c r="B28" s="3477">
        <f>'预评函-2'!D12</f>
        <v>0</v>
      </c>
    </row>
    <row r="29" spans="1:2" s="3468" customFormat="1">
      <c r="A29" s="3476" t="s">
        <v>29</v>
      </c>
      <c r="B29" s="3477" t="str">
        <f>'预评函-2'!B13</f>
        <v>3.房地产抵押价值</v>
      </c>
    </row>
    <row r="30" spans="1:2" s="3468" customFormat="1">
      <c r="A30" s="3476" t="s">
        <v>30</v>
      </c>
      <c r="B30" s="3477" t="e">
        <f ca="1">'预评函-2'!D13</f>
        <v>#REF!</v>
      </c>
    </row>
    <row r="31" spans="1:2" s="3468" customFormat="1">
      <c r="A31" s="3476" t="s">
        <v>31</v>
      </c>
      <c r="B31" s="3477" t="e">
        <f ca="1">'预评函-2'!D15</f>
        <v>#REF!</v>
      </c>
    </row>
    <row r="32" spans="1:2" s="3468" customFormat="1">
      <c r="A32" s="3476" t="s">
        <v>32</v>
      </c>
      <c r="B32" s="3477" t="e">
        <f ca="1">'预评函-2'!D14</f>
        <v>#REF!</v>
      </c>
    </row>
    <row r="33" spans="1:2" s="3468" customFormat="1">
      <c r="A33" s="3476" t="s">
        <v>33</v>
      </c>
      <c r="B33" s="3477" t="str">
        <f>'预评函-2'!B16</f>
        <v>——</v>
      </c>
    </row>
    <row r="34" spans="1:2" s="3468" customFormat="1">
      <c r="A34" s="3476" t="s">
        <v>34</v>
      </c>
      <c r="B34" s="3477" t="str">
        <f>'预评函-2'!D16</f>
        <v>——</v>
      </c>
    </row>
    <row r="35" spans="1:2" s="3468" customFormat="1">
      <c r="A35" s="3476" t="s">
        <v>35</v>
      </c>
      <c r="B35" s="3477" t="str">
        <f>'预评函-2'!D18</f>
        <v>——</v>
      </c>
    </row>
    <row r="36" spans="1:2" s="3468" customFormat="1">
      <c r="A36" s="3476" t="s">
        <v>36</v>
      </c>
      <c r="B36" s="3477" t="e">
        <f>'预评函-2'!D17</f>
        <v>#VALUE!</v>
      </c>
    </row>
    <row r="37" spans="1:2" s="3468" customFormat="1">
      <c r="A37" s="3476" t="s">
        <v>37</v>
      </c>
      <c r="B37" s="3477" t="str">
        <f>'预评函-2'!B19</f>
        <v>——</v>
      </c>
    </row>
    <row r="38" spans="1:2" s="3468" customFormat="1">
      <c r="A38" s="3476" t="s">
        <v>38</v>
      </c>
      <c r="B38" s="3477" t="str">
        <f>'预评函-2'!D19</f>
        <v>——</v>
      </c>
    </row>
    <row r="39" spans="1:2" s="3468" customFormat="1">
      <c r="A39" s="3476" t="s">
        <v>39</v>
      </c>
      <c r="B39" s="3477" t="str">
        <f>'预评函-2'!D21</f>
        <v>——</v>
      </c>
    </row>
    <row r="40" spans="1:2" s="3468" customFormat="1">
      <c r="A40" s="3476" t="s">
        <v>40</v>
      </c>
      <c r="B40" s="3477" t="e">
        <f>'预评函-2'!D20</f>
        <v>#VALUE!</v>
      </c>
    </row>
    <row r="41" spans="1:2" s="3468" customFormat="1">
      <c r="A41" s="3476" t="s">
        <v>41</v>
      </c>
      <c r="B41" s="3477" t="str">
        <f>'预评函-3'!A4</f>
        <v>北京市房地产</v>
      </c>
    </row>
    <row r="42" spans="1:2" s="3468" customFormat="1">
      <c r="A42" s="3476" t="s">
        <v>42</v>
      </c>
      <c r="B42" s="3477" t="str">
        <f>'预评函-3'!B2</f>
        <v>建筑面积</v>
      </c>
    </row>
    <row r="43" spans="1:2" s="3468" customFormat="1">
      <c r="A43" s="3476" t="s">
        <v>43</v>
      </c>
      <c r="B43" s="3477">
        <f>'预评函-3'!B4</f>
        <v>30.6</v>
      </c>
    </row>
    <row r="44" spans="1:2" s="3468" customFormat="1">
      <c r="A44" s="3476" t="s">
        <v>44</v>
      </c>
      <c r="B44" s="3477" t="str">
        <f>'预评函-3'!C2</f>
        <v>(分摊)土地面积</v>
      </c>
    </row>
    <row r="45" spans="1:2" s="3468" customFormat="1">
      <c r="A45" s="3476" t="s">
        <v>45</v>
      </c>
      <c r="B45" s="3477">
        <f>'预评函-3'!C4</f>
        <v>0</v>
      </c>
    </row>
    <row r="46" spans="1:2" s="3468" customFormat="1">
      <c r="A46" s="3476" t="s">
        <v>46</v>
      </c>
      <c r="B46" s="3477" t="str">
        <f>'预评函-3'!D2</f>
        <v>出让国有建设用地使用权价值</v>
      </c>
    </row>
    <row r="47" spans="1:2" s="3468" customFormat="1">
      <c r="A47" s="3476" t="s">
        <v>47</v>
      </c>
      <c r="B47" s="3477" t="e">
        <f ca="1">'预评函-3'!D4</f>
        <v>#REF!</v>
      </c>
    </row>
    <row r="48" spans="1:2" s="3468" customFormat="1">
      <c r="A48" s="3476" t="s">
        <v>48</v>
      </c>
      <c r="B48" s="3477" t="e">
        <f ca="1">'预评函-3'!E4</f>
        <v>#REF!</v>
      </c>
    </row>
    <row r="49" spans="1:2" s="3468" customFormat="1">
      <c r="A49" s="3476" t="s">
        <v>49</v>
      </c>
      <c r="B49" s="3477" t="e">
        <f ca="1">'预评函-3'!D5</f>
        <v>#REF!</v>
      </c>
    </row>
    <row r="50" spans="1:2" s="3468" customFormat="1">
      <c r="A50" s="3476" t="s">
        <v>50</v>
      </c>
      <c r="B50" s="3477" t="str">
        <f>'预评函-3'!F2</f>
        <v>在建建筑物价值</v>
      </c>
    </row>
    <row r="51" spans="1:2" s="3468" customFormat="1">
      <c r="A51" s="3476" t="s">
        <v>51</v>
      </c>
      <c r="B51" s="3477" t="e">
        <f ca="1">'预评函-3'!F4</f>
        <v>#REF!</v>
      </c>
    </row>
    <row r="52" spans="1:2" s="3468" customFormat="1">
      <c r="A52" s="3476" t="s">
        <v>52</v>
      </c>
      <c r="B52" s="3477" t="e">
        <f ca="1">'预评函-3'!G4</f>
        <v>#REF!</v>
      </c>
    </row>
    <row r="53" spans="1:2" s="3468" customFormat="1">
      <c r="A53" s="3476" t="s">
        <v>53</v>
      </c>
      <c r="B53" s="3477" t="e">
        <f ca="1">'预评函-3'!F5</f>
        <v>#REF!</v>
      </c>
    </row>
    <row r="54" spans="1:2" s="3468" customFormat="1">
      <c r="A54" s="3476" t="s">
        <v>54</v>
      </c>
      <c r="B54" s="3477" t="str">
        <f>'预评函-3'!A8</f>
        <v>房地产抵押价值</v>
      </c>
    </row>
    <row r="55" spans="1:2" s="3468" customFormat="1">
      <c r="A55" s="3476" t="s">
        <v>55</v>
      </c>
      <c r="B55" s="3477" t="str">
        <f>'预评函-3'!A10</f>
        <v/>
      </c>
    </row>
    <row r="56" spans="1:2" s="3468" customFormat="1">
      <c r="A56" s="3476" t="s">
        <v>56</v>
      </c>
      <c r="B56" s="3477" t="str">
        <f>'预评函-3'!A12</f>
        <v/>
      </c>
    </row>
    <row r="57" spans="1:2" s="3466" customFormat="1">
      <c r="A57" s="3478" t="s">
        <v>57</v>
      </c>
      <c r="B57" s="3479" t="str">
        <f>'预评函-3'!A6</f>
        <v>估价师知悉的法定优先受偿款</v>
      </c>
    </row>
    <row r="58" spans="1:2" s="3467" customFormat="1">
      <c r="A58" s="3474" t="s">
        <v>58</v>
      </c>
      <c r="B58" s="3475" t="str">
        <f>'预评函-4'!A12</f>
        <v>2.本《评估意见函》仅供金融机构进行内部审核使用，不做其他目的之用。</v>
      </c>
    </row>
    <row r="59" spans="1:2" s="3468" customFormat="1">
      <c r="A59" s="3476" t="s">
        <v>59</v>
      </c>
      <c r="B59" s="3477" t="str">
        <f>'预评函-4'!A13</f>
        <v>3.抵押双方在办理抵押登记手续时，应使用本公司出具的正式《房地产评估报告》，特提醒报告使用者注意。</v>
      </c>
    </row>
    <row r="60" spans="1:2" s="3468" customFormat="1">
      <c r="A60" s="3476" t="s">
        <v>60</v>
      </c>
      <c r="B60" s="3477" t="str">
        <f>'预评函-4'!A14</f>
        <v>4.本次评估估价师所知悉的法定优先受偿款情况说明如下：</v>
      </c>
    </row>
    <row r="61" spans="1:2" s="3468" customFormat="1">
      <c r="A61" s="3476" t="s">
        <v>61</v>
      </c>
      <c r="B61" s="34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8" customFormat="1">
      <c r="A62" s="3476" t="s">
        <v>62</v>
      </c>
      <c r="B62" s="3477" t="str">
        <f>'预评函-4'!A16</f>
        <v>（2）根据《工程款支付情况说明》，截至价值时点，估价对象不存在应付未付工程款项。（只要没有施工方盖章的，均“设定”进行表述）</v>
      </c>
    </row>
    <row r="63" spans="1:2" s="3468" customFormat="1">
      <c r="A63" s="3476" t="s">
        <v>63</v>
      </c>
      <c r="B63" s="34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8" customFormat="1">
      <c r="A64" s="3476" t="s">
        <v>64</v>
      </c>
      <c r="B64" s="3477" t="str">
        <f>'预评函-4'!A18</f>
        <v>故，本次评估不存在估价师知悉的法定优先受偿款</v>
      </c>
    </row>
    <row r="65" spans="1:2" s="3468" customFormat="1">
      <c r="A65" s="3476" t="s">
        <v>65</v>
      </c>
      <c r="B65" s="34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8" customFormat="1">
      <c r="A66" s="3476" t="s">
        <v>66</v>
      </c>
      <c r="B66" s="34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8" customFormat="1">
      <c r="A67" s="3476" t="s">
        <v>67</v>
      </c>
      <c r="B67" s="34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8" customFormat="1">
      <c r="A68" s="3476" t="s">
        <v>68</v>
      </c>
      <c r="B68" s="3477" t="str">
        <f>'预评函-4'!A22</f>
        <v>8.其他需特殊说明事项：无（注意调整序号）</v>
      </c>
    </row>
    <row r="69" spans="1:2" s="3466" customFormat="1">
      <c r="A69" s="3478" t="s">
        <v>69</v>
      </c>
      <c r="B69" s="3480">
        <f>'预评函-4'!C31</f>
        <v>42551</v>
      </c>
    </row>
    <row r="70" spans="1:2">
      <c r="A70" s="3481" t="s">
        <v>70</v>
      </c>
      <c r="B70" s="3482" t="str">
        <f>'预评函-4'!A4</f>
        <v>吴薇</v>
      </c>
    </row>
    <row r="71" spans="1:2">
      <c r="A71" s="3476" t="s">
        <v>71</v>
      </c>
      <c r="B71" s="3477">
        <f ca="1">'预评函-4'!B4</f>
        <v>1419970001</v>
      </c>
    </row>
    <row r="72" spans="1:2">
      <c r="A72" s="3476" t="s">
        <v>72</v>
      </c>
      <c r="B72" s="3483" t="str">
        <f>'预评函-4'!A5</f>
        <v>郑燚</v>
      </c>
    </row>
    <row r="73" spans="1:2" s="3466" customFormat="1">
      <c r="A73" s="3478" t="s">
        <v>73</v>
      </c>
      <c r="B73" s="3479">
        <f ca="1">'预评函-4'!B5</f>
        <v>1120070131</v>
      </c>
    </row>
    <row r="74" spans="1:2">
      <c r="A74" s="3469" t="s">
        <v>74</v>
      </c>
      <c r="B74" s="3470"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30" sqref="B30"/>
    </sheetView>
  </sheetViews>
  <sheetFormatPr defaultColWidth="9" defaultRowHeight="13.5"/>
  <cols>
    <col min="1" max="1" width="13.5" style="3344" customWidth="1"/>
    <col min="2" max="2" width="23.25" style="3345" customWidth="1"/>
    <col min="3" max="3" width="13" style="3346" customWidth="1"/>
    <col min="4" max="4" width="5.75" style="3347" customWidth="1"/>
    <col min="5" max="5" width="7.125" style="3347" customWidth="1"/>
    <col min="6" max="6" width="10.625" style="3347" customWidth="1"/>
    <col min="7" max="7" width="7.5" style="3347" customWidth="1"/>
    <col min="8" max="8" width="11.875" style="3346" customWidth="1"/>
    <col min="9" max="9" width="11.625" style="3346" customWidth="1"/>
    <col min="10" max="10" width="9" style="3346" customWidth="1"/>
    <col min="11" max="19" width="9" style="3347" customWidth="1"/>
    <col min="20" max="23" width="9" style="3346" customWidth="1"/>
    <col min="24" max="28" width="15.125" style="3346" customWidth="1"/>
    <col min="29" max="16384" width="9" style="3345"/>
  </cols>
  <sheetData>
    <row r="1" spans="1:28" s="3343" customFormat="1" ht="40.5">
      <c r="A1" s="3348" t="s">
        <v>206</v>
      </c>
      <c r="B1" s="3349" t="s">
        <v>207</v>
      </c>
      <c r="C1" s="3350" t="s">
        <v>208</v>
      </c>
      <c r="D1" s="3351" t="s">
        <v>209</v>
      </c>
      <c r="E1" s="3352" t="s">
        <v>210</v>
      </c>
      <c r="F1" s="3352" t="s">
        <v>211</v>
      </c>
      <c r="G1" s="3352" t="s">
        <v>212</v>
      </c>
      <c r="H1" s="3352" t="s">
        <v>213</v>
      </c>
      <c r="I1" s="3352" t="s">
        <v>214</v>
      </c>
      <c r="J1" s="3352" t="s">
        <v>215</v>
      </c>
      <c r="K1" s="3352" t="s">
        <v>216</v>
      </c>
      <c r="L1" s="3352" t="s">
        <v>217</v>
      </c>
      <c r="M1" s="3352" t="s">
        <v>218</v>
      </c>
      <c r="N1" s="3352" t="s">
        <v>219</v>
      </c>
      <c r="O1" s="3352" t="s">
        <v>220</v>
      </c>
      <c r="P1" s="3351" t="s">
        <v>221</v>
      </c>
      <c r="Q1" s="3351" t="s">
        <v>222</v>
      </c>
      <c r="R1" s="3352" t="s">
        <v>223</v>
      </c>
      <c r="S1" s="3352" t="s">
        <v>224</v>
      </c>
      <c r="T1" s="3361" t="s">
        <v>225</v>
      </c>
      <c r="U1" s="3352" t="s">
        <v>226</v>
      </c>
      <c r="V1" s="3352" t="s">
        <v>227</v>
      </c>
      <c r="W1" s="3352" t="s">
        <v>228</v>
      </c>
      <c r="X1" s="3352" t="s">
        <v>229</v>
      </c>
      <c r="Y1" s="3352" t="s">
        <v>230</v>
      </c>
      <c r="Z1" s="3352" t="s">
        <v>231</v>
      </c>
      <c r="AA1" s="3352" t="s">
        <v>232</v>
      </c>
      <c r="AB1" s="3352" t="s">
        <v>233</v>
      </c>
    </row>
    <row r="2" spans="1:28">
      <c r="A2" s="3353" t="s">
        <v>124</v>
      </c>
      <c r="B2" s="3353" t="s">
        <v>234</v>
      </c>
      <c r="C2" s="3354" t="s">
        <v>235</v>
      </c>
      <c r="D2" s="3347" t="s">
        <v>236</v>
      </c>
      <c r="E2" s="3347" t="s">
        <v>237</v>
      </c>
      <c r="F2" s="3347" t="s">
        <v>159</v>
      </c>
      <c r="G2" s="3347">
        <v>20</v>
      </c>
      <c r="H2" s="3347" t="s">
        <v>159</v>
      </c>
      <c r="I2" s="3347" t="s">
        <v>238</v>
      </c>
      <c r="J2" s="3347" t="s">
        <v>239</v>
      </c>
      <c r="K2" s="3347" t="s">
        <v>240</v>
      </c>
      <c r="L2" s="3347" t="s">
        <v>240</v>
      </c>
      <c r="M2" s="3347" t="s">
        <v>240</v>
      </c>
      <c r="N2" s="3347" t="s">
        <v>240</v>
      </c>
      <c r="O2" s="3347" t="s">
        <v>240</v>
      </c>
      <c r="P2" s="3347" t="s">
        <v>240</v>
      </c>
      <c r="Q2" s="3347" t="s">
        <v>240</v>
      </c>
      <c r="R2" s="3347" t="s">
        <v>241</v>
      </c>
      <c r="S2" s="3347" t="s">
        <v>240</v>
      </c>
      <c r="T2" s="3347" t="s">
        <v>242</v>
      </c>
      <c r="U2" s="3347" t="s">
        <v>240</v>
      </c>
      <c r="V2" s="3347" t="s">
        <v>243</v>
      </c>
      <c r="W2" s="3347" t="s">
        <v>240</v>
      </c>
      <c r="X2" s="3346" t="s">
        <v>244</v>
      </c>
      <c r="Y2" s="3346" t="s">
        <v>245</v>
      </c>
      <c r="Z2" s="3346" t="s">
        <v>246</v>
      </c>
      <c r="AA2" s="3346" t="s">
        <v>247</v>
      </c>
      <c r="AB2" s="3346" t="s">
        <v>248</v>
      </c>
    </row>
    <row r="3" spans="1:28">
      <c r="A3" s="3353" t="s">
        <v>249</v>
      </c>
      <c r="B3" s="3355" t="s">
        <v>250</v>
      </c>
      <c r="C3" s="3356" t="s">
        <v>251</v>
      </c>
      <c r="D3" s="3347" t="s">
        <v>252</v>
      </c>
      <c r="E3" s="3347" t="s">
        <v>124</v>
      </c>
      <c r="F3" s="3347" t="s">
        <v>160</v>
      </c>
      <c r="G3" s="3347">
        <v>40</v>
      </c>
      <c r="H3" s="3347" t="s">
        <v>160</v>
      </c>
      <c r="I3" s="3347" t="s">
        <v>253</v>
      </c>
      <c r="J3" s="3347" t="s">
        <v>254</v>
      </c>
      <c r="K3" s="3347" t="s">
        <v>255</v>
      </c>
      <c r="L3" s="3347" t="s">
        <v>255</v>
      </c>
      <c r="M3" s="3347" t="s">
        <v>255</v>
      </c>
      <c r="N3" s="3347" t="s">
        <v>255</v>
      </c>
      <c r="O3" s="3347" t="s">
        <v>255</v>
      </c>
      <c r="P3" s="3347" t="s">
        <v>255</v>
      </c>
      <c r="Q3" s="3347" t="s">
        <v>255</v>
      </c>
      <c r="R3" s="3347" t="s">
        <v>256</v>
      </c>
      <c r="S3" s="3347" t="s">
        <v>255</v>
      </c>
      <c r="T3" s="3347" t="s">
        <v>257</v>
      </c>
      <c r="U3" s="3347" t="s">
        <v>255</v>
      </c>
      <c r="V3" s="3347" t="s">
        <v>258</v>
      </c>
      <c r="W3" s="3347" t="s">
        <v>255</v>
      </c>
      <c r="X3" s="3346" t="s">
        <v>259</v>
      </c>
      <c r="Z3" s="3346" t="s">
        <v>260</v>
      </c>
      <c r="AB3" s="3346" t="s">
        <v>261</v>
      </c>
    </row>
    <row r="4" spans="1:28">
      <c r="A4" s="3353" t="s">
        <v>262</v>
      </c>
      <c r="B4" s="3353" t="s">
        <v>263</v>
      </c>
      <c r="C4" s="3354" t="s">
        <v>264</v>
      </c>
      <c r="D4" s="3347" t="s">
        <v>124</v>
      </c>
      <c r="E4" s="3347" t="s">
        <v>265</v>
      </c>
      <c r="F4" s="3347" t="s">
        <v>161</v>
      </c>
      <c r="G4" s="3347">
        <v>50</v>
      </c>
      <c r="H4" s="3347" t="s">
        <v>161</v>
      </c>
      <c r="I4" s="3347" t="s">
        <v>266</v>
      </c>
      <c r="K4" s="3347" t="s">
        <v>267</v>
      </c>
      <c r="L4" s="3347" t="s">
        <v>267</v>
      </c>
      <c r="M4" s="3347" t="s">
        <v>267</v>
      </c>
      <c r="N4" s="3347" t="s">
        <v>267</v>
      </c>
      <c r="O4" s="3347" t="s">
        <v>267</v>
      </c>
      <c r="P4" s="3347" t="s">
        <v>267</v>
      </c>
      <c r="Q4" s="3347" t="s">
        <v>267</v>
      </c>
      <c r="R4" s="3347" t="s">
        <v>268</v>
      </c>
      <c r="S4" s="3347" t="s">
        <v>267</v>
      </c>
      <c r="T4" s="3347" t="s">
        <v>269</v>
      </c>
      <c r="U4" s="3347" t="s">
        <v>267</v>
      </c>
      <c r="W4" s="3347" t="s">
        <v>267</v>
      </c>
      <c r="X4" s="3346" t="s">
        <v>270</v>
      </c>
      <c r="Z4" s="3346" t="s">
        <v>271</v>
      </c>
      <c r="AB4" s="3346" t="s">
        <v>272</v>
      </c>
    </row>
    <row r="5" spans="1:28">
      <c r="A5" s="3353" t="s">
        <v>273</v>
      </c>
      <c r="B5" s="3353" t="s">
        <v>274</v>
      </c>
      <c r="C5" s="3354" t="s">
        <v>275</v>
      </c>
      <c r="F5" s="3347" t="s">
        <v>162</v>
      </c>
      <c r="G5" s="3347">
        <v>70</v>
      </c>
      <c r="H5" s="3347" t="s">
        <v>276</v>
      </c>
      <c r="I5" s="3347" t="s">
        <v>277</v>
      </c>
      <c r="K5" s="3347" t="s">
        <v>278</v>
      </c>
      <c r="L5" s="3347" t="s">
        <v>278</v>
      </c>
      <c r="M5" s="3347" t="s">
        <v>278</v>
      </c>
      <c r="N5" s="3347" t="s">
        <v>278</v>
      </c>
      <c r="O5" s="3347" t="s">
        <v>278</v>
      </c>
      <c r="P5" s="3347" t="s">
        <v>278</v>
      </c>
      <c r="Q5" s="3347" t="s">
        <v>278</v>
      </c>
      <c r="R5" s="3347" t="s">
        <v>279</v>
      </c>
      <c r="S5" s="3347" t="s">
        <v>278</v>
      </c>
      <c r="T5" s="3347" t="s">
        <v>280</v>
      </c>
      <c r="U5" s="3347" t="s">
        <v>278</v>
      </c>
      <c r="W5" s="3347" t="s">
        <v>278</v>
      </c>
      <c r="X5" s="3346" t="s">
        <v>281</v>
      </c>
      <c r="Z5" s="3346" t="s">
        <v>282</v>
      </c>
      <c r="AB5" s="3346" t="s">
        <v>283</v>
      </c>
    </row>
    <row r="6" spans="1:28">
      <c r="A6" s="3353" t="s">
        <v>284</v>
      </c>
      <c r="B6" s="3355" t="s">
        <v>285</v>
      </c>
      <c r="C6" s="3357" t="s">
        <v>286</v>
      </c>
      <c r="F6" s="3347" t="s">
        <v>276</v>
      </c>
      <c r="H6" s="3347" t="s">
        <v>164</v>
      </c>
      <c r="I6" s="3347" t="s">
        <v>287</v>
      </c>
      <c r="K6" s="3347" t="s">
        <v>288</v>
      </c>
      <c r="L6" s="3347" t="s">
        <v>288</v>
      </c>
      <c r="M6" s="3347" t="s">
        <v>288</v>
      </c>
      <c r="N6" s="3347" t="s">
        <v>288</v>
      </c>
      <c r="O6" s="3347" t="s">
        <v>288</v>
      </c>
      <c r="P6" s="3347" t="s">
        <v>288</v>
      </c>
      <c r="Q6" s="3347" t="s">
        <v>288</v>
      </c>
      <c r="R6" s="3347" t="s">
        <v>289</v>
      </c>
      <c r="S6" s="3347" t="s">
        <v>288</v>
      </c>
      <c r="T6" s="3347"/>
      <c r="U6" s="3347" t="s">
        <v>288</v>
      </c>
      <c r="W6" s="3347" t="s">
        <v>288</v>
      </c>
      <c r="X6" s="3346" t="s">
        <v>290</v>
      </c>
      <c r="Z6" s="3346" t="s">
        <v>291</v>
      </c>
      <c r="AB6" s="3346" t="s">
        <v>292</v>
      </c>
    </row>
    <row r="7" spans="1:28">
      <c r="A7" s="3353" t="s">
        <v>293</v>
      </c>
      <c r="B7" s="3355" t="s">
        <v>294</v>
      </c>
      <c r="C7" s="3354" t="s">
        <v>295</v>
      </c>
      <c r="F7" s="3347" t="s">
        <v>296</v>
      </c>
      <c r="H7" s="3347" t="s">
        <v>162</v>
      </c>
      <c r="I7" s="3347" t="s">
        <v>297</v>
      </c>
      <c r="X7" s="3346" t="s">
        <v>298</v>
      </c>
      <c r="Z7" s="3346" t="s">
        <v>299</v>
      </c>
      <c r="AB7" s="3346" t="s">
        <v>300</v>
      </c>
    </row>
    <row r="8" spans="1:28">
      <c r="A8" s="3353" t="s">
        <v>301</v>
      </c>
      <c r="B8" s="3353" t="s">
        <v>302</v>
      </c>
      <c r="C8" s="3354" t="s">
        <v>303</v>
      </c>
      <c r="F8" s="3347" t="s">
        <v>304</v>
      </c>
      <c r="H8" s="3347" t="s">
        <v>231</v>
      </c>
      <c r="I8" s="3347" t="s">
        <v>305</v>
      </c>
      <c r="X8" s="3346" t="s">
        <v>306</v>
      </c>
      <c r="Z8" s="3346" t="s">
        <v>307</v>
      </c>
      <c r="AB8" s="3346" t="s">
        <v>308</v>
      </c>
    </row>
    <row r="9" spans="1:28">
      <c r="A9" s="3353" t="s">
        <v>309</v>
      </c>
      <c r="B9" s="3353" t="s">
        <v>310</v>
      </c>
      <c r="C9" s="3354" t="s">
        <v>311</v>
      </c>
      <c r="F9" s="3347" t="s">
        <v>164</v>
      </c>
      <c r="H9" s="3347"/>
      <c r="I9" s="3346" t="s">
        <v>312</v>
      </c>
      <c r="X9" s="3346" t="s">
        <v>313</v>
      </c>
      <c r="Z9" s="3346" t="s">
        <v>314</v>
      </c>
      <c r="AB9" s="3346" t="s">
        <v>315</v>
      </c>
    </row>
    <row r="10" spans="1:28">
      <c r="A10" s="3353" t="s">
        <v>316</v>
      </c>
      <c r="B10" s="3353" t="s">
        <v>317</v>
      </c>
      <c r="C10" s="3354" t="s">
        <v>318</v>
      </c>
      <c r="F10" s="3347" t="s">
        <v>231</v>
      </c>
      <c r="I10" s="3346" t="s">
        <v>319</v>
      </c>
      <c r="Z10" s="3346" t="s">
        <v>320</v>
      </c>
      <c r="AB10" s="3346" t="s">
        <v>321</v>
      </c>
    </row>
    <row r="11" spans="1:28">
      <c r="A11" s="3353" t="s">
        <v>322</v>
      </c>
      <c r="B11" s="3353" t="s">
        <v>323</v>
      </c>
      <c r="C11" s="3354" t="s">
        <v>324</v>
      </c>
      <c r="F11" s="3347" t="s">
        <v>124</v>
      </c>
      <c r="I11" s="3346" t="s">
        <v>325</v>
      </c>
      <c r="Z11" s="3346" t="s">
        <v>326</v>
      </c>
      <c r="AB11" s="3346" t="s">
        <v>327</v>
      </c>
    </row>
    <row r="12" spans="1:28">
      <c r="A12" s="3353" t="s">
        <v>328</v>
      </c>
      <c r="B12" s="3353" t="s">
        <v>329</v>
      </c>
      <c r="C12" s="3354" t="s">
        <v>330</v>
      </c>
      <c r="I12" s="3346" t="s">
        <v>331</v>
      </c>
      <c r="Z12" s="3346" t="s">
        <v>332</v>
      </c>
      <c r="AB12" s="3346" t="s">
        <v>333</v>
      </c>
    </row>
    <row r="13" spans="1:28">
      <c r="A13" s="3353" t="s">
        <v>334</v>
      </c>
      <c r="B13" s="3353" t="s">
        <v>335</v>
      </c>
      <c r="C13" s="3354" t="s">
        <v>336</v>
      </c>
      <c r="I13" s="3346" t="s">
        <v>337</v>
      </c>
      <c r="Z13" s="3346" t="s">
        <v>338</v>
      </c>
    </row>
    <row r="14" spans="1:28">
      <c r="A14" s="3353" t="s">
        <v>339</v>
      </c>
      <c r="B14" s="3353" t="s">
        <v>340</v>
      </c>
      <c r="C14" s="3347" t="s">
        <v>124</v>
      </c>
      <c r="I14" s="3346" t="s">
        <v>341</v>
      </c>
      <c r="Z14" s="3346" t="s">
        <v>342</v>
      </c>
    </row>
    <row r="15" spans="1:28">
      <c r="A15" s="3353" t="s">
        <v>343</v>
      </c>
      <c r="B15" s="3353" t="s">
        <v>344</v>
      </c>
      <c r="C15" s="3354"/>
      <c r="I15" s="3346" t="s">
        <v>345</v>
      </c>
    </row>
    <row r="16" spans="1:28">
      <c r="A16" s="3353" t="s">
        <v>346</v>
      </c>
      <c r="B16" s="3353" t="s">
        <v>347</v>
      </c>
      <c r="C16" s="3354"/>
    </row>
    <row r="17" spans="1:3">
      <c r="A17" s="3353" t="s">
        <v>348</v>
      </c>
      <c r="B17" s="3353" t="s">
        <v>349</v>
      </c>
      <c r="C17" s="3354"/>
    </row>
    <row r="18" spans="1:3">
      <c r="A18" s="3353" t="s">
        <v>350</v>
      </c>
      <c r="B18" s="3353" t="s">
        <v>351</v>
      </c>
      <c r="C18" s="3354"/>
    </row>
    <row r="19" spans="1:3">
      <c r="A19" s="3353" t="s">
        <v>352</v>
      </c>
      <c r="B19" s="3353" t="s">
        <v>353</v>
      </c>
      <c r="C19" s="3354"/>
    </row>
    <row r="20" spans="1:3">
      <c r="A20" s="3353" t="s">
        <v>354</v>
      </c>
      <c r="B20" s="3353" t="s">
        <v>353</v>
      </c>
      <c r="C20" s="3354"/>
    </row>
    <row r="21" spans="1:3">
      <c r="A21" s="3353" t="s">
        <v>276</v>
      </c>
      <c r="B21" s="3353" t="s">
        <v>353</v>
      </c>
      <c r="C21" s="3354"/>
    </row>
    <row r="22" spans="1:3">
      <c r="A22" s="3353" t="s">
        <v>355</v>
      </c>
      <c r="B22" s="3353" t="s">
        <v>353</v>
      </c>
      <c r="C22" s="3354"/>
    </row>
    <row r="23" spans="1:3">
      <c r="A23" s="3353" t="s">
        <v>356</v>
      </c>
      <c r="B23" s="3353" t="s">
        <v>353</v>
      </c>
      <c r="C23" s="3354"/>
    </row>
    <row r="24" spans="1:3">
      <c r="A24" s="3353" t="s">
        <v>357</v>
      </c>
      <c r="B24" s="3353" t="s">
        <v>353</v>
      </c>
      <c r="C24" s="3354"/>
    </row>
    <row r="25" spans="1:3">
      <c r="A25" s="3353" t="s">
        <v>358</v>
      </c>
      <c r="B25" s="3353" t="s">
        <v>353</v>
      </c>
      <c r="C25" s="3354"/>
    </row>
    <row r="26" spans="1:3">
      <c r="A26" s="3353" t="s">
        <v>359</v>
      </c>
      <c r="B26" s="3353" t="s">
        <v>353</v>
      </c>
      <c r="C26" s="3354"/>
    </row>
    <row r="27" spans="1:3">
      <c r="A27" s="3353" t="s">
        <v>353</v>
      </c>
      <c r="B27" s="3353" t="s">
        <v>353</v>
      </c>
      <c r="C27" s="3354"/>
    </row>
    <row r="28" spans="1:3">
      <c r="A28" s="3353" t="s">
        <v>353</v>
      </c>
      <c r="B28" s="3353" t="s">
        <v>353</v>
      </c>
      <c r="C28" s="3354"/>
    </row>
    <row r="29" spans="1:3">
      <c r="A29" s="3353" t="s">
        <v>353</v>
      </c>
      <c r="B29" s="3353" t="s">
        <v>353</v>
      </c>
      <c r="C29" s="3354"/>
    </row>
    <row r="30" spans="1:3">
      <c r="A30" s="3353" t="s">
        <v>353</v>
      </c>
      <c r="B30" s="3353" t="s">
        <v>353</v>
      </c>
      <c r="C30" s="3354"/>
    </row>
    <row r="31" spans="1:3">
      <c r="A31" s="3353" t="s">
        <v>353</v>
      </c>
      <c r="B31" s="3353" t="s">
        <v>353</v>
      </c>
      <c r="C31" s="3354"/>
    </row>
    <row r="32" spans="1:3">
      <c r="A32" s="3353" t="s">
        <v>353</v>
      </c>
      <c r="B32" s="3353" t="s">
        <v>353</v>
      </c>
      <c r="C32" s="3354"/>
    </row>
    <row r="33" spans="1:3">
      <c r="A33" s="3353" t="s">
        <v>353</v>
      </c>
      <c r="B33" s="3353" t="s">
        <v>353</v>
      </c>
      <c r="C33" s="3354"/>
    </row>
    <row r="34" spans="1:3">
      <c r="A34" s="3353" t="s">
        <v>353</v>
      </c>
      <c r="B34" s="3353" t="s">
        <v>353</v>
      </c>
      <c r="C34" s="3354"/>
    </row>
    <row r="35" spans="1:3">
      <c r="A35" s="3353" t="s">
        <v>353</v>
      </c>
      <c r="B35" s="3353" t="s">
        <v>353</v>
      </c>
      <c r="C35" s="3354"/>
    </row>
    <row r="36" spans="1:3">
      <c r="A36" s="3353" t="s">
        <v>353</v>
      </c>
      <c r="B36" s="3353" t="s">
        <v>353</v>
      </c>
      <c r="C36" s="3354"/>
    </row>
    <row r="37" spans="1:3">
      <c r="A37" s="3353" t="s">
        <v>353</v>
      </c>
      <c r="B37" s="3353" t="s">
        <v>353</v>
      </c>
      <c r="C37" s="3354"/>
    </row>
    <row r="38" spans="1:3">
      <c r="A38" s="3353" t="s">
        <v>353</v>
      </c>
      <c r="B38" s="3353" t="s">
        <v>353</v>
      </c>
      <c r="C38" s="3354"/>
    </row>
    <row r="39" spans="1:3">
      <c r="A39" s="3353" t="s">
        <v>353</v>
      </c>
      <c r="B39" s="3353" t="s">
        <v>353</v>
      </c>
      <c r="C39" s="3354"/>
    </row>
    <row r="40" spans="1:3">
      <c r="A40" s="3353" t="s">
        <v>353</v>
      </c>
      <c r="B40" s="3353" t="s">
        <v>353</v>
      </c>
      <c r="C40" s="3354"/>
    </row>
    <row r="41" spans="1:3">
      <c r="A41" s="3353" t="s">
        <v>353</v>
      </c>
      <c r="B41" s="3353" t="s">
        <v>353</v>
      </c>
      <c r="C41" s="3354"/>
    </row>
    <row r="42" spans="1:3">
      <c r="A42" s="3353" t="s">
        <v>353</v>
      </c>
      <c r="B42" s="3353" t="s">
        <v>353</v>
      </c>
      <c r="C42" s="3354"/>
    </row>
    <row r="43" spans="1:3">
      <c r="A43" s="3353" t="s">
        <v>353</v>
      </c>
      <c r="B43" s="3353" t="s">
        <v>353</v>
      </c>
      <c r="C43" s="3354"/>
    </row>
    <row r="44" spans="1:3">
      <c r="A44" s="3353" t="s">
        <v>353</v>
      </c>
      <c r="B44" s="3353" t="s">
        <v>353</v>
      </c>
      <c r="C44" s="3354"/>
    </row>
    <row r="45" spans="1:3">
      <c r="A45" s="3353" t="s">
        <v>353</v>
      </c>
      <c r="B45" s="3353" t="s">
        <v>353</v>
      </c>
      <c r="C45" s="3354"/>
    </row>
    <row r="46" spans="1:3">
      <c r="A46" s="3353" t="s">
        <v>353</v>
      </c>
      <c r="B46" s="3353" t="s">
        <v>353</v>
      </c>
      <c r="C46" s="3354"/>
    </row>
    <row r="47" spans="1:3">
      <c r="A47" s="3353" t="s">
        <v>353</v>
      </c>
      <c r="B47" s="3353" t="s">
        <v>353</v>
      </c>
      <c r="C47" s="3354"/>
    </row>
    <row r="48" spans="1:3">
      <c r="A48" s="3353" t="s">
        <v>353</v>
      </c>
      <c r="B48" s="3353" t="s">
        <v>353</v>
      </c>
      <c r="C48" s="3354"/>
    </row>
    <row r="49" spans="1:4">
      <c r="A49" s="3353" t="s">
        <v>353</v>
      </c>
      <c r="B49" s="3353" t="s">
        <v>353</v>
      </c>
      <c r="C49" s="3354"/>
    </row>
    <row r="50" spans="1:4">
      <c r="A50" s="3353" t="s">
        <v>353</v>
      </c>
      <c r="B50" s="3353" t="s">
        <v>353</v>
      </c>
      <c r="C50" s="3354"/>
    </row>
    <row r="51" spans="1:4">
      <c r="A51" s="3358" t="s">
        <v>360</v>
      </c>
      <c r="B51" s="33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9" t="s">
        <v>361</v>
      </c>
    </row>
    <row r="52" spans="1:4">
      <c r="A52" s="3358" t="s">
        <v>362</v>
      </c>
      <c r="B52" s="3358" t="s">
        <v>363</v>
      </c>
      <c r="C52" s="3346" t="s">
        <v>364</v>
      </c>
      <c r="D52" s="3346" t="s">
        <v>365</v>
      </c>
    </row>
    <row r="53" spans="1:4">
      <c r="A53" s="3531" t="s">
        <v>366</v>
      </c>
      <c r="B53" s="3359" t="s">
        <v>367</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3359" t="s">
        <v>368</v>
      </c>
      <c r="C54" s="3346" t="s">
        <v>369</v>
      </c>
    </row>
    <row r="55" spans="1:4">
      <c r="A55" s="3531"/>
      <c r="B55" s="3359" t="s">
        <v>370</v>
      </c>
      <c r="C55" s="3346" t="s">
        <v>371</v>
      </c>
    </row>
    <row r="56" spans="1:4">
      <c r="A56" s="3531"/>
      <c r="B56" s="3359" t="s">
        <v>372</v>
      </c>
      <c r="C56" s="3346" t="s">
        <v>373</v>
      </c>
    </row>
    <row r="57" spans="1:4">
      <c r="A57" s="3531"/>
      <c r="B57" s="3359" t="s">
        <v>374</v>
      </c>
      <c r="C57" s="3346" t="s">
        <v>375</v>
      </c>
    </row>
    <row r="58" spans="1:4">
      <c r="A58" s="3360"/>
      <c r="B58" s="3346"/>
    </row>
    <row r="59" spans="1:4">
      <c r="A59" s="3360"/>
      <c r="B59" s="3346"/>
    </row>
    <row r="60" spans="1:4">
      <c r="A60" s="3360"/>
      <c r="B60" s="3346"/>
    </row>
    <row r="61" spans="1:4">
      <c r="A61" s="3360"/>
      <c r="B61" s="3346"/>
    </row>
    <row r="62" spans="1:4">
      <c r="A62" s="3360"/>
      <c r="B62" s="3346"/>
    </row>
    <row r="63" spans="1:4">
      <c r="A63" s="3360"/>
      <c r="B63" s="3346"/>
    </row>
    <row r="64" spans="1:4">
      <c r="A64" s="3360"/>
      <c r="B64" s="3346"/>
    </row>
    <row r="65" spans="1:2">
      <c r="A65" s="3360"/>
      <c r="B65" s="3346"/>
    </row>
    <row r="66" spans="1:2">
      <c r="A66" s="3360"/>
      <c r="B66" s="3346"/>
    </row>
    <row r="67" spans="1:2">
      <c r="A67" s="3360"/>
      <c r="B67" s="3346"/>
    </row>
    <row r="68" spans="1:2">
      <c r="A68" s="3360"/>
      <c r="B68" s="3346"/>
    </row>
    <row r="69" spans="1:2">
      <c r="A69" s="3360"/>
      <c r="B69" s="3346"/>
    </row>
    <row r="70" spans="1:2">
      <c r="A70" s="3360"/>
      <c r="B70" s="3346"/>
    </row>
    <row r="71" spans="1:2">
      <c r="A71" s="3360"/>
      <c r="B71" s="3346"/>
    </row>
    <row r="72" spans="1:2">
      <c r="A72" s="3360"/>
      <c r="B72" s="3346"/>
    </row>
    <row r="73" spans="1:2">
      <c r="A73" s="3360"/>
      <c r="B73" s="3346"/>
    </row>
    <row r="74" spans="1:2">
      <c r="A74" s="3360"/>
      <c r="B74" s="3346"/>
    </row>
    <row r="75" spans="1:2">
      <c r="A75" s="3360"/>
      <c r="B75" s="3346"/>
    </row>
    <row r="76" spans="1:2">
      <c r="A76" s="3360"/>
      <c r="B76" s="3346"/>
    </row>
    <row r="77" spans="1:2">
      <c r="A77" s="3360"/>
      <c r="B77" s="3346"/>
    </row>
    <row r="78" spans="1:2">
      <c r="A78" s="3360"/>
      <c r="B78" s="3346"/>
    </row>
    <row r="79" spans="1:2">
      <c r="A79" s="3360"/>
      <c r="B79" s="3346"/>
    </row>
    <row r="80" spans="1:2">
      <c r="A80" s="3360"/>
      <c r="B80" s="3346"/>
    </row>
    <row r="81" spans="1:2">
      <c r="A81" s="3360"/>
      <c r="B81" s="3346"/>
    </row>
    <row r="82" spans="1:2">
      <c r="A82" s="3360"/>
      <c r="B82" s="3346"/>
    </row>
    <row r="83" spans="1:2">
      <c r="A83" s="3360"/>
      <c r="B83" s="3346"/>
    </row>
    <row r="84" spans="1:2">
      <c r="A84" s="3360"/>
      <c r="B84" s="3346"/>
    </row>
    <row r="85" spans="1:2">
      <c r="A85" s="3360"/>
      <c r="B85" s="3346"/>
    </row>
    <row r="86" spans="1:2">
      <c r="A86" s="3360"/>
      <c r="B86" s="3346"/>
    </row>
    <row r="87" spans="1:2">
      <c r="A87" s="3360"/>
      <c r="B87" s="3346"/>
    </row>
    <row r="88" spans="1:2">
      <c r="A88" s="3360"/>
      <c r="B88" s="3346"/>
    </row>
    <row r="89" spans="1:2">
      <c r="A89" s="3360"/>
      <c r="B89" s="3346"/>
    </row>
    <row r="90" spans="1:2">
      <c r="A90" s="3360"/>
      <c r="B90" s="3346"/>
    </row>
    <row r="91" spans="1:2">
      <c r="A91" s="3360"/>
      <c r="B91" s="3346"/>
    </row>
    <row r="92" spans="1:2">
      <c r="A92" s="3360"/>
      <c r="B92" s="3346"/>
    </row>
    <row r="93" spans="1:2">
      <c r="A93" s="3360"/>
      <c r="B93" s="3346"/>
    </row>
    <row r="94" spans="1:2">
      <c r="A94" s="3360"/>
      <c r="B94" s="3346"/>
    </row>
    <row r="95" spans="1:2">
      <c r="A95" s="3360"/>
      <c r="B95" s="3346"/>
    </row>
    <row r="96" spans="1:2">
      <c r="A96" s="3360"/>
      <c r="B96" s="3346"/>
    </row>
    <row r="97" spans="1:2">
      <c r="A97" s="3360"/>
      <c r="B97" s="3346"/>
    </row>
    <row r="98" spans="1:2">
      <c r="A98" s="3360"/>
      <c r="B98" s="3346"/>
    </row>
    <row r="99" spans="1:2">
      <c r="A99" s="3360"/>
      <c r="B99" s="3346"/>
    </row>
    <row r="100" spans="1:2">
      <c r="A100" s="3360"/>
      <c r="B100" s="3346"/>
    </row>
    <row r="101" spans="1:2">
      <c r="A101" s="3360"/>
      <c r="B101" s="3346"/>
    </row>
    <row r="102" spans="1:2">
      <c r="A102" s="3360"/>
      <c r="B102" s="3346"/>
    </row>
    <row r="103" spans="1:2">
      <c r="A103" s="3360"/>
      <c r="B103" s="3346"/>
    </row>
    <row r="104" spans="1:2">
      <c r="A104" s="3360"/>
      <c r="B104" s="3346"/>
    </row>
    <row r="105" spans="1:2">
      <c r="A105" s="3360"/>
      <c r="B105" s="3346"/>
    </row>
    <row r="106" spans="1:2">
      <c r="A106" s="3360"/>
      <c r="B106" s="3346"/>
    </row>
    <row r="107" spans="1:2">
      <c r="A107" s="3360"/>
      <c r="B107" s="3346"/>
    </row>
    <row r="108" spans="1:2">
      <c r="A108" s="3360"/>
      <c r="B108" s="3346"/>
    </row>
    <row r="109" spans="1:2">
      <c r="A109" s="3360"/>
      <c r="B109" s="3346"/>
    </row>
    <row r="110" spans="1:2">
      <c r="A110" s="3360"/>
      <c r="B110" s="3346"/>
    </row>
    <row r="111" spans="1:2">
      <c r="A111" s="3360"/>
      <c r="B111" s="3346"/>
    </row>
    <row r="112" spans="1:2">
      <c r="A112" s="3360"/>
      <c r="B112" s="3346"/>
    </row>
    <row r="113" spans="1:2">
      <c r="A113" s="3360"/>
      <c r="B113" s="3346"/>
    </row>
    <row r="114" spans="1:2">
      <c r="A114" s="3360"/>
      <c r="B114" s="3346"/>
    </row>
    <row r="115" spans="1:2">
      <c r="A115" s="3360"/>
      <c r="B115" s="3346"/>
    </row>
    <row r="116" spans="1:2">
      <c r="A116" s="3360"/>
      <c r="B116" s="3346"/>
    </row>
    <row r="117" spans="1:2">
      <c r="A117" s="3360"/>
      <c r="B117" s="3346"/>
    </row>
    <row r="118" spans="1:2">
      <c r="A118" s="3360"/>
      <c r="B118" s="3346"/>
    </row>
    <row r="119" spans="1:2">
      <c r="A119" s="3360"/>
      <c r="B119" s="3346"/>
    </row>
    <row r="120" spans="1:2">
      <c r="A120" s="3360"/>
      <c r="B120" s="3346"/>
    </row>
    <row r="121" spans="1:2">
      <c r="A121" s="3360"/>
      <c r="B121" s="3346"/>
    </row>
    <row r="122" spans="1:2">
      <c r="A122" s="3360"/>
      <c r="B122" s="3346"/>
    </row>
    <row r="123" spans="1:2">
      <c r="A123" s="3360"/>
      <c r="B123" s="3346"/>
    </row>
    <row r="124" spans="1:2">
      <c r="A124" s="3360"/>
      <c r="B124" s="3346"/>
    </row>
    <row r="125" spans="1:2">
      <c r="A125" s="3360"/>
      <c r="B125" s="3346"/>
    </row>
    <row r="126" spans="1:2">
      <c r="A126" s="3360"/>
      <c r="B126" s="3346"/>
    </row>
    <row r="127" spans="1:2">
      <c r="A127" s="3360"/>
      <c r="B127" s="3346"/>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284"/>
    <col min="8" max="8" width="5.5" style="3284" customWidth="1"/>
    <col min="9" max="13" width="9.5" style="3285" customWidth="1"/>
    <col min="14" max="18" width="9.5" style="3284" customWidth="1"/>
    <col min="19" max="16384" width="15.25" style="3284"/>
  </cols>
  <sheetData>
    <row r="1" spans="1:18">
      <c r="A1" s="3286" t="s">
        <v>376</v>
      </c>
      <c r="B1" s="3287"/>
      <c r="C1" s="3287"/>
      <c r="D1" s="3287"/>
      <c r="E1" s="3287"/>
      <c r="F1" s="3288"/>
      <c r="I1" s="3337" t="s">
        <v>377</v>
      </c>
      <c r="J1" s="76"/>
      <c r="K1" s="76"/>
      <c r="L1" s="76"/>
      <c r="M1" s="76"/>
      <c r="N1" s="3338"/>
      <c r="O1" s="3338"/>
      <c r="P1" s="3338"/>
      <c r="Q1" s="3338"/>
      <c r="R1" s="3338"/>
    </row>
    <row r="2" spans="1:18">
      <c r="A2" s="3289"/>
      <c r="B2" s="3290"/>
      <c r="C2" s="3290"/>
      <c r="D2" s="3290"/>
      <c r="E2" s="3290"/>
      <c r="F2" s="3291"/>
      <c r="I2" s="3532" t="s">
        <v>378</v>
      </c>
      <c r="J2" s="3532"/>
      <c r="K2" s="3532"/>
      <c r="L2" s="3532"/>
      <c r="M2" s="3532"/>
      <c r="N2" s="3532"/>
      <c r="O2" s="3532"/>
      <c r="P2" s="3532"/>
      <c r="Q2" s="3532"/>
      <c r="R2" s="3532"/>
    </row>
    <row r="3" spans="1:18">
      <c r="A3" s="493" t="s">
        <v>379</v>
      </c>
      <c r="B3" s="3292">
        <f>项目基本情况!D3</f>
        <v>45911</v>
      </c>
      <c r="C3" s="494"/>
      <c r="D3" s="494"/>
      <c r="E3" s="494"/>
      <c r="F3" s="3291"/>
      <c r="I3" s="3339"/>
      <c r="J3" s="3339" t="s">
        <v>380</v>
      </c>
      <c r="K3" s="3339" t="s">
        <v>381</v>
      </c>
      <c r="L3" s="3339" t="s">
        <v>382</v>
      </c>
      <c r="M3" s="3339" t="s">
        <v>383</v>
      </c>
      <c r="N3" s="3340" t="s">
        <v>384</v>
      </c>
      <c r="O3" s="3340" t="s">
        <v>385</v>
      </c>
      <c r="P3" s="3340" t="s">
        <v>386</v>
      </c>
      <c r="Q3" s="3340" t="s">
        <v>387</v>
      </c>
      <c r="R3" s="3340" t="s">
        <v>388</v>
      </c>
    </row>
    <row r="4" spans="1:18">
      <c r="A4" s="493" t="s">
        <v>389</v>
      </c>
      <c r="B4" s="494" t="s">
        <v>390</v>
      </c>
      <c r="C4" s="494" t="s">
        <v>391</v>
      </c>
      <c r="D4" s="494" t="s">
        <v>392</v>
      </c>
      <c r="E4" s="494" t="s">
        <v>393</v>
      </c>
      <c r="F4" s="3291"/>
      <c r="I4" s="3339" t="s">
        <v>394</v>
      </c>
      <c r="J4" s="3339">
        <v>80</v>
      </c>
      <c r="K4" s="3339">
        <v>70</v>
      </c>
      <c r="L4" s="3339">
        <v>20</v>
      </c>
      <c r="M4" s="3339">
        <v>30</v>
      </c>
      <c r="N4" s="494">
        <v>45</v>
      </c>
      <c r="O4" s="494">
        <v>60</v>
      </c>
      <c r="P4" s="494">
        <v>50</v>
      </c>
      <c r="Q4" s="494">
        <v>20</v>
      </c>
      <c r="R4" s="494">
        <v>375</v>
      </c>
    </row>
    <row r="5" spans="1:18">
      <c r="A5" s="3293">
        <v>40</v>
      </c>
      <c r="B5" s="3292">
        <v>46375</v>
      </c>
      <c r="C5" s="494">
        <f>ROUNDDOWN(MIN((B5-B3)/365,A5),2)</f>
        <v>1.27</v>
      </c>
      <c r="D5" s="3294">
        <f>IF(ISERROR(ROUND(POWER(1+E5,A5-C5)*(POWER(1+E5,C5)-1)/(POWER(1+E5,A5)-1),3)),0,ROUND(POWER(1+E5,A5-C5)*(POWER(1+E5,C5)-1)/(POWER(1+E5,A5)-1),4))</f>
        <v>6.1400000000000003E-2</v>
      </c>
      <c r="E5" s="3295">
        <v>0.04</v>
      </c>
      <c r="F5" s="3291"/>
      <c r="I5" s="3339" t="s">
        <v>395</v>
      </c>
      <c r="J5" s="3339">
        <v>70</v>
      </c>
      <c r="K5" s="3339">
        <v>60</v>
      </c>
      <c r="L5" s="3339">
        <v>15</v>
      </c>
      <c r="M5" s="3339">
        <v>25</v>
      </c>
      <c r="N5" s="494">
        <v>40</v>
      </c>
      <c r="O5" s="494">
        <v>50</v>
      </c>
      <c r="P5" s="494">
        <v>40</v>
      </c>
      <c r="Q5" s="494">
        <v>15</v>
      </c>
      <c r="R5" s="494">
        <v>315</v>
      </c>
    </row>
    <row r="6" spans="1:18">
      <c r="A6" s="3293">
        <v>50</v>
      </c>
      <c r="B6" s="3292">
        <v>50028</v>
      </c>
      <c r="C6" s="494">
        <f>ROUNDDOWN(MIN((B6-B3)/365,A6),2)</f>
        <v>11.27</v>
      </c>
      <c r="D6" s="3294">
        <f>IF(ISERROR(ROUND(POWER(1+E6,A6-C6)*(POWER(1+E6,C6)-1)/(POWER(1+E6,A6)-1),3)),0,ROUND(POWER(1+E6,A6-C6)*(POWER(1+E6,C6)-1)/(POWER(1+E6,A6)-1),4))</f>
        <v>0.4158</v>
      </c>
      <c r="E6" s="3295">
        <v>0.04</v>
      </c>
      <c r="F6" s="3291"/>
      <c r="I6" s="3339" t="s">
        <v>396</v>
      </c>
      <c r="J6" s="3339">
        <v>60</v>
      </c>
      <c r="K6" s="3339">
        <v>50</v>
      </c>
      <c r="L6" s="3339">
        <v>10</v>
      </c>
      <c r="M6" s="3339">
        <v>20</v>
      </c>
      <c r="N6" s="494">
        <v>35</v>
      </c>
      <c r="O6" s="494">
        <v>40</v>
      </c>
      <c r="P6" s="494">
        <v>30</v>
      </c>
      <c r="Q6" s="494">
        <v>10</v>
      </c>
      <c r="R6" s="494">
        <v>255</v>
      </c>
    </row>
    <row r="7" spans="1:18">
      <c r="A7" s="3293">
        <v>70</v>
      </c>
      <c r="B7" s="3292">
        <v>57333</v>
      </c>
      <c r="C7" s="494">
        <f>ROUNDDOWN(MIN((B7-B3)/365,A7),2)</f>
        <v>31.29</v>
      </c>
      <c r="D7" s="3294">
        <f>IF(ISERROR(ROUND(POWER(1+E7,A7-C7)*(POWER(1+E7,C7)-1)/(POWER(1+E7,A7)-1),3)),0,ROUND(POWER(1+E7,A7-C7)*(POWER(1+E7,C7)-1)/(POWER(1+E7,A7)-1),4))</f>
        <v>0.75539999999999996</v>
      </c>
      <c r="E7" s="3295">
        <v>0.04</v>
      </c>
      <c r="F7" s="3291"/>
    </row>
    <row r="8" spans="1:18">
      <c r="A8" s="3289"/>
      <c r="B8" s="3290"/>
      <c r="C8" s="3290"/>
      <c r="D8" s="3290"/>
      <c r="E8" s="3290"/>
      <c r="F8" s="3291"/>
    </row>
    <row r="9" spans="1:18">
      <c r="A9" s="493" t="s">
        <v>397</v>
      </c>
      <c r="B9" s="494"/>
      <c r="C9" s="494"/>
      <c r="D9" s="494"/>
      <c r="E9" s="494"/>
      <c r="F9" s="546"/>
    </row>
    <row r="10" spans="1:18">
      <c r="A10" s="493" t="s">
        <v>398</v>
      </c>
      <c r="B10" s="494"/>
      <c r="C10" s="494"/>
      <c r="D10" s="494" t="s">
        <v>393</v>
      </c>
      <c r="E10" s="494"/>
      <c r="F10" s="546" t="s">
        <v>392</v>
      </c>
    </row>
    <row r="11" spans="1:18">
      <c r="A11" s="493" t="s">
        <v>399</v>
      </c>
      <c r="B11" s="3296">
        <v>70</v>
      </c>
      <c r="C11" s="494" t="s">
        <v>400</v>
      </c>
      <c r="D11" s="3297">
        <v>4.4999999999999998E-2</v>
      </c>
      <c r="E11" s="494" t="s">
        <v>401</v>
      </c>
      <c r="F11" s="3298">
        <f>ROUND(1-(1/(POWER(1+D11,B11))),4)</f>
        <v>0.95409999999999995</v>
      </c>
    </row>
    <row r="12" spans="1:18">
      <c r="A12" s="493" t="s">
        <v>402</v>
      </c>
      <c r="B12" s="3296">
        <v>40</v>
      </c>
      <c r="C12" s="494" t="s">
        <v>403</v>
      </c>
      <c r="D12" s="3297">
        <v>4.4999999999999998E-2</v>
      </c>
      <c r="E12" s="494" t="s">
        <v>404</v>
      </c>
      <c r="F12" s="3298">
        <f>ROUND(1-(1/(POWER(1+D12,B12))),4)</f>
        <v>0.82809999999999995</v>
      </c>
    </row>
    <row r="13" spans="1:18">
      <c r="A13" s="493" t="s">
        <v>405</v>
      </c>
      <c r="B13" s="494"/>
      <c r="C13" s="494"/>
      <c r="D13" s="3290"/>
      <c r="E13" s="3290"/>
      <c r="F13" s="3291"/>
    </row>
    <row r="14" spans="1:18">
      <c r="A14" s="493" t="s">
        <v>406</v>
      </c>
      <c r="B14" s="3296">
        <v>5000</v>
      </c>
      <c r="C14" s="3299"/>
      <c r="D14" s="3290"/>
      <c r="E14" s="3290"/>
      <c r="F14" s="3291"/>
    </row>
    <row r="15" spans="1:18">
      <c r="A15" s="493" t="s">
        <v>407</v>
      </c>
      <c r="B15" s="494">
        <f>ROUND(B14*F12/F11,2)</f>
        <v>4339.6899999999996</v>
      </c>
      <c r="C15" s="494">
        <f>ROUND(F12/F11,4)</f>
        <v>0.8679</v>
      </c>
      <c r="D15" s="3290"/>
      <c r="E15" s="3290"/>
      <c r="F15" s="3291"/>
    </row>
    <row r="16" spans="1:18">
      <c r="A16" s="493" t="s">
        <v>408</v>
      </c>
      <c r="B16" s="494"/>
      <c r="C16" s="494"/>
      <c r="D16" s="3290"/>
      <c r="E16" s="3290"/>
      <c r="F16" s="3291"/>
    </row>
    <row r="17" spans="1:14">
      <c r="A17" s="493" t="s">
        <v>407</v>
      </c>
      <c r="B17" s="3297">
        <v>4810</v>
      </c>
      <c r="C17" s="3299"/>
      <c r="D17" s="3290"/>
      <c r="E17" s="3290"/>
      <c r="F17" s="3291"/>
    </row>
    <row r="18" spans="1:14">
      <c r="A18" s="3300" t="s">
        <v>406</v>
      </c>
      <c r="B18" s="549">
        <f>ROUND(B17*F11/F12,2)</f>
        <v>5541.87</v>
      </c>
      <c r="C18" s="549">
        <f>ROUND(F11/F12,4)</f>
        <v>1.1521999999999999</v>
      </c>
      <c r="D18" s="3301"/>
      <c r="E18" s="3301"/>
      <c r="F18" s="3302"/>
    </row>
    <row r="20" spans="1:14" s="3283" customFormat="1">
      <c r="A20" s="3303" t="s">
        <v>409</v>
      </c>
      <c r="B20" s="3304"/>
      <c r="C20" s="3304"/>
      <c r="D20" s="3304"/>
      <c r="E20" s="3304"/>
      <c r="F20" s="3304"/>
      <c r="G20" s="3305"/>
      <c r="I20" s="3341" t="s">
        <v>410</v>
      </c>
      <c r="J20" s="3341" t="s">
        <v>411</v>
      </c>
      <c r="K20" s="3341"/>
      <c r="L20" s="3341"/>
      <c r="M20" s="3341"/>
    </row>
    <row r="21" spans="1:14">
      <c r="A21" s="3306"/>
      <c r="B21" s="3307" t="s">
        <v>412</v>
      </c>
      <c r="C21" s="3307" t="s">
        <v>391</v>
      </c>
      <c r="D21" s="3307" t="s">
        <v>413</v>
      </c>
      <c r="E21" s="3307" t="s">
        <v>392</v>
      </c>
      <c r="F21" s="3307" t="s">
        <v>414</v>
      </c>
      <c r="G21" s="3308" t="s">
        <v>415</v>
      </c>
      <c r="I21" s="3285">
        <v>5</v>
      </c>
      <c r="J21" s="3285">
        <v>54.2</v>
      </c>
    </row>
    <row r="22" spans="1:14">
      <c r="A22" s="3306" t="s">
        <v>416</v>
      </c>
      <c r="B22" s="3309">
        <v>70</v>
      </c>
      <c r="C22" s="3309">
        <v>30</v>
      </c>
      <c r="D22" s="3310">
        <v>0.04</v>
      </c>
      <c r="E22" s="3307">
        <f>ROUND(POWER(1+D22,B22-C22)*(POWER(1+D22,C22)-1)/(POWER(1+D22,B22)-1),3)</f>
        <v>0.73899999999999999</v>
      </c>
      <c r="F22" s="3310">
        <v>0.7</v>
      </c>
      <c r="G22" s="3308">
        <f>ROUND(100*(1-(1-E22)*F22),1)</f>
        <v>81.7</v>
      </c>
      <c r="I22" s="3285">
        <v>10</v>
      </c>
      <c r="J22" s="3285">
        <v>65.400000000000006</v>
      </c>
      <c r="K22" s="3285">
        <f>J22-J21</f>
        <v>11.2</v>
      </c>
    </row>
    <row r="23" spans="1:14">
      <c r="A23" s="3306" t="s">
        <v>417</v>
      </c>
      <c r="B23" s="3309">
        <v>70</v>
      </c>
      <c r="C23" s="3309">
        <v>40</v>
      </c>
      <c r="D23" s="3310">
        <v>0.04</v>
      </c>
      <c r="E23" s="3307">
        <f t="shared" ref="E23:E25" si="0">ROUND(POWER(1+D23,B23-C23)*(POWER(1+D23,C23)-1)/(POWER(1+D23,B23)-1),3)</f>
        <v>0.84599999999999997</v>
      </c>
      <c r="F23" s="3310">
        <f>F22</f>
        <v>0.7</v>
      </c>
      <c r="G23" s="3308">
        <f t="shared" ref="G23:G25" si="1">ROUND(100*(1-(1-E23)*F23),1)</f>
        <v>89.2</v>
      </c>
      <c r="I23" s="3285">
        <v>15</v>
      </c>
      <c r="J23" s="3285">
        <v>74.099999999999994</v>
      </c>
      <c r="K23" s="3285">
        <f t="shared" ref="K23:K30" si="2">J23-J22</f>
        <v>8.6999999999999904</v>
      </c>
      <c r="L23" s="3285" t="s">
        <v>418</v>
      </c>
      <c r="N23" s="3342" t="s">
        <v>419</v>
      </c>
    </row>
    <row r="24" spans="1:14">
      <c r="A24" s="3306" t="s">
        <v>420</v>
      </c>
      <c r="B24" s="3309">
        <v>70</v>
      </c>
      <c r="C24" s="3309">
        <v>50</v>
      </c>
      <c r="D24" s="3310">
        <v>0.04</v>
      </c>
      <c r="E24" s="3307">
        <f t="shared" si="0"/>
        <v>0.91800000000000004</v>
      </c>
      <c r="F24" s="3310">
        <f>F23</f>
        <v>0.7</v>
      </c>
      <c r="G24" s="3308">
        <f t="shared" si="1"/>
        <v>94.3</v>
      </c>
      <c r="I24" s="3285">
        <v>20</v>
      </c>
      <c r="J24" s="3285">
        <v>81</v>
      </c>
      <c r="K24" s="3285">
        <f t="shared" si="2"/>
        <v>6.9000000000000101</v>
      </c>
      <c r="L24" s="3285" t="s">
        <v>421</v>
      </c>
      <c r="N24" s="3342">
        <v>10</v>
      </c>
    </row>
    <row r="25" spans="1:14">
      <c r="A25" s="3306" t="s">
        <v>422</v>
      </c>
      <c r="B25" s="3309">
        <v>70</v>
      </c>
      <c r="C25" s="3309">
        <v>60</v>
      </c>
      <c r="D25" s="3310">
        <v>0.04</v>
      </c>
      <c r="E25" s="3307">
        <f t="shared" si="0"/>
        <v>0.96699999999999997</v>
      </c>
      <c r="F25" s="3310">
        <f>F24</f>
        <v>0.7</v>
      </c>
      <c r="G25" s="3308">
        <f t="shared" si="1"/>
        <v>97.7</v>
      </c>
      <c r="I25" s="3285">
        <v>25</v>
      </c>
      <c r="J25" s="3285">
        <v>86.3</v>
      </c>
      <c r="K25" s="3285">
        <f t="shared" si="2"/>
        <v>5.3</v>
      </c>
      <c r="L25" s="3285" t="s">
        <v>423</v>
      </c>
      <c r="N25" s="3342">
        <v>8</v>
      </c>
    </row>
    <row r="26" spans="1:14">
      <c r="A26" s="3311"/>
      <c r="B26" s="3312"/>
      <c r="C26" s="3312"/>
      <c r="D26" s="3312"/>
      <c r="E26" s="3312"/>
      <c r="F26" s="3312"/>
      <c r="G26" s="3313"/>
      <c r="I26" s="3285">
        <v>30</v>
      </c>
      <c r="J26" s="3285">
        <v>90.5</v>
      </c>
      <c r="K26" s="3285">
        <f t="shared" si="2"/>
        <v>4.2</v>
      </c>
      <c r="L26" s="3285" t="s">
        <v>424</v>
      </c>
      <c r="N26" s="3342">
        <v>5</v>
      </c>
    </row>
    <row r="27" spans="1:14">
      <c r="A27" s="3311" t="s">
        <v>425</v>
      </c>
      <c r="B27" s="3312"/>
      <c r="C27" s="3312"/>
      <c r="D27" s="3312"/>
      <c r="E27" s="3312"/>
      <c r="F27" s="3312"/>
      <c r="G27" s="3313"/>
      <c r="I27" s="3285">
        <v>35</v>
      </c>
      <c r="J27" s="3285">
        <v>93.8</v>
      </c>
      <c r="K27" s="3285">
        <f t="shared" si="2"/>
        <v>3.3</v>
      </c>
      <c r="L27" s="3285" t="s">
        <v>426</v>
      </c>
      <c r="N27" s="3342">
        <v>3</v>
      </c>
    </row>
    <row r="28" spans="1:14">
      <c r="A28" s="3311" t="s">
        <v>427</v>
      </c>
      <c r="B28" s="3312"/>
      <c r="C28" s="3312"/>
      <c r="D28" s="3312"/>
      <c r="E28" s="3312"/>
      <c r="F28" s="3312"/>
      <c r="G28" s="3313"/>
      <c r="I28" s="3285">
        <v>40</v>
      </c>
      <c r="J28" s="3285">
        <v>96.4</v>
      </c>
      <c r="K28" s="3285">
        <f t="shared" si="2"/>
        <v>2.6000000000000099</v>
      </c>
      <c r="L28" s="3285" t="s">
        <v>428</v>
      </c>
      <c r="N28" s="3342">
        <v>2</v>
      </c>
    </row>
    <row r="29" spans="1:14">
      <c r="A29" s="3311" t="s">
        <v>429</v>
      </c>
      <c r="B29" s="3312"/>
      <c r="C29" s="3312"/>
      <c r="D29" s="3312"/>
      <c r="E29" s="3312"/>
      <c r="F29" s="3312"/>
      <c r="G29" s="3313"/>
      <c r="I29" s="3285">
        <v>45</v>
      </c>
      <c r="J29" s="3285">
        <v>98.4</v>
      </c>
      <c r="K29" s="3285">
        <f t="shared" si="2"/>
        <v>2</v>
      </c>
    </row>
    <row r="30" spans="1:14">
      <c r="A30" s="3311" t="s">
        <v>430</v>
      </c>
      <c r="B30" s="3312"/>
      <c r="C30" s="3312"/>
      <c r="D30" s="3312"/>
      <c r="E30" s="3312"/>
      <c r="F30" s="3312"/>
      <c r="G30" s="3313"/>
      <c r="I30" s="3285">
        <v>50</v>
      </c>
      <c r="J30" s="3285">
        <v>100</v>
      </c>
      <c r="K30" s="3285">
        <f t="shared" si="2"/>
        <v>1.5999999999999901</v>
      </c>
    </row>
    <row r="31" spans="1:14">
      <c r="A31" s="3311" t="s">
        <v>431</v>
      </c>
      <c r="B31" s="3312"/>
      <c r="C31" s="3312"/>
      <c r="D31" s="3312"/>
      <c r="E31" s="3312"/>
      <c r="F31" s="3312"/>
      <c r="G31" s="3313"/>
      <c r="I31" s="3285" t="s">
        <v>432</v>
      </c>
    </row>
    <row r="32" spans="1:14">
      <c r="A32" s="3311" t="s">
        <v>433</v>
      </c>
      <c r="B32" s="3312"/>
      <c r="C32" s="3312"/>
      <c r="D32" s="3312"/>
      <c r="E32" s="3312"/>
      <c r="F32" s="3312"/>
      <c r="G32" s="3313"/>
    </row>
    <row r="33" spans="1:14">
      <c r="A33" s="3311" t="s">
        <v>434</v>
      </c>
      <c r="B33" s="3312"/>
      <c r="C33" s="3312"/>
      <c r="D33" s="3312"/>
      <c r="E33" s="3312"/>
      <c r="F33" s="3312"/>
      <c r="G33" s="3313"/>
      <c r="I33" s="3285" t="s">
        <v>410</v>
      </c>
      <c r="J33" s="3285" t="s">
        <v>435</v>
      </c>
    </row>
    <row r="34" spans="1:14">
      <c r="A34" s="3311" t="s">
        <v>436</v>
      </c>
      <c r="B34" s="3312"/>
      <c r="C34" s="3312"/>
      <c r="D34" s="3312"/>
      <c r="E34" s="3312"/>
      <c r="F34" s="3312"/>
      <c r="G34" s="3313"/>
      <c r="I34" s="3285">
        <v>5</v>
      </c>
      <c r="J34" s="3285">
        <v>55.1</v>
      </c>
    </row>
    <row r="35" spans="1:14">
      <c r="A35" s="3311" t="s">
        <v>437</v>
      </c>
      <c r="B35" s="3312"/>
      <c r="C35" s="3312"/>
      <c r="D35" s="3312"/>
      <c r="E35" s="3312"/>
      <c r="F35" s="3312"/>
      <c r="G35" s="3313"/>
      <c r="I35" s="3285">
        <v>10</v>
      </c>
      <c r="J35" s="3285">
        <v>67</v>
      </c>
      <c r="K35" s="3285">
        <f>J35-J34</f>
        <v>11.9</v>
      </c>
    </row>
    <row r="36" spans="1:14">
      <c r="A36" s="3311" t="s">
        <v>438</v>
      </c>
      <c r="B36" s="3312"/>
      <c r="C36" s="3312"/>
      <c r="D36" s="3312"/>
      <c r="E36" s="3312"/>
      <c r="F36" s="3312"/>
      <c r="G36" s="3313"/>
      <c r="I36" s="3285">
        <v>15</v>
      </c>
      <c r="J36" s="3285">
        <v>76.3</v>
      </c>
      <c r="K36" s="3285">
        <f t="shared" ref="K36:K41" si="3">J36-J35</f>
        <v>9.3000000000000007</v>
      </c>
      <c r="L36" s="3285" t="s">
        <v>418</v>
      </c>
      <c r="N36" s="3342" t="s">
        <v>419</v>
      </c>
    </row>
    <row r="37" spans="1:14">
      <c r="A37" s="3311" t="s">
        <v>439</v>
      </c>
      <c r="B37" s="3312"/>
      <c r="C37" s="3312"/>
      <c r="D37" s="3312"/>
      <c r="E37" s="3312"/>
      <c r="F37" s="3312"/>
      <c r="G37" s="3313"/>
      <c r="I37" s="3285">
        <v>20</v>
      </c>
      <c r="J37" s="3285">
        <v>83.6</v>
      </c>
      <c r="K37" s="3285">
        <f t="shared" si="3"/>
        <v>7.3</v>
      </c>
      <c r="L37" s="3285" t="s">
        <v>421</v>
      </c>
      <c r="N37" s="3342">
        <v>10</v>
      </c>
    </row>
    <row r="38" spans="1:14">
      <c r="A38" s="3311" t="s">
        <v>440</v>
      </c>
      <c r="B38" s="3312"/>
      <c r="C38" s="3312"/>
      <c r="D38" s="3312"/>
      <c r="E38" s="3312"/>
      <c r="F38" s="3312"/>
      <c r="G38" s="3313"/>
      <c r="I38" s="3285">
        <v>25</v>
      </c>
      <c r="J38" s="3285">
        <v>89.3</v>
      </c>
      <c r="K38" s="3285">
        <f t="shared" si="3"/>
        <v>5.7</v>
      </c>
      <c r="L38" s="3285" t="s">
        <v>423</v>
      </c>
      <c r="N38" s="3342">
        <v>8</v>
      </c>
    </row>
    <row r="39" spans="1:14">
      <c r="A39" s="3311"/>
      <c r="B39" s="3312"/>
      <c r="C39" s="3312"/>
      <c r="D39" s="3312"/>
      <c r="E39" s="3312"/>
      <c r="F39" s="3312"/>
      <c r="G39" s="3313"/>
      <c r="I39" s="3285">
        <v>30</v>
      </c>
      <c r="J39" s="3285">
        <v>93.8</v>
      </c>
      <c r="K39" s="3285">
        <f t="shared" si="3"/>
        <v>4.5</v>
      </c>
      <c r="L39" s="3285" t="s">
        <v>424</v>
      </c>
      <c r="N39" s="3342">
        <v>6</v>
      </c>
    </row>
    <row r="40" spans="1:14">
      <c r="A40" s="3314" t="s">
        <v>441</v>
      </c>
      <c r="B40" s="3315"/>
      <c r="C40" s="3315"/>
      <c r="D40" s="3315"/>
      <c r="E40" s="3315"/>
      <c r="F40" s="3315"/>
      <c r="G40" s="3316"/>
      <c r="I40" s="3285">
        <v>35</v>
      </c>
      <c r="J40" s="3285">
        <v>97.2</v>
      </c>
      <c r="K40" s="3285">
        <f t="shared" si="3"/>
        <v>3.4000000000000101</v>
      </c>
      <c r="L40" s="3285" t="s">
        <v>426</v>
      </c>
      <c r="N40" s="3342">
        <v>3</v>
      </c>
    </row>
    <row r="41" spans="1:14">
      <c r="A41" s="3317" t="s">
        <v>442</v>
      </c>
      <c r="B41" s="3318" t="s">
        <v>443</v>
      </c>
      <c r="C41" s="3319" t="s">
        <v>444</v>
      </c>
      <c r="D41" s="3319" t="s">
        <v>445</v>
      </c>
      <c r="E41" s="3320"/>
      <c r="F41" s="3321"/>
      <c r="G41" s="3322"/>
      <c r="I41" s="3285">
        <v>40</v>
      </c>
      <c r="J41" s="3285">
        <v>100</v>
      </c>
      <c r="K41" s="3285">
        <f t="shared" si="3"/>
        <v>2.8</v>
      </c>
    </row>
    <row r="42" spans="1:14">
      <c r="A42" s="3317" t="s">
        <v>233</v>
      </c>
      <c r="B42" s="3318" t="s">
        <v>446</v>
      </c>
      <c r="C42" s="3319" t="s">
        <v>446</v>
      </c>
      <c r="D42" s="3323" t="s">
        <v>447</v>
      </c>
      <c r="E42" s="3315" t="s">
        <v>448</v>
      </c>
      <c r="F42" s="3315"/>
      <c r="G42" s="3316"/>
    </row>
    <row r="43" spans="1:14">
      <c r="A43" s="3317" t="s">
        <v>232</v>
      </c>
      <c r="B43" s="3318" t="s">
        <v>449</v>
      </c>
      <c r="C43" s="3319" t="s">
        <v>450</v>
      </c>
      <c r="D43" s="3319" t="s">
        <v>451</v>
      </c>
      <c r="E43" s="3320" t="s">
        <v>452</v>
      </c>
      <c r="F43" s="3321"/>
      <c r="G43" s="3322"/>
      <c r="I43" s="3285" t="s">
        <v>410</v>
      </c>
      <c r="J43" s="3285" t="s">
        <v>453</v>
      </c>
    </row>
    <row r="44" spans="1:14">
      <c r="A44" s="3317" t="s">
        <v>454</v>
      </c>
      <c r="B44" s="3318" t="s">
        <v>455</v>
      </c>
      <c r="C44" s="3319" t="s">
        <v>456</v>
      </c>
      <c r="D44" s="3323">
        <v>0.5</v>
      </c>
      <c r="E44" s="3320" t="s">
        <v>457</v>
      </c>
      <c r="F44" s="3321"/>
      <c r="G44" s="3322"/>
      <c r="I44" s="3285">
        <v>30</v>
      </c>
      <c r="J44" s="3285">
        <v>81.7</v>
      </c>
    </row>
    <row r="45" spans="1:14">
      <c r="A45" s="3324" t="s">
        <v>458</v>
      </c>
      <c r="B45" s="3325" t="s">
        <v>446</v>
      </c>
      <c r="C45" s="3326" t="s">
        <v>446</v>
      </c>
      <c r="D45" s="3326" t="s">
        <v>459</v>
      </c>
      <c r="E45" s="3327" t="s">
        <v>460</v>
      </c>
      <c r="F45" s="3327"/>
      <c r="G45" s="3328"/>
      <c r="I45" s="3285">
        <v>40</v>
      </c>
      <c r="J45" s="3285">
        <v>89.2</v>
      </c>
      <c r="K45" s="3285">
        <f>J45-J44</f>
        <v>7.5</v>
      </c>
    </row>
    <row r="46" spans="1:14">
      <c r="I46" s="3285">
        <v>50</v>
      </c>
      <c r="J46" s="3285">
        <v>94.3</v>
      </c>
      <c r="K46" s="3285">
        <f t="shared" ref="K46:K47" si="4">J46-J45</f>
        <v>5.0999999999999899</v>
      </c>
    </row>
    <row r="47" spans="1:14">
      <c r="I47" s="3285">
        <v>60</v>
      </c>
      <c r="J47" s="3285">
        <v>97.7</v>
      </c>
      <c r="K47" s="3285">
        <f t="shared" si="4"/>
        <v>3.4000000000000101</v>
      </c>
    </row>
    <row r="49" spans="1:4">
      <c r="A49" s="3286" t="s">
        <v>461</v>
      </c>
    </row>
    <row r="50" spans="1:4">
      <c r="A50" s="3329" t="s">
        <v>462</v>
      </c>
      <c r="B50" s="3329" t="s">
        <v>463</v>
      </c>
      <c r="C50" s="3329" t="s">
        <v>464</v>
      </c>
      <c r="D50" s="3329" t="s">
        <v>465</v>
      </c>
    </row>
    <row r="51" spans="1:4">
      <c r="A51" s="3329" t="s">
        <v>466</v>
      </c>
      <c r="B51" s="3299">
        <f>B52+B53</f>
        <v>15000</v>
      </c>
      <c r="C51" s="3330">
        <f>D51/B51</f>
        <v>2666.6666666666702</v>
      </c>
      <c r="D51" s="3299">
        <f>D52+D53</f>
        <v>40000000</v>
      </c>
    </row>
    <row r="52" spans="1:4">
      <c r="A52" s="3331" t="s">
        <v>467</v>
      </c>
      <c r="B52" s="3332">
        <v>10000</v>
      </c>
      <c r="C52" s="3332">
        <v>1500</v>
      </c>
      <c r="D52" s="3333">
        <f>C52*B52</f>
        <v>15000000</v>
      </c>
    </row>
    <row r="53" spans="1:4">
      <c r="A53" s="3331" t="s">
        <v>468</v>
      </c>
      <c r="B53" s="3332">
        <v>5000</v>
      </c>
      <c r="C53" s="3332">
        <v>5000</v>
      </c>
      <c r="D53" s="3333">
        <f>C53*B53</f>
        <v>25000000</v>
      </c>
    </row>
    <row r="54" spans="1:4">
      <c r="A54" s="3329" t="s">
        <v>469</v>
      </c>
      <c r="B54" s="3299">
        <f>B51</f>
        <v>15000</v>
      </c>
      <c r="C54" s="3297">
        <v>700</v>
      </c>
      <c r="D54" s="3299">
        <f t="shared" ref="D54:D55" si="5">C54*B54</f>
        <v>10500000</v>
      </c>
    </row>
    <row r="55" spans="1:4">
      <c r="A55" s="3329" t="s">
        <v>470</v>
      </c>
      <c r="B55" s="3299">
        <f>B51</f>
        <v>15000</v>
      </c>
      <c r="C55" s="3297">
        <v>1500</v>
      </c>
      <c r="D55" s="3299">
        <f t="shared" si="5"/>
        <v>22500000</v>
      </c>
    </row>
    <row r="56" spans="1:4">
      <c r="A56" s="3329" t="s">
        <v>471</v>
      </c>
      <c r="B56" s="3299">
        <f>B51</f>
        <v>15000</v>
      </c>
      <c r="C56" s="3334">
        <f>C51+C54+C55</f>
        <v>4866.6666666666697</v>
      </c>
      <c r="D56" s="3299">
        <f>D51+D54+D55</f>
        <v>73000000</v>
      </c>
    </row>
    <row r="58" spans="1:4">
      <c r="A58" s="3329" t="s">
        <v>472</v>
      </c>
      <c r="B58" s="3335">
        <v>0.05</v>
      </c>
      <c r="C58" s="3299">
        <f>C56*(1+B58)</f>
        <v>5110</v>
      </c>
      <c r="D58" s="3299">
        <f>D56*B58</f>
        <v>3650000</v>
      </c>
    </row>
    <row r="60" spans="1:4">
      <c r="A60" s="3329" t="s">
        <v>473</v>
      </c>
      <c r="B60" s="3297">
        <v>3500</v>
      </c>
      <c r="C60" s="3297">
        <f>C53</f>
        <v>5000</v>
      </c>
      <c r="D60" s="3299">
        <f>C60*B60</f>
        <v>17500000</v>
      </c>
    </row>
    <row r="62" spans="1:4">
      <c r="A62" s="3329" t="s">
        <v>388</v>
      </c>
      <c r="B62" s="3297">
        <f>B51</f>
        <v>15000</v>
      </c>
      <c r="C62" s="3336">
        <f>D62/B62</f>
        <v>6276.6666666666697</v>
      </c>
      <c r="D62" s="3297">
        <f>D56+D58+D60</f>
        <v>94150000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55" customWidth="1"/>
    <col min="10" max="10" width="10" style="2968" customWidth="1"/>
    <col min="11" max="11" width="10" style="3152" customWidth="1"/>
    <col min="12" max="13" width="10" style="3153" customWidth="1"/>
    <col min="14" max="14" width="10" style="2968" customWidth="1"/>
    <col min="15" max="15" width="10" style="560" customWidth="1"/>
    <col min="16" max="17" width="10" style="2968"/>
    <col min="18" max="18" width="10" style="2968" customWidth="1"/>
    <col min="19" max="30" width="10" style="2968"/>
    <col min="31" max="16384" width="10" style="2773"/>
  </cols>
  <sheetData>
    <row r="1" spans="1:30">
      <c r="A1" s="3154" t="s">
        <v>474</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723"/>
      <c r="K1" s="3251"/>
      <c r="L1" s="3252"/>
      <c r="M1" s="3252"/>
      <c r="N1" s="3196"/>
      <c r="O1" s="3063"/>
      <c r="P1" s="3196"/>
      <c r="Q1" s="3196"/>
      <c r="R1" s="3196"/>
      <c r="S1" s="2774" t="str">
        <f>IF(B10="北京市","北京市",C10)&amp;F10&amp;IF(结果表!G1="在建","出让国有建设用地使用权及在建建筑物房地产抵押价值",IF(结果表!G1="土地","出让国有建设用地使用权抵押价值",B9))</f>
        <v>北京市房地产抵押价值</v>
      </c>
      <c r="T1" s="2773"/>
      <c r="U1" s="2773"/>
      <c r="V1" s="2773"/>
      <c r="W1" s="2773"/>
      <c r="X1" s="2773"/>
      <c r="Y1" s="2773"/>
      <c r="Z1" s="2773"/>
      <c r="AA1" s="2773"/>
      <c r="AB1" s="2773"/>
    </row>
    <row r="2" spans="1:30">
      <c r="A2" s="3155" t="s">
        <v>475</v>
      </c>
      <c r="B2" s="3156"/>
      <c r="C2" s="3157"/>
      <c r="D2" s="3158"/>
      <c r="E2" s="3159"/>
      <c r="F2" s="3159"/>
      <c r="G2" s="3160"/>
      <c r="H2" s="3160"/>
      <c r="I2" s="3160"/>
      <c r="J2" s="2723"/>
      <c r="K2" s="3251"/>
      <c r="L2" s="3252"/>
      <c r="M2" s="3252"/>
      <c r="N2" s="3196"/>
      <c r="O2" s="3063"/>
      <c r="P2" s="3196"/>
      <c r="Q2" s="3196"/>
      <c r="R2" s="3196"/>
      <c r="S2" s="2774" t="str">
        <f>IF(B10="北京市","北京市",C10)&amp;F10&amp;IF(结果表!G1="在建","出让国有建设用地使用权及在建建筑物房地产",IF(结果表!G1="土地","出让国有建设用地使用权","房地产"))</f>
        <v>北京市房地产</v>
      </c>
      <c r="T2" s="2773"/>
      <c r="U2" s="2773"/>
      <c r="V2" s="2773"/>
      <c r="W2" s="2773"/>
      <c r="X2" s="2773"/>
      <c r="Y2" s="2773"/>
      <c r="Z2" s="2773"/>
      <c r="AA2" s="2773"/>
      <c r="AB2" s="2773"/>
    </row>
    <row r="3" spans="1:30">
      <c r="A3" s="1971" t="s">
        <v>476</v>
      </c>
      <c r="B3" s="3161"/>
      <c r="C3" s="3162" t="s">
        <v>477</v>
      </c>
      <c r="D3" s="3161">
        <v>45911</v>
      </c>
      <c r="E3" s="3160"/>
      <c r="F3" s="3160"/>
      <c r="G3" s="3160"/>
      <c r="H3" s="3160"/>
      <c r="I3" s="3160"/>
      <c r="J3" s="2723"/>
      <c r="K3" s="3251"/>
      <c r="L3" s="3252"/>
      <c r="M3" s="3252"/>
      <c r="N3" s="3196"/>
      <c r="O3" s="3063"/>
      <c r="P3" s="3196"/>
      <c r="Q3" s="3196"/>
      <c r="R3" s="3196"/>
      <c r="S3" s="2774"/>
      <c r="T3" s="2773"/>
      <c r="U3" s="2773"/>
      <c r="V3" s="2773"/>
      <c r="W3" s="2773"/>
      <c r="X3" s="2773"/>
      <c r="Y3" s="2773"/>
      <c r="Z3" s="2773"/>
      <c r="AA3" s="2773"/>
      <c r="AB3" s="2773"/>
    </row>
    <row r="4" spans="1:30">
      <c r="A4" s="1993" t="s">
        <v>478</v>
      </c>
      <c r="B4" s="3163" t="s">
        <v>188</v>
      </c>
      <c r="C4" s="3164">
        <f ca="1">SUMIF(注册房地产估价师,B4,估价师及机构信息!B3:B24)</f>
        <v>1419970001</v>
      </c>
      <c r="D4" s="3163" t="s">
        <v>191</v>
      </c>
      <c r="E4" s="3165">
        <f ca="1">SUMIF(注册房地产估价师,D4,估价师及机构信息!B3:B24)</f>
        <v>1120070131</v>
      </c>
      <c r="F4" s="3163"/>
      <c r="G4" s="3165">
        <f>SUMIF(注册房地产估价师,F4,估价师及机构信息!B3:B24)</f>
        <v>0</v>
      </c>
      <c r="H4" s="3163"/>
      <c r="I4" s="3165">
        <f>SUMIF(注册房地产估价师,H4,估价师及机构信息!B3:B24)</f>
        <v>0</v>
      </c>
      <c r="J4" s="2757"/>
      <c r="K4" s="3253" t="str">
        <f ca="1">CONCATENATE(B4,"（注册号：",C4,")、",D4,"（注册号：",E4,")")</f>
        <v>吴薇（注册号：1419970001)、郑燚（注册号：1120070131)</v>
      </c>
      <c r="L4" s="3252"/>
      <c r="M4" s="3252"/>
      <c r="N4" s="3196"/>
      <c r="O4" s="3063"/>
      <c r="P4" s="3196"/>
      <c r="Q4" s="3196"/>
      <c r="R4" s="3196"/>
      <c r="S4" s="2774"/>
      <c r="T4" s="2773"/>
      <c r="U4" s="2773"/>
      <c r="V4" s="2773"/>
      <c r="W4" s="2773"/>
      <c r="X4" s="2773"/>
      <c r="Y4" s="2773"/>
      <c r="Z4" s="2773"/>
      <c r="AA4" s="2773"/>
      <c r="AB4" s="2773"/>
    </row>
    <row r="5" spans="1:30">
      <c r="A5" s="3166" t="s">
        <v>479</v>
      </c>
      <c r="B5" s="3167"/>
      <c r="C5" s="3168"/>
      <c r="D5" s="3169"/>
      <c r="E5" s="2878"/>
      <c r="F5" s="2878"/>
      <c r="G5" s="2878"/>
      <c r="H5" s="2878"/>
      <c r="I5" s="2878"/>
      <c r="J5" s="2757"/>
      <c r="K5" s="3253" t="str">
        <f>IF(F4="——","",IF(H4="——",F4&amp;"（注册号："&amp;G4&amp;")",CONCATENATE(F4,"（注册号：",G4,")、",H4,"（注册号：",I4,")")))</f>
        <v>（注册号：0)、（注册号：0)</v>
      </c>
      <c r="L5" s="3252"/>
      <c r="M5" s="3252"/>
      <c r="N5" s="3196"/>
      <c r="O5" s="3063"/>
      <c r="P5" s="3196"/>
      <c r="Q5" s="3196"/>
      <c r="R5" s="3196"/>
      <c r="S5" s="2773"/>
      <c r="T5" s="2773"/>
      <c r="U5" s="2773"/>
      <c r="V5" s="2773"/>
      <c r="W5" s="2773"/>
      <c r="X5" s="2773"/>
      <c r="Y5" s="2773"/>
      <c r="Z5" s="2773"/>
      <c r="AA5" s="2773"/>
      <c r="AB5" s="2773"/>
    </row>
    <row r="6" spans="1:30">
      <c r="A6" s="3170" t="s">
        <v>480</v>
      </c>
      <c r="B6" s="3171"/>
      <c r="C6" s="3172"/>
      <c r="D6" s="3173"/>
      <c r="E6" s="3159"/>
      <c r="F6" s="2878"/>
      <c r="G6" s="2878"/>
      <c r="H6" s="2878"/>
      <c r="I6" s="2878"/>
      <c r="J6" s="2757"/>
      <c r="K6" s="3254" t="str">
        <f>IF(COUNTIF(B6,"*上海银行*"),"上海银行","")</f>
        <v/>
      </c>
      <c r="L6" s="3255"/>
      <c r="M6" s="3255"/>
      <c r="N6" s="2757"/>
      <c r="O6" s="3256"/>
      <c r="P6" s="2757"/>
      <c r="Q6" s="2757"/>
      <c r="R6" s="2757"/>
    </row>
    <row r="7" spans="1:30">
      <c r="A7" s="3170" t="s">
        <v>481</v>
      </c>
      <c r="B7" s="3174"/>
      <c r="C7" s="3172"/>
      <c r="D7" s="3173"/>
      <c r="E7" s="3159"/>
      <c r="F7" s="2878"/>
      <c r="G7" s="2878"/>
      <c r="H7" s="2878"/>
      <c r="I7" s="2878"/>
      <c r="J7" s="2757"/>
      <c r="K7" s="3257"/>
      <c r="L7" s="3255"/>
      <c r="M7" s="3255"/>
      <c r="N7" s="2757"/>
      <c r="O7" s="3256"/>
      <c r="P7" s="2757"/>
      <c r="Q7" s="2757"/>
      <c r="R7" s="2757"/>
    </row>
    <row r="8" spans="1:30">
      <c r="A8" s="3175" t="s">
        <v>482</v>
      </c>
      <c r="B8" s="3176" t="s">
        <v>363</v>
      </c>
      <c r="C8" s="3177"/>
      <c r="D8" s="3559" t="s">
        <v>483</v>
      </c>
      <c r="E8" s="3178" t="s">
        <v>368</v>
      </c>
      <c r="F8" s="3179"/>
      <c r="G8" s="3160"/>
      <c r="H8" s="3160"/>
      <c r="I8" s="3160"/>
      <c r="J8" s="2757"/>
      <c r="K8" s="3258"/>
      <c r="L8" s="3255"/>
      <c r="M8" s="3255"/>
      <c r="N8" s="2757"/>
      <c r="O8" s="3256"/>
      <c r="P8" s="2757"/>
      <c r="Q8" s="2757"/>
      <c r="R8" s="2757"/>
    </row>
    <row r="9" spans="1:30">
      <c r="A9" s="3180" t="s">
        <v>484</v>
      </c>
      <c r="B9" s="3181" t="s">
        <v>368</v>
      </c>
      <c r="C9" s="3182"/>
      <c r="D9" s="3560"/>
      <c r="E9" s="3181"/>
      <c r="F9" s="3183"/>
      <c r="G9" s="3184"/>
      <c r="H9" s="3184"/>
      <c r="I9" s="3184"/>
      <c r="J9" s="2757"/>
      <c r="K9" s="3257"/>
      <c r="L9" s="3255"/>
      <c r="M9" s="3255"/>
      <c r="N9" s="2757"/>
      <c r="O9" s="3256"/>
      <c r="P9" s="2757"/>
      <c r="Q9" s="2757"/>
      <c r="R9" s="2757"/>
    </row>
    <row r="10" spans="1:30">
      <c r="A10" s="3185" t="s">
        <v>485</v>
      </c>
      <c r="B10" s="3186" t="s">
        <v>486</v>
      </c>
      <c r="C10" s="3187"/>
      <c r="D10" s="3169"/>
      <c r="E10" s="3188" t="s">
        <v>487</v>
      </c>
      <c r="F10" s="3189"/>
      <c r="G10" s="3190"/>
      <c r="H10" s="3191"/>
      <c r="I10" s="3259"/>
      <c r="J10" s="2757"/>
      <c r="K10" s="3257"/>
      <c r="L10" s="3255"/>
      <c r="M10" s="3255"/>
      <c r="N10" s="2757"/>
      <c r="O10" s="3256"/>
      <c r="P10" s="2757"/>
      <c r="Q10" s="2757"/>
      <c r="R10" s="2757"/>
    </row>
    <row r="11" spans="1:30">
      <c r="A11" s="3192" t="s">
        <v>488</v>
      </c>
      <c r="B11" s="3193" t="s">
        <v>489</v>
      </c>
      <c r="C11" s="3194"/>
      <c r="D11" s="3195"/>
      <c r="E11" s="3196"/>
      <c r="F11" s="3196"/>
      <c r="G11" s="3196"/>
      <c r="H11" s="3196"/>
      <c r="I11" s="3196"/>
      <c r="J11" s="3260"/>
      <c r="K11" s="3261"/>
      <c r="L11" s="3255"/>
      <c r="M11" s="3255"/>
      <c r="N11" s="2757"/>
      <c r="O11" s="3256"/>
      <c r="P11" s="2757"/>
      <c r="Q11" s="2757"/>
      <c r="R11" s="2757"/>
    </row>
    <row r="12" spans="1:30">
      <c r="A12" s="3197" t="s">
        <v>490</v>
      </c>
      <c r="B12" s="2012" t="s">
        <v>491</v>
      </c>
      <c r="C12" s="3198" t="s">
        <v>492</v>
      </c>
      <c r="D12" s="3198" t="s">
        <v>493</v>
      </c>
      <c r="E12" s="3198" t="s">
        <v>494</v>
      </c>
      <c r="F12" s="3198" t="s">
        <v>495</v>
      </c>
      <c r="G12" s="3198" t="s">
        <v>496</v>
      </c>
      <c r="H12" s="3198" t="s">
        <v>497</v>
      </c>
      <c r="I12" s="3262" t="s">
        <v>231</v>
      </c>
      <c r="J12" s="3263"/>
      <c r="K12" s="3255"/>
      <c r="L12" s="3255"/>
      <c r="M12" s="2757"/>
      <c r="N12" s="3256"/>
      <c r="O12" s="2757"/>
      <c r="P12" s="2757"/>
      <c r="Q12" s="2757"/>
      <c r="AD12" s="2773"/>
    </row>
    <row r="13" spans="1:30">
      <c r="A13" s="3199" t="s">
        <v>498</v>
      </c>
      <c r="B13" s="3200" t="s">
        <v>499</v>
      </c>
      <c r="C13" s="3201"/>
      <c r="D13" s="3201"/>
      <c r="E13" s="3201"/>
      <c r="F13" s="3201">
        <v>59189</v>
      </c>
      <c r="G13" s="3201"/>
      <c r="H13" s="3201"/>
      <c r="I13" s="3201"/>
      <c r="J13" s="3263"/>
      <c r="K13" s="3255"/>
      <c r="L13" s="3255"/>
      <c r="M13" s="2757"/>
      <c r="N13" s="3256"/>
      <c r="O13" s="2757"/>
      <c r="P13" s="2757"/>
      <c r="Q13" s="2757"/>
      <c r="AD13" s="2773"/>
    </row>
    <row r="14" spans="1:30">
      <c r="A14" s="1998"/>
      <c r="B14" s="3200" t="s">
        <v>500</v>
      </c>
      <c r="C14" s="3202"/>
      <c r="D14" s="3202"/>
      <c r="E14" s="3202"/>
      <c r="F14" s="3202">
        <v>50</v>
      </c>
      <c r="G14" s="3202"/>
      <c r="H14" s="3202"/>
      <c r="I14" s="3202"/>
      <c r="J14" s="3264"/>
      <c r="K14" s="3255"/>
      <c r="L14" s="3255"/>
      <c r="M14" s="2757"/>
      <c r="N14" s="3256"/>
      <c r="O14" s="2757"/>
      <c r="P14" s="2757"/>
      <c r="Q14" s="2757"/>
      <c r="AD14" s="2773"/>
    </row>
    <row r="15" spans="1:30">
      <c r="A15" s="2005"/>
      <c r="B15" s="3203" t="s">
        <v>501</v>
      </c>
      <c r="C15" s="3204" t="str">
        <f>IF(A13="出让",IF(C13="","",ROUNDDOWN(MIN((C13-$D$3)/365,C14),2)),C14)</f>
        <v/>
      </c>
      <c r="D15" s="3204" t="str">
        <f>IF(A13="出让",IF(D13="","",ROUNDDOWN(MIN((D13-$D$3)/365,D14),2)),D14)</f>
        <v/>
      </c>
      <c r="E15" s="3204" t="str">
        <f>IF(A13="出让",IF(E13="","",ROUNDDOWN(MIN((E13-$D$3)/365,E14),2)),E14)</f>
        <v/>
      </c>
      <c r="F15" s="3204">
        <f>IF(A13="出让",IF(F13="","",ROUNDDOWN(MIN((F13-$D$3)/365,F14),2)),F14)</f>
        <v>36.369999999999997</v>
      </c>
      <c r="G15" s="3204" t="str">
        <f>IF(A13="出让",IF(G13="","",ROUNDDOWN(MIN((G13-$D$3)/365,G14),2)),G14)</f>
        <v/>
      </c>
      <c r="H15" s="3204" t="str">
        <f>IF(A13="出让",IF(H13="","",ROUNDDOWN(MIN((H13-$D$3)/365,H14),2)),H14)</f>
        <v/>
      </c>
      <c r="I15" s="3204" t="str">
        <f>IF(A13="出让",IF(I13="","",ROUNDDOWN(MIN((I13-$D$3)/365,I14),2)),I14)</f>
        <v/>
      </c>
      <c r="J15" s="3265"/>
      <c r="K15" s="3266"/>
      <c r="L15" s="3266"/>
      <c r="M15" s="2758"/>
      <c r="N15" s="3266"/>
      <c r="O15" s="2758"/>
      <c r="P15" s="2757"/>
      <c r="Q15" s="2757"/>
      <c r="AD15" s="2773"/>
    </row>
    <row r="16" spans="1:30">
      <c r="A16" s="3188" t="s">
        <v>502</v>
      </c>
      <c r="B16" s="3536"/>
      <c r="C16" s="3537"/>
      <c r="D16" s="3538"/>
      <c r="E16" s="3205" t="s">
        <v>503</v>
      </c>
      <c r="F16" s="3539"/>
      <c r="G16" s="3540"/>
      <c r="H16" s="3540"/>
      <c r="I16" s="3541"/>
      <c r="J16" s="2757"/>
      <c r="K16" s="3267"/>
      <c r="L16" s="3266"/>
      <c r="M16" s="3266"/>
      <c r="N16" s="2758"/>
      <c r="O16" s="3266"/>
      <c r="P16" s="2758"/>
      <c r="Q16" s="2757"/>
      <c r="R16" s="2757"/>
    </row>
    <row r="17" spans="1:28">
      <c r="A17" s="1982" t="s">
        <v>504</v>
      </c>
      <c r="B17" s="1971" t="s">
        <v>505</v>
      </c>
      <c r="C17" s="624">
        <f>'数据-汇总表'!E3</f>
        <v>30.6</v>
      </c>
      <c r="D17" s="2025" t="s">
        <v>506</v>
      </c>
      <c r="E17" s="3542" t="s">
        <v>507</v>
      </c>
      <c r="F17" s="3543"/>
      <c r="G17" s="3543"/>
      <c r="H17" s="3543"/>
      <c r="I17" s="3544"/>
      <c r="J17" s="2757"/>
      <c r="K17" s="3268"/>
      <c r="L17" s="3266"/>
      <c r="M17" s="3266"/>
      <c r="N17" s="2758"/>
      <c r="O17" s="3266"/>
      <c r="P17" s="2758"/>
      <c r="Q17" s="2757"/>
      <c r="R17" s="2757"/>
      <c r="S17" s="2757"/>
      <c r="T17" s="2757"/>
      <c r="U17" s="2757"/>
      <c r="V17" s="2757"/>
    </row>
    <row r="18" spans="1:28" ht="24">
      <c r="A18" s="3206" t="s">
        <v>508</v>
      </c>
      <c r="B18" s="1993" t="s">
        <v>509</v>
      </c>
      <c r="C18" s="3207">
        <f>'数据-汇总表'!D3</f>
        <v>0</v>
      </c>
      <c r="D18" s="2018" t="s">
        <v>506</v>
      </c>
      <c r="E18" s="3545" t="s">
        <v>510</v>
      </c>
      <c r="F18" s="3546"/>
      <c r="G18" s="3546"/>
      <c r="H18" s="3546"/>
      <c r="I18" s="3547"/>
      <c r="J18" s="2757"/>
      <c r="K18" s="3268"/>
      <c r="L18" s="3266"/>
      <c r="M18" s="3266"/>
      <c r="N18" s="2758"/>
      <c r="O18" s="3266"/>
      <c r="P18" s="2758"/>
      <c r="Q18" s="2757"/>
      <c r="R18" s="2757"/>
      <c r="S18" s="2757"/>
      <c r="T18" s="2757"/>
      <c r="U18" s="2757"/>
      <c r="V18" s="2757"/>
    </row>
    <row r="19" spans="1:28" ht="36">
      <c r="A19" s="2035" t="s">
        <v>511</v>
      </c>
      <c r="B19" s="1975" t="s">
        <v>512</v>
      </c>
      <c r="C19" s="3208"/>
      <c r="D19" s="3209" t="s">
        <v>513</v>
      </c>
      <c r="E19" s="3210"/>
      <c r="F19" s="3211" t="str">
        <f>IF(AND(C19="是",E19="否"),"是否提供他项权证或相关说明","")</f>
        <v/>
      </c>
      <c r="G19" s="3212"/>
      <c r="H19" s="2878"/>
      <c r="I19" s="2878"/>
      <c r="J19" s="2757"/>
      <c r="K19" s="3257"/>
      <c r="L19" s="3255"/>
      <c r="M19" s="3255"/>
      <c r="N19" s="2758"/>
      <c r="O19" s="3266"/>
      <c r="P19" s="2758"/>
      <c r="Q19" s="2757"/>
      <c r="R19" s="2757"/>
      <c r="S19" s="2757"/>
      <c r="T19" s="2757"/>
      <c r="U19" s="2757"/>
      <c r="V19" s="2757"/>
    </row>
    <row r="20" spans="1:28">
      <c r="A20" s="3213" t="s">
        <v>514</v>
      </c>
      <c r="B20" s="3548" t="s">
        <v>515</v>
      </c>
      <c r="C20" s="3549"/>
      <c r="D20" s="3550" t="s">
        <v>516</v>
      </c>
      <c r="E20" s="3551"/>
      <c r="F20" s="3214" t="s">
        <v>517</v>
      </c>
      <c r="G20" s="2878"/>
      <c r="H20" s="2878"/>
      <c r="I20" s="2878"/>
      <c r="J20" s="2757"/>
      <c r="K20" s="3561" t="s">
        <v>518</v>
      </c>
      <c r="L20" s="21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2"/>
      <c r="N20" s="3269"/>
      <c r="O20" s="3270"/>
      <c r="P20" s="3269"/>
      <c r="Q20" s="3196"/>
      <c r="R20" s="3196"/>
      <c r="S20" s="3196"/>
      <c r="T20" s="3196"/>
      <c r="U20" s="3196"/>
      <c r="V20" s="3196"/>
      <c r="W20" s="2773"/>
      <c r="X20" s="2773"/>
      <c r="Y20" s="2773"/>
      <c r="Z20" s="2773"/>
      <c r="AA20" s="2773"/>
      <c r="AB20" s="2773"/>
    </row>
    <row r="21" spans="1:28" ht="24">
      <c r="A21" s="3213"/>
      <c r="B21" s="3215" t="s">
        <v>519</v>
      </c>
      <c r="C21" s="3216" t="s">
        <v>520</v>
      </c>
      <c r="D21" s="3217" t="s">
        <v>521</v>
      </c>
      <c r="E21" s="3218" t="s">
        <v>520</v>
      </c>
      <c r="F21" s="3219"/>
      <c r="G21" s="2878"/>
      <c r="H21" s="2878"/>
      <c r="I21" s="2878"/>
      <c r="J21" s="2757"/>
      <c r="K21" s="3561"/>
      <c r="L21" s="21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2"/>
      <c r="N21" s="3269"/>
      <c r="O21" s="3270"/>
      <c r="P21" s="3269"/>
      <c r="Q21" s="3196"/>
      <c r="R21" s="3196"/>
      <c r="S21" s="3196"/>
      <c r="T21" s="3196"/>
      <c r="U21" s="3196"/>
      <c r="V21" s="3196"/>
      <c r="W21" s="2773"/>
      <c r="X21" s="2773"/>
      <c r="Y21" s="2773"/>
      <c r="Z21" s="2773"/>
      <c r="AA21" s="2773"/>
      <c r="AB21" s="2773"/>
    </row>
    <row r="22" spans="1:28" ht="24">
      <c r="A22" s="3213"/>
      <c r="B22" s="3220" t="s">
        <v>522</v>
      </c>
      <c r="C22" s="3216" t="s">
        <v>523</v>
      </c>
      <c r="D22" s="3160"/>
      <c r="E22" s="3160"/>
      <c r="F22" s="3160"/>
      <c r="G22" s="2878"/>
      <c r="H22" s="2878"/>
      <c r="I22" s="2878"/>
      <c r="J22" s="2757"/>
      <c r="K22" s="3561"/>
      <c r="L22" s="21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2"/>
      <c r="N22" s="3269"/>
      <c r="O22" s="3270"/>
      <c r="P22" s="3269"/>
      <c r="Q22" s="3196"/>
      <c r="R22" s="3196"/>
      <c r="S22" s="3196"/>
      <c r="T22" s="3196"/>
      <c r="U22" s="3196"/>
      <c r="V22" s="3196"/>
      <c r="W22" s="2773"/>
      <c r="X22" s="2773"/>
      <c r="Y22" s="2773"/>
      <c r="Z22" s="2773"/>
      <c r="AA22" s="2773"/>
      <c r="AB22" s="2773"/>
    </row>
    <row r="23" spans="1:28">
      <c r="A23" s="3221" t="s">
        <v>524</v>
      </c>
      <c r="B23" s="2748" t="s">
        <v>525</v>
      </c>
      <c r="C23" s="3222"/>
      <c r="D23" s="3223" t="s">
        <v>525</v>
      </c>
      <c r="E23" s="3224"/>
      <c r="F23" s="3160"/>
      <c r="G23" s="2878"/>
      <c r="H23" s="2878"/>
      <c r="I23" s="2878"/>
      <c r="J23" s="2757"/>
      <c r="K23" s="3271"/>
      <c r="L23" s="2132"/>
      <c r="M23" s="3255"/>
      <c r="N23" s="2758"/>
      <c r="O23" s="3266"/>
      <c r="P23" s="2758"/>
      <c r="Q23" s="2757"/>
      <c r="R23" s="2757"/>
      <c r="S23" s="2757"/>
      <c r="T23" s="2757"/>
      <c r="U23" s="2757"/>
      <c r="V23" s="2757"/>
    </row>
    <row r="24" spans="1:28">
      <c r="A24" s="3221"/>
      <c r="B24" s="2748" t="s">
        <v>526</v>
      </c>
      <c r="C24" s="3225"/>
      <c r="D24" s="3221" t="s">
        <v>526</v>
      </c>
      <c r="E24" s="3226"/>
      <c r="F24" s="3160"/>
      <c r="G24" s="2878"/>
      <c r="H24" s="2878"/>
      <c r="I24" s="2878"/>
      <c r="J24" s="2757"/>
      <c r="K24" s="3271"/>
      <c r="L24" s="2132"/>
      <c r="M24" s="3255"/>
      <c r="N24" s="2758"/>
      <c r="O24" s="3266"/>
      <c r="P24" s="2758"/>
      <c r="Q24" s="2757"/>
      <c r="R24" s="2757"/>
      <c r="S24" s="2757"/>
      <c r="T24" s="2757"/>
      <c r="U24" s="2757"/>
      <c r="V24" s="2757"/>
    </row>
    <row r="25" spans="1:28">
      <c r="A25" s="3221"/>
      <c r="B25" s="2748" t="s">
        <v>527</v>
      </c>
      <c r="C25" s="3225"/>
      <c r="D25" s="3221" t="s">
        <v>527</v>
      </c>
      <c r="E25" s="3226"/>
      <c r="F25" s="3160"/>
      <c r="G25" s="2878"/>
      <c r="H25" s="2878"/>
      <c r="I25" s="2878"/>
      <c r="J25" s="2757"/>
      <c r="K25" s="3257"/>
      <c r="L25" s="3255"/>
      <c r="M25" s="3255"/>
      <c r="N25" s="2758"/>
      <c r="O25" s="3266"/>
      <c r="P25" s="2758"/>
      <c r="Q25" s="2757"/>
      <c r="R25" s="2757"/>
      <c r="S25" s="2757"/>
      <c r="T25" s="2757"/>
      <c r="U25" s="2757"/>
      <c r="V25" s="2757"/>
    </row>
    <row r="26" spans="1:28">
      <c r="A26" s="3227"/>
      <c r="B26" s="3228" t="s">
        <v>528</v>
      </c>
      <c r="C26" s="3229"/>
      <c r="D26" s="3227" t="s">
        <v>528</v>
      </c>
      <c r="E26" s="3230"/>
      <c r="F26" s="3184"/>
      <c r="G26" s="3184"/>
      <c r="H26" s="3184"/>
      <c r="I26" s="3184"/>
      <c r="J26" s="2757"/>
      <c r="K26" s="3257"/>
      <c r="L26" s="3255"/>
      <c r="M26" s="3255"/>
      <c r="N26" s="2758"/>
      <c r="O26" s="3266"/>
      <c r="P26" s="2758"/>
      <c r="Q26" s="2757"/>
      <c r="R26" s="2757"/>
      <c r="S26" s="2757"/>
      <c r="T26" s="2757"/>
      <c r="U26" s="2757"/>
      <c r="V26" s="2757"/>
    </row>
    <row r="27" spans="1:28">
      <c r="A27" s="3555" t="s">
        <v>529</v>
      </c>
      <c r="B27" s="2005" t="s">
        <v>530</v>
      </c>
      <c r="C27" s="3231"/>
      <c r="D27" s="3232"/>
      <c r="E27" s="2878"/>
      <c r="F27" s="2878"/>
      <c r="G27" s="2878"/>
      <c r="H27" s="2878"/>
      <c r="I27" s="2878"/>
      <c r="J27" s="2757"/>
      <c r="K27" s="3267"/>
      <c r="L27" s="3266"/>
      <c r="M27" s="3266"/>
      <c r="N27" s="2758"/>
      <c r="O27" s="3266"/>
      <c r="P27" s="2758"/>
      <c r="Q27" s="2757"/>
      <c r="R27" s="2757"/>
      <c r="S27" s="2757"/>
      <c r="T27" s="2757"/>
      <c r="U27" s="2757"/>
      <c r="V27" s="2757"/>
    </row>
    <row r="28" spans="1:28">
      <c r="A28" s="3555"/>
      <c r="B28" s="1971" t="s">
        <v>531</v>
      </c>
      <c r="C28" s="3233"/>
      <c r="D28" s="3234"/>
      <c r="E28" s="2878"/>
      <c r="F28" s="2878"/>
      <c r="G28" s="2878"/>
      <c r="H28" s="2878"/>
      <c r="I28" s="2878"/>
      <c r="J28" s="2757"/>
      <c r="K28" s="3257"/>
      <c r="L28" s="3255"/>
      <c r="M28" s="3255"/>
      <c r="N28" s="2757"/>
      <c r="O28" s="3256"/>
      <c r="P28" s="2757"/>
      <c r="Q28" s="2757"/>
      <c r="R28" s="2757"/>
      <c r="S28" s="2757"/>
      <c r="T28" s="2757"/>
      <c r="U28" s="2757"/>
      <c r="V28" s="2757"/>
    </row>
    <row r="29" spans="1:28">
      <c r="A29" s="3555"/>
      <c r="B29" s="1971" t="s">
        <v>532</v>
      </c>
      <c r="C29" s="3235"/>
      <c r="D29" s="3236"/>
      <c r="E29" s="2878"/>
      <c r="F29" s="2878"/>
      <c r="G29" s="2878"/>
      <c r="H29" s="2878"/>
      <c r="I29" s="2878"/>
      <c r="J29" s="2757"/>
      <c r="K29" s="3257"/>
      <c r="L29" s="3255"/>
      <c r="M29" s="3255"/>
      <c r="N29" s="2757"/>
      <c r="O29" s="3256"/>
      <c r="P29" s="2757"/>
      <c r="Q29" s="2757"/>
      <c r="R29" s="2757"/>
      <c r="S29" s="2757"/>
      <c r="T29" s="2757"/>
      <c r="U29" s="2757"/>
      <c r="V29" s="2757"/>
    </row>
    <row r="30" spans="1:28">
      <c r="A30" s="3556"/>
      <c r="B30" s="1971" t="s">
        <v>533</v>
      </c>
      <c r="C30" s="3552"/>
      <c r="D30" s="3553"/>
      <c r="E30" s="2878"/>
      <c r="F30" s="2878"/>
      <c r="G30" s="2878"/>
      <c r="H30" s="2878"/>
      <c r="I30" s="2878"/>
      <c r="J30" s="2757"/>
      <c r="K30" s="3257"/>
      <c r="L30" s="3255"/>
      <c r="M30" s="3255"/>
      <c r="N30" s="2757"/>
      <c r="O30" s="3256"/>
      <c r="P30" s="2757"/>
      <c r="Q30" s="2757"/>
      <c r="R30" s="2757"/>
      <c r="S30" s="2757"/>
      <c r="T30" s="2757"/>
      <c r="U30" s="2757"/>
      <c r="V30" s="2757"/>
    </row>
    <row r="31" spans="1:28">
      <c r="A31" s="3557" t="s">
        <v>534</v>
      </c>
      <c r="B31" s="3237"/>
      <c r="C31" s="2123" t="str">
        <f>IF(B31="现房","成新及维护状况正常否",IF(B31="在建","工程状态是否正常",IF(B31="土地","是否闲置","-")))</f>
        <v>-</v>
      </c>
      <c r="D31" s="2088"/>
      <c r="E31" s="3238"/>
      <c r="F31" s="2878"/>
      <c r="G31" s="2878"/>
      <c r="H31" s="2878"/>
      <c r="I31" s="2878"/>
      <c r="J31" s="2757"/>
      <c r="K31" s="3254"/>
      <c r="L31" s="3255"/>
      <c r="M31" s="3255"/>
      <c r="N31" s="2757"/>
      <c r="O31" s="3256"/>
      <c r="P31" s="2757"/>
      <c r="Q31" s="2757"/>
      <c r="R31" s="2757"/>
      <c r="S31" s="2757"/>
      <c r="T31" s="2757"/>
      <c r="U31" s="2757"/>
      <c r="V31" s="2757"/>
    </row>
    <row r="32" spans="1:28">
      <c r="A32" s="3558"/>
      <c r="B32" s="3237"/>
      <c r="C32" s="2123" t="str">
        <f>IF(B32="现房","成新及维护状况是否正常",IF(B32="在建","工程状态是否正常",IF(B32="土地","是否闲置","-")))</f>
        <v>-</v>
      </c>
      <c r="D32" s="2088"/>
      <c r="E32" s="3238"/>
      <c r="F32" s="2878"/>
      <c r="G32" s="2878"/>
      <c r="H32" s="2878"/>
      <c r="I32" s="2878"/>
      <c r="J32" s="2757"/>
      <c r="K32" s="3257"/>
      <c r="L32" s="3255"/>
      <c r="M32" s="3255"/>
      <c r="N32" s="2757"/>
      <c r="O32" s="3256"/>
      <c r="P32" s="2757"/>
      <c r="Q32" s="2757"/>
      <c r="R32" s="2757"/>
      <c r="S32" s="2757"/>
      <c r="T32" s="2757"/>
      <c r="U32" s="2757"/>
      <c r="V32" s="2757"/>
    </row>
    <row r="33" spans="1:30">
      <c r="A33" s="3558"/>
      <c r="B33" s="3239"/>
      <c r="C33" s="2491" t="str">
        <f>IF(B33="现房","成新及维护状况是否正常",IF(B33="在建","工程状态是否正常",IF(B33="土地","是否闲置","-")))</f>
        <v>-</v>
      </c>
      <c r="D33" s="1980"/>
      <c r="E33" s="3240"/>
      <c r="F33" s="2878"/>
      <c r="G33" s="2878"/>
      <c r="H33" s="2878"/>
      <c r="I33" s="2878"/>
      <c r="J33" s="2757"/>
      <c r="K33" s="3257"/>
      <c r="L33" s="3255"/>
      <c r="M33" s="3255"/>
      <c r="N33" s="2757"/>
      <c r="O33" s="3256"/>
      <c r="P33" s="2757"/>
      <c r="Q33" s="2757"/>
      <c r="R33" s="2757"/>
      <c r="S33" s="2757"/>
      <c r="T33" s="2757"/>
      <c r="U33" s="2757"/>
      <c r="V33" s="2757"/>
    </row>
    <row r="34" spans="1:30">
      <c r="A34" s="1971" t="s">
        <v>535</v>
      </c>
      <c r="B34" s="728"/>
      <c r="C34" s="728"/>
      <c r="D34" s="728"/>
      <c r="E34" s="728"/>
      <c r="F34" s="728"/>
      <c r="G34" s="728"/>
      <c r="H34" s="728"/>
      <c r="I34" s="2878"/>
      <c r="J34" s="2757"/>
      <c r="K34" s="624">
        <f>COUNTIF(B34:H34,"——")</f>
        <v>0</v>
      </c>
      <c r="L34" s="2012" t="s">
        <v>536</v>
      </c>
      <c r="M34" s="2012" t="s">
        <v>537</v>
      </c>
      <c r="N34" s="2012" t="s">
        <v>538</v>
      </c>
      <c r="O34" s="2012" t="s">
        <v>539</v>
      </c>
      <c r="P34" s="2012" t="s">
        <v>540</v>
      </c>
      <c r="Q34" s="2012" t="s">
        <v>541</v>
      </c>
      <c r="R34" s="2012" t="s">
        <v>542</v>
      </c>
      <c r="S34" s="3562" t="s">
        <v>543</v>
      </c>
      <c r="T34" s="2012" t="str">
        <f>NUMBERSTRING(7-K34,1)&amp;"通"</f>
        <v>七通</v>
      </c>
      <c r="U34" s="2757"/>
      <c r="V34" s="2757"/>
    </row>
    <row r="35" spans="1:30">
      <c r="A35" s="3241"/>
      <c r="B35" s="3554" t="s">
        <v>544</v>
      </c>
      <c r="C35" s="3554"/>
      <c r="D35" s="3554"/>
      <c r="E35" s="3554"/>
      <c r="F35" s="682">
        <f>C10</f>
        <v>0</v>
      </c>
      <c r="G35" s="2878"/>
      <c r="H35" s="2878"/>
      <c r="I35" s="2878"/>
      <c r="J35" s="2757"/>
      <c r="K35" s="2012"/>
      <c r="L35" s="2012">
        <f>B34</f>
        <v>0</v>
      </c>
      <c r="M35" s="2014" t="str">
        <f>B34&amp;"、"&amp;C34</f>
        <v>、</v>
      </c>
      <c r="N35" s="2014" t="str">
        <f>B34&amp;"、"&amp;C34&amp;"、"&amp;D34</f>
        <v>、、</v>
      </c>
      <c r="O35" s="2014" t="str">
        <f>B34&amp;"、"&amp;C34&amp;"、"&amp;D34&amp;"、"&amp;E34</f>
        <v>、、、</v>
      </c>
      <c r="P35" s="2014" t="str">
        <f>B34&amp;"、"&amp;C34&amp;"、"&amp;D34&amp;"、"&amp;E34&amp;"、"&amp;F34</f>
        <v>、、、、</v>
      </c>
      <c r="Q35" s="2014" t="str">
        <f>B34&amp;"、"&amp;C34&amp;"、"&amp;D34&amp;"、"&amp;E34&amp;"、"&amp;F34&amp;"、"&amp;G34</f>
        <v>、、、、、</v>
      </c>
      <c r="R35" s="2014" t="str">
        <f>B34&amp;"、"&amp;C34&amp;"、"&amp;D34&amp;"、"&amp;E34&amp;"、"&amp;F34&amp;"、"&amp;G34&amp;"、"&amp;H34</f>
        <v>、、、、、、</v>
      </c>
      <c r="S35" s="3562"/>
      <c r="T35" s="2014" t="str">
        <f>IF(T34="一通",L35,IF(T34="二通",M35,IF(T34="三通",N35,IF(T34="四通",O35,IF(T34="五通",P35,IF(T34="六通",Q35,R35))))))</f>
        <v>、、、、、、</v>
      </c>
      <c r="U35" s="2757"/>
      <c r="V35" s="2757"/>
    </row>
    <row r="36" spans="1:30">
      <c r="A36" s="3242"/>
      <c r="B36" s="682" t="s">
        <v>493</v>
      </c>
      <c r="C36" s="682" t="s">
        <v>494</v>
      </c>
      <c r="D36" s="682" t="s">
        <v>492</v>
      </c>
      <c r="E36" s="682" t="s">
        <v>497</v>
      </c>
      <c r="F36" s="3243" t="s">
        <v>231</v>
      </c>
      <c r="G36" s="2878"/>
      <c r="H36" s="2878"/>
      <c r="I36" s="2878"/>
      <c r="J36" s="2757"/>
      <c r="K36" s="3257"/>
      <c r="L36" s="3255"/>
      <c r="M36" s="3255"/>
      <c r="N36" s="2757"/>
      <c r="O36" s="3256"/>
      <c r="P36" s="2757"/>
      <c r="Q36" s="2757"/>
      <c r="R36" s="2757"/>
      <c r="S36" s="2757"/>
      <c r="T36" s="2757"/>
      <c r="U36" s="2757"/>
      <c r="V36" s="2757"/>
    </row>
    <row r="37" spans="1:30">
      <c r="A37" s="3244" t="s">
        <v>545</v>
      </c>
      <c r="B37" s="3245" t="s">
        <v>318</v>
      </c>
      <c r="C37" s="3245" t="s">
        <v>318</v>
      </c>
      <c r="D37" s="3245" t="s">
        <v>318</v>
      </c>
      <c r="E37" s="3245"/>
      <c r="F37" s="3245"/>
      <c r="G37" s="2878"/>
      <c r="H37" s="2878"/>
      <c r="I37" s="2878"/>
      <c r="J37" s="2757"/>
      <c r="K37" s="3257"/>
      <c r="L37" s="3255"/>
      <c r="M37" s="3255"/>
      <c r="N37" s="2757"/>
      <c r="O37" s="3256"/>
      <c r="P37" s="2757"/>
      <c r="Q37" s="2757"/>
      <c r="R37" s="2757"/>
      <c r="S37" s="2757"/>
      <c r="T37" s="2757"/>
      <c r="U37" s="2757"/>
      <c r="V37" s="2757"/>
    </row>
    <row r="38" spans="1:30">
      <c r="A38" s="3246" t="s">
        <v>546</v>
      </c>
      <c r="B38" s="3247" t="s">
        <v>547</v>
      </c>
      <c r="C38" s="3247" t="s">
        <v>547</v>
      </c>
      <c r="D38" s="3247" t="s">
        <v>547</v>
      </c>
      <c r="E38" s="3247"/>
      <c r="F38" s="3247"/>
      <c r="G38" s="3184"/>
      <c r="H38" s="3184"/>
      <c r="I38" s="3184"/>
      <c r="J38" s="2757"/>
      <c r="K38" s="3257"/>
      <c r="L38" s="3255"/>
      <c r="M38" s="3255"/>
      <c r="N38" s="2757"/>
      <c r="O38" s="3256"/>
      <c r="P38" s="2757"/>
      <c r="Q38" s="2757"/>
      <c r="R38" s="2757"/>
      <c r="S38" s="2757"/>
      <c r="T38" s="2757"/>
      <c r="U38" s="2757"/>
      <c r="V38" s="2757"/>
    </row>
    <row r="39" spans="1:30" s="3151" customFormat="1">
      <c r="A39" s="3248" t="s">
        <v>548</v>
      </c>
      <c r="B39" s="3249"/>
      <c r="C39" s="3249"/>
      <c r="D39" s="3249"/>
      <c r="E39" s="3249"/>
      <c r="F39" s="3249"/>
      <c r="G39" s="3249"/>
      <c r="H39" s="3249"/>
      <c r="I39" s="3249"/>
      <c r="J39" s="3272"/>
      <c r="K39" s="3273"/>
      <c r="L39" s="3272"/>
      <c r="M39" s="3272"/>
      <c r="N39" s="3272"/>
      <c r="O39" s="3274"/>
      <c r="P39" s="3272"/>
      <c r="Q39" s="3272"/>
      <c r="R39" s="3272"/>
      <c r="S39" s="3272"/>
      <c r="T39" s="3272"/>
      <c r="U39" s="3272"/>
      <c r="V39" s="3272"/>
      <c r="W39" s="3281"/>
      <c r="X39" s="3281"/>
      <c r="Y39" s="3281"/>
      <c r="Z39" s="3281"/>
      <c r="AA39" s="3281"/>
      <c r="AB39" s="3281"/>
      <c r="AC39" s="3281"/>
      <c r="AD39" s="3281"/>
    </row>
    <row r="40" spans="1:30">
      <c r="A40" s="3196"/>
      <c r="B40" s="3196"/>
      <c r="C40" s="3196"/>
      <c r="D40" s="3196"/>
      <c r="E40" s="3196"/>
      <c r="F40" s="3196"/>
      <c r="G40" s="3196"/>
      <c r="H40" s="3196"/>
      <c r="I40" s="2511"/>
      <c r="J40" s="2758"/>
      <c r="K40" s="3254"/>
      <c r="L40" s="3266"/>
      <c r="M40" s="3266"/>
      <c r="N40" s="2758"/>
      <c r="O40" s="3266"/>
      <c r="P40" s="2757"/>
      <c r="Q40" s="2757"/>
      <c r="R40" s="2757"/>
      <c r="S40" s="2757"/>
      <c r="T40" s="2757"/>
      <c r="U40" s="2757"/>
      <c r="V40" s="2757"/>
    </row>
    <row r="41" spans="1:30">
      <c r="A41" s="3250" t="s">
        <v>549</v>
      </c>
      <c r="B41" s="2397"/>
      <c r="C41" s="2088"/>
      <c r="D41" s="3196"/>
      <c r="E41" s="3196"/>
      <c r="F41" s="3196"/>
      <c r="G41" s="3196"/>
      <c r="H41" s="3196"/>
      <c r="I41" s="3063"/>
      <c r="J41" s="2757"/>
      <c r="K41" s="3257"/>
      <c r="L41" s="3255"/>
      <c r="M41" s="3255"/>
      <c r="N41" s="2757"/>
      <c r="O41" s="3256"/>
      <c r="P41" s="2757"/>
      <c r="Q41" s="2757"/>
      <c r="R41" s="2757"/>
      <c r="S41" s="2757"/>
      <c r="T41" s="2757"/>
      <c r="U41" s="2757"/>
      <c r="V41" s="2757"/>
    </row>
    <row r="42" spans="1:30" ht="25.5">
      <c r="A42" s="2012" t="s">
        <v>550</v>
      </c>
      <c r="B42" s="624" t="s">
        <v>551</v>
      </c>
      <c r="C42" s="624" t="s">
        <v>552</v>
      </c>
      <c r="D42" s="624" t="s">
        <v>553</v>
      </c>
      <c r="E42" s="624" t="s">
        <v>554</v>
      </c>
      <c r="F42" s="624" t="s">
        <v>555</v>
      </c>
      <c r="G42" s="624" t="s">
        <v>556</v>
      </c>
      <c r="H42" s="624" t="s">
        <v>557</v>
      </c>
      <c r="I42" s="624" t="s">
        <v>558</v>
      </c>
      <c r="J42" s="3275" t="s">
        <v>559</v>
      </c>
      <c r="K42" s="3276" t="s">
        <v>560</v>
      </c>
      <c r="L42" s="3276" t="s">
        <v>561</v>
      </c>
      <c r="M42" s="3276" t="s">
        <v>562</v>
      </c>
      <c r="N42" s="3277" t="s">
        <v>563</v>
      </c>
      <c r="O42" s="3277" t="s">
        <v>564</v>
      </c>
      <c r="P42" s="3277" t="s">
        <v>565</v>
      </c>
      <c r="Q42" s="3282" t="s">
        <v>566</v>
      </c>
      <c r="R42" s="3282" t="s">
        <v>567</v>
      </c>
      <c r="S42" s="2757"/>
      <c r="T42" s="2757"/>
      <c r="U42" s="2757"/>
      <c r="V42" s="2757"/>
    </row>
    <row r="43" spans="1:30" s="2968" customFormat="1">
      <c r="A43" s="3088"/>
      <c r="B43" s="3084"/>
      <c r="C43" s="3084"/>
      <c r="D43" s="3084"/>
      <c r="E43" s="3084"/>
      <c r="F43" s="3084"/>
      <c r="G43" s="3084"/>
      <c r="H43" s="3084"/>
      <c r="I43" s="3084"/>
      <c r="J43" s="3278"/>
      <c r="K43" s="3279"/>
      <c r="L43" s="3279"/>
      <c r="M43" s="3084"/>
      <c r="N43" s="3084"/>
      <c r="O43" s="3084"/>
      <c r="P43" s="3084"/>
      <c r="Q43" s="3084"/>
      <c r="R43" s="3084"/>
      <c r="S43" s="2757"/>
      <c r="T43" s="2757"/>
      <c r="U43" s="2757"/>
      <c r="V43" s="2757"/>
    </row>
    <row r="44" spans="1:30" s="2968" customFormat="1">
      <c r="A44" s="3088"/>
      <c r="B44" s="3088"/>
      <c r="C44" s="3084"/>
      <c r="D44" s="3084"/>
      <c r="E44" s="3084"/>
      <c r="F44" s="3084"/>
      <c r="G44" s="3084"/>
      <c r="H44" s="3084"/>
      <c r="I44" s="3084"/>
      <c r="J44" s="3278"/>
      <c r="K44" s="3279"/>
      <c r="L44" s="3279"/>
      <c r="M44" s="3084"/>
      <c r="N44" s="3084"/>
      <c r="O44" s="3084"/>
      <c r="P44" s="3084"/>
      <c r="Q44" s="3084"/>
      <c r="R44" s="3084"/>
      <c r="S44" s="2757"/>
      <c r="T44" s="2757"/>
      <c r="U44" s="2757"/>
      <c r="V44" s="2757"/>
    </row>
    <row r="45" spans="1:30" s="2968" customFormat="1">
      <c r="A45" s="3088"/>
      <c r="B45" s="3088"/>
      <c r="C45" s="3084"/>
      <c r="D45" s="3084"/>
      <c r="E45" s="3084"/>
      <c r="F45" s="3084"/>
      <c r="G45" s="3084"/>
      <c r="H45" s="3084"/>
      <c r="I45" s="3084"/>
      <c r="J45" s="3278"/>
      <c r="K45" s="3279"/>
      <c r="L45" s="3279"/>
      <c r="M45" s="3084"/>
      <c r="N45" s="3084"/>
      <c r="O45" s="3084"/>
      <c r="P45" s="3084"/>
      <c r="Q45" s="3084"/>
      <c r="R45" s="3084"/>
      <c r="S45" s="2757"/>
      <c r="T45" s="2757"/>
      <c r="U45" s="2757"/>
      <c r="V45" s="2757"/>
    </row>
    <row r="46" spans="1:30" s="2968" customFormat="1">
      <c r="A46" s="3088"/>
      <c r="B46" s="3088"/>
      <c r="C46" s="3084"/>
      <c r="D46" s="3084"/>
      <c r="E46" s="3084"/>
      <c r="F46" s="3084"/>
      <c r="G46" s="3084"/>
      <c r="H46" s="3084"/>
      <c r="I46" s="3084"/>
      <c r="J46" s="3278"/>
      <c r="K46" s="3279"/>
      <c r="L46" s="3279"/>
      <c r="M46" s="3084"/>
      <c r="N46" s="3084"/>
      <c r="O46" s="3084"/>
      <c r="P46" s="3084"/>
      <c r="Q46" s="3084"/>
      <c r="R46" s="3084"/>
      <c r="S46" s="2757"/>
      <c r="T46" s="2757"/>
      <c r="U46" s="2757"/>
      <c r="V46" s="2757"/>
    </row>
    <row r="47" spans="1:30" s="2968" customFormat="1">
      <c r="A47" s="3088"/>
      <c r="B47" s="3088"/>
      <c r="C47" s="3084"/>
      <c r="D47" s="3084"/>
      <c r="E47" s="3084"/>
      <c r="F47" s="3084"/>
      <c r="G47" s="3084"/>
      <c r="H47" s="3084"/>
      <c r="I47" s="3084"/>
      <c r="J47" s="3278"/>
      <c r="K47" s="3279"/>
      <c r="L47" s="3279"/>
      <c r="M47" s="3084"/>
      <c r="N47" s="3084"/>
      <c r="O47" s="3084"/>
      <c r="P47" s="3084"/>
      <c r="Q47" s="3084"/>
      <c r="R47" s="3084"/>
      <c r="S47" s="2757"/>
      <c r="T47" s="2757"/>
      <c r="U47" s="2757"/>
      <c r="V47" s="2757"/>
    </row>
    <row r="48" spans="1:30" s="2968" customFormat="1">
      <c r="A48" s="3088"/>
      <c r="B48" s="3088"/>
      <c r="C48" s="3084"/>
      <c r="D48" s="3084"/>
      <c r="E48" s="3084"/>
      <c r="F48" s="3084"/>
      <c r="G48" s="3084"/>
      <c r="H48" s="3084"/>
      <c r="I48" s="3084"/>
      <c r="J48" s="3278"/>
      <c r="K48" s="3279"/>
      <c r="L48" s="3279"/>
      <c r="M48" s="3084"/>
      <c r="N48" s="3084"/>
      <c r="O48" s="3084"/>
      <c r="P48" s="3084"/>
      <c r="Q48" s="3084"/>
      <c r="R48" s="3084"/>
      <c r="S48" s="2757"/>
      <c r="T48" s="2757"/>
      <c r="U48" s="2757"/>
      <c r="V48" s="2757"/>
    </row>
    <row r="49" spans="1:22" s="2968" customFormat="1">
      <c r="A49" s="3088"/>
      <c r="B49" s="3088"/>
      <c r="C49" s="3084"/>
      <c r="D49" s="3084"/>
      <c r="E49" s="3084"/>
      <c r="F49" s="3084"/>
      <c r="G49" s="3084"/>
      <c r="H49" s="3084"/>
      <c r="I49" s="3084"/>
      <c r="J49" s="3278"/>
      <c r="K49" s="3279"/>
      <c r="L49" s="3279"/>
      <c r="M49" s="3084"/>
      <c r="N49" s="3084"/>
      <c r="O49" s="3084"/>
      <c r="P49" s="3084"/>
      <c r="Q49" s="3084"/>
      <c r="R49" s="3084"/>
      <c r="S49" s="2757"/>
      <c r="T49" s="2757"/>
      <c r="U49" s="2757"/>
      <c r="V49" s="2757"/>
    </row>
    <row r="50" spans="1:22" s="2968" customFormat="1">
      <c r="A50" s="3088"/>
      <c r="B50" s="3088"/>
      <c r="C50" s="3084"/>
      <c r="D50" s="3084"/>
      <c r="E50" s="3084"/>
      <c r="F50" s="3084"/>
      <c r="G50" s="3084"/>
      <c r="H50" s="3084"/>
      <c r="I50" s="3084"/>
      <c r="J50" s="3278"/>
      <c r="K50" s="3279"/>
      <c r="L50" s="3279"/>
      <c r="M50" s="3084"/>
      <c r="N50" s="3084"/>
      <c r="O50" s="3084"/>
      <c r="P50" s="3084"/>
      <c r="Q50" s="3084"/>
      <c r="R50" s="3084"/>
      <c r="S50" s="2757"/>
      <c r="T50" s="2757"/>
      <c r="U50" s="2757"/>
      <c r="V50" s="2757"/>
    </row>
    <row r="51" spans="1:22" s="2968" customFormat="1">
      <c r="A51" s="3088"/>
      <c r="B51" s="3088"/>
      <c r="C51" s="3084"/>
      <c r="D51" s="3084"/>
      <c r="E51" s="3084"/>
      <c r="F51" s="3084"/>
      <c r="G51" s="3084"/>
      <c r="H51" s="3084"/>
      <c r="I51" s="3084"/>
      <c r="J51" s="3278"/>
      <c r="K51" s="3279"/>
      <c r="L51" s="3279"/>
      <c r="M51" s="3084"/>
      <c r="N51" s="3084"/>
      <c r="O51" s="3084"/>
      <c r="P51" s="3084"/>
      <c r="Q51" s="3084"/>
      <c r="R51" s="3084"/>
    </row>
    <row r="52" spans="1:22" s="2968" customFormat="1">
      <c r="A52" s="3088"/>
      <c r="B52" s="3088"/>
      <c r="C52" s="3088"/>
      <c r="D52" s="3088"/>
      <c r="E52" s="3088"/>
      <c r="F52" s="3084"/>
      <c r="G52" s="3088"/>
      <c r="H52" s="3088"/>
      <c r="I52" s="3088"/>
      <c r="J52" s="3280"/>
      <c r="K52" s="3279"/>
      <c r="L52" s="3279"/>
      <c r="M52" s="3279"/>
      <c r="N52" s="3088"/>
      <c r="O52" s="3088"/>
      <c r="P52" s="3088"/>
      <c r="Q52" s="3088"/>
      <c r="R52" s="3088"/>
    </row>
    <row r="53" spans="1:22" s="2968" customFormat="1">
      <c r="A53" s="3088"/>
      <c r="B53" s="3088"/>
      <c r="C53" s="3088"/>
      <c r="D53" s="3088"/>
      <c r="E53" s="3088"/>
      <c r="F53" s="3084"/>
      <c r="G53" s="3088"/>
      <c r="H53" s="3088"/>
      <c r="I53" s="3088"/>
      <c r="J53" s="3280"/>
      <c r="K53" s="3279"/>
      <c r="L53" s="3279"/>
      <c r="M53" s="3279"/>
      <c r="N53" s="3088"/>
      <c r="O53" s="3088"/>
      <c r="P53" s="3088"/>
      <c r="Q53" s="3088"/>
      <c r="R53" s="3088"/>
    </row>
    <row r="54" spans="1:22" s="2968" customFormat="1">
      <c r="A54" s="3088"/>
      <c r="B54" s="3088"/>
      <c r="C54" s="3088"/>
      <c r="D54" s="3088"/>
      <c r="E54" s="3088"/>
      <c r="F54" s="3084"/>
      <c r="G54" s="3088"/>
      <c r="H54" s="3088"/>
      <c r="I54" s="3088"/>
      <c r="J54" s="3280"/>
      <c r="K54" s="3279"/>
      <c r="L54" s="3279"/>
      <c r="M54" s="3279"/>
      <c r="N54" s="3088"/>
      <c r="O54" s="3088"/>
      <c r="P54" s="3088"/>
      <c r="Q54" s="3088"/>
      <c r="R54" s="3088"/>
    </row>
    <row r="55" spans="1:22" s="2968" customFormat="1">
      <c r="A55" s="3088"/>
      <c r="B55" s="3088"/>
      <c r="C55" s="3088"/>
      <c r="D55" s="3088"/>
      <c r="E55" s="3088"/>
      <c r="F55" s="3084"/>
      <c r="G55" s="3088"/>
      <c r="H55" s="3088"/>
      <c r="I55" s="3088"/>
      <c r="J55" s="3280"/>
      <c r="K55" s="3279"/>
      <c r="L55" s="3279"/>
      <c r="M55" s="3279"/>
      <c r="N55" s="3088"/>
      <c r="O55" s="3088"/>
      <c r="P55" s="3088"/>
      <c r="Q55" s="3088"/>
      <c r="R55" s="3088"/>
    </row>
    <row r="56" spans="1:22" s="2968" customFormat="1">
      <c r="A56" s="3088"/>
      <c r="B56" s="3088"/>
      <c r="C56" s="3088"/>
      <c r="D56" s="3088"/>
      <c r="E56" s="3088"/>
      <c r="F56" s="3084"/>
      <c r="G56" s="3088"/>
      <c r="H56" s="3088"/>
      <c r="I56" s="3088"/>
      <c r="J56" s="3280"/>
      <c r="K56" s="3279"/>
      <c r="L56" s="3279"/>
      <c r="M56" s="3279"/>
      <c r="N56" s="3088"/>
      <c r="O56" s="3088"/>
      <c r="P56" s="3088"/>
      <c r="Q56" s="3088"/>
      <c r="R56" s="30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60" customWidth="1"/>
    <col min="2" max="2" width="11" style="3060" customWidth="1"/>
    <col min="3" max="3" width="10.375" style="3060" customWidth="1"/>
    <col min="4" max="4" width="9.125" style="3060" customWidth="1"/>
    <col min="5" max="6" width="10" style="3058" customWidth="1"/>
    <col min="7" max="8" width="10" style="3060" customWidth="1"/>
    <col min="9" max="9" width="10.625" style="3060" customWidth="1"/>
    <col min="10" max="10" width="9.5" style="3060" customWidth="1"/>
    <col min="11" max="11" width="11" style="3060" customWidth="1"/>
    <col min="12" max="14" width="9.5" style="3060" customWidth="1"/>
    <col min="15" max="15" width="9.875" style="3060" customWidth="1"/>
    <col min="16" max="16" width="9.75" style="3060" customWidth="1"/>
    <col min="17" max="17" width="9.375" style="3060" customWidth="1"/>
    <col min="18" max="18" width="9.25" style="3060" customWidth="1"/>
    <col min="19" max="19" width="10.875" style="3060" customWidth="1"/>
    <col min="20" max="21" width="10.75" style="3060" customWidth="1"/>
    <col min="22" max="22" width="10.875" style="3060" customWidth="1"/>
    <col min="23" max="27" width="10.75" style="3060" customWidth="1"/>
    <col min="28" max="28" width="10.875" style="3060" customWidth="1"/>
    <col min="29" max="29" width="11" style="3060" customWidth="1"/>
    <col min="30" max="30" width="10" style="3060" customWidth="1"/>
    <col min="31" max="31" width="9.75" style="3060" customWidth="1"/>
    <col min="32" max="46" width="9.5" style="3060" customWidth="1"/>
    <col min="47" max="47" width="18.125" style="3060" customWidth="1"/>
    <col min="48" max="50" width="9.75" style="3060" customWidth="1"/>
    <col min="51" max="55" width="10.5" style="3060" customWidth="1"/>
    <col min="56" max="56" width="9.5" style="3060" customWidth="1"/>
    <col min="57" max="63" width="9.125" style="3060" customWidth="1"/>
    <col min="64" max="64" width="9.5" style="3060" customWidth="1"/>
    <col min="65" max="65" width="9.125" style="3060" customWidth="1"/>
    <col min="66" max="66" width="9.5" style="3060" customWidth="1"/>
    <col min="67" max="69" width="9.125" style="3060" customWidth="1"/>
    <col min="70" max="70" width="9.5" style="3060" customWidth="1"/>
    <col min="71" max="71" width="9" style="3060" customWidth="1"/>
    <col min="72" max="72" width="9.125" style="3060" customWidth="1"/>
    <col min="73" max="16384" width="8.875" style="3060"/>
  </cols>
  <sheetData>
    <row r="1" spans="1:72" ht="20.25">
      <c r="A1" s="3061" t="s">
        <v>568</v>
      </c>
      <c r="B1" s="3062"/>
      <c r="C1" s="3062"/>
      <c r="D1" s="3062"/>
      <c r="E1" s="3062"/>
      <c r="F1" s="3062"/>
      <c r="G1" s="3062"/>
      <c r="H1" s="3062"/>
      <c r="I1" s="3062"/>
      <c r="J1" s="3062"/>
      <c r="K1" s="3062"/>
      <c r="L1" s="3062"/>
      <c r="M1" s="3062"/>
      <c r="N1" s="3062"/>
      <c r="O1" s="3062"/>
      <c r="P1" s="3062"/>
      <c r="Q1" s="3062"/>
      <c r="R1" s="3062"/>
      <c r="S1" s="3062"/>
      <c r="T1" s="3062"/>
      <c r="U1" s="3062"/>
      <c r="V1" s="3062"/>
      <c r="W1" s="3062"/>
      <c r="X1" s="3062"/>
      <c r="Y1" s="3062"/>
      <c r="Z1" s="3062"/>
      <c r="AA1" s="3062"/>
      <c r="AB1" s="3062"/>
      <c r="AC1" s="3062"/>
      <c r="AD1" s="3062"/>
      <c r="AE1" s="3062"/>
      <c r="AF1" s="3062"/>
      <c r="AG1" s="3062"/>
      <c r="AH1" s="3062"/>
      <c r="AI1" s="3062"/>
      <c r="AJ1" s="3062"/>
      <c r="AK1" s="3062"/>
      <c r="AL1" s="3062"/>
      <c r="AM1" s="3062"/>
      <c r="AN1" s="3062"/>
      <c r="AO1" s="3062"/>
      <c r="AP1" s="3062"/>
      <c r="AQ1" s="3062"/>
      <c r="AR1" s="3062"/>
      <c r="AS1" s="3062"/>
      <c r="AT1" s="3062"/>
      <c r="AU1" s="3062"/>
      <c r="AV1" s="3114" t="s">
        <v>569</v>
      </c>
      <c r="AW1" s="3062"/>
      <c r="AX1" s="3062"/>
      <c r="AY1" s="3062"/>
      <c r="AZ1" s="3062"/>
      <c r="BA1" s="3062"/>
      <c r="BB1" s="3062"/>
      <c r="BC1" s="3062"/>
      <c r="BD1" s="3062"/>
      <c r="BE1" s="3062"/>
      <c r="BF1" s="3062"/>
      <c r="BG1" s="3062"/>
      <c r="BH1" s="3062"/>
      <c r="BI1" s="3062"/>
      <c r="BJ1" s="3062"/>
      <c r="BK1" s="3062"/>
      <c r="BL1" s="3062"/>
      <c r="BM1" s="3062"/>
      <c r="BN1" s="3062"/>
      <c r="BO1" s="3062"/>
      <c r="BP1" s="3062"/>
      <c r="BQ1" s="3062"/>
      <c r="BR1" s="3062"/>
      <c r="BS1" s="3062"/>
      <c r="BT1" s="3062"/>
    </row>
    <row r="2" spans="1:72" s="3055" customFormat="1" ht="24">
      <c r="A2" s="624" t="s">
        <v>509</v>
      </c>
      <c r="B2" s="624" t="s">
        <v>505</v>
      </c>
      <c r="C2" s="624" t="s">
        <v>570</v>
      </c>
      <c r="D2" s="3063"/>
      <c r="E2" s="2471"/>
      <c r="F2" s="2511"/>
      <c r="G2" s="3063"/>
      <c r="H2" s="3063"/>
      <c r="I2" s="3063"/>
      <c r="J2" s="3063"/>
      <c r="K2" s="3063"/>
      <c r="L2" s="3063"/>
      <c r="M2" s="3063"/>
      <c r="N2" s="3063"/>
      <c r="O2" s="3063"/>
      <c r="P2" s="3063"/>
      <c r="Q2" s="3063"/>
      <c r="R2" s="3063"/>
      <c r="S2" s="3063"/>
      <c r="T2" s="3063"/>
      <c r="U2" s="3063"/>
      <c r="V2" s="3063"/>
      <c r="W2" s="3063"/>
      <c r="X2" s="3063"/>
      <c r="Y2" s="3063"/>
      <c r="Z2" s="3063"/>
      <c r="AA2" s="3063"/>
      <c r="AB2" s="3063"/>
      <c r="AC2" s="3063"/>
      <c r="AD2" s="3063"/>
      <c r="AE2" s="3063"/>
      <c r="AF2" s="3063"/>
      <c r="AG2" s="3063"/>
      <c r="AH2" s="3063"/>
      <c r="AI2" s="3063"/>
      <c r="AJ2" s="3063"/>
      <c r="AK2" s="3063"/>
      <c r="AL2" s="3063"/>
      <c r="AM2" s="3063"/>
      <c r="AN2" s="3063"/>
      <c r="AO2" s="3063"/>
      <c r="AP2" s="3063"/>
      <c r="AQ2" s="3063"/>
      <c r="AR2" s="3063"/>
      <c r="AS2" s="3063"/>
      <c r="AT2" s="3063"/>
      <c r="AU2" s="3063"/>
      <c r="AV2" s="3063"/>
      <c r="AW2" s="3063"/>
      <c r="AX2" s="3063"/>
      <c r="AY2" s="3124" t="s">
        <v>571</v>
      </c>
      <c r="AZ2" s="3125" t="s">
        <v>572</v>
      </c>
      <c r="BA2" s="624" t="s">
        <v>573</v>
      </c>
      <c r="BB2" s="3063"/>
      <c r="BC2" s="3063"/>
      <c r="BD2" s="3063"/>
      <c r="BE2" s="3063"/>
      <c r="BF2" s="3063"/>
      <c r="BG2" s="3063"/>
      <c r="BH2" s="3063"/>
      <c r="BI2" s="3063"/>
      <c r="BJ2" s="3063"/>
      <c r="BK2" s="3063"/>
      <c r="BL2" s="3063"/>
      <c r="BM2" s="3063"/>
      <c r="BN2" s="3063"/>
      <c r="BO2" s="3063"/>
      <c r="BP2" s="3063"/>
      <c r="BQ2" s="3063"/>
      <c r="BR2" s="3063"/>
      <c r="BS2" s="3063"/>
      <c r="BT2" s="3063"/>
    </row>
    <row r="3" spans="1:72" s="3055" customFormat="1" ht="12.75">
      <c r="A3" s="3064"/>
      <c r="B3" s="3065">
        <f>IF(C3="否",G5-AT5,G5)</f>
        <v>30.6</v>
      </c>
      <c r="C3" s="3066" t="s">
        <v>574</v>
      </c>
      <c r="D3" s="3063"/>
      <c r="E3" s="3063"/>
      <c r="F3" s="3063"/>
      <c r="G3" s="3063"/>
      <c r="H3" s="3063"/>
      <c r="I3" s="3063"/>
      <c r="J3" s="3063"/>
      <c r="K3" s="3063"/>
      <c r="L3" s="3063"/>
      <c r="M3" s="3063"/>
      <c r="N3" s="3063"/>
      <c r="O3" s="3063"/>
      <c r="P3" s="3063"/>
      <c r="Q3" s="3063"/>
      <c r="R3" s="3063"/>
      <c r="S3" s="3063"/>
      <c r="T3" s="3063"/>
      <c r="U3" s="3063"/>
      <c r="V3" s="3063"/>
      <c r="W3" s="3063"/>
      <c r="X3" s="3063"/>
      <c r="Y3" s="3063"/>
      <c r="Z3" s="3063"/>
      <c r="AA3" s="3063"/>
      <c r="AB3" s="3063"/>
      <c r="AC3" s="3063"/>
      <c r="AD3" s="3063"/>
      <c r="AE3" s="3063"/>
      <c r="AF3" s="3063"/>
      <c r="AG3" s="3063"/>
      <c r="AH3" s="3063"/>
      <c r="AI3" s="3063"/>
      <c r="AJ3" s="3063"/>
      <c r="AK3" s="3063"/>
      <c r="AL3" s="3063"/>
      <c r="AM3" s="3063"/>
      <c r="AN3" s="3063"/>
      <c r="AO3" s="3063"/>
      <c r="AP3" s="3063"/>
      <c r="AQ3" s="3063"/>
      <c r="AR3" s="3063"/>
      <c r="AS3" s="3063"/>
      <c r="AT3" s="3063"/>
      <c r="AU3" s="3063"/>
      <c r="AV3" s="3063"/>
      <c r="AW3" s="3063"/>
      <c r="AX3" s="3063"/>
      <c r="AY3" s="3126"/>
      <c r="AZ3" s="3084"/>
      <c r="BA3" s="3127"/>
      <c r="BB3" s="3063"/>
      <c r="BC3" s="3063"/>
      <c r="BD3" s="3063"/>
      <c r="BE3" s="3063"/>
      <c r="BF3" s="3063"/>
      <c r="BG3" s="3063"/>
      <c r="BH3" s="3063"/>
      <c r="BI3" s="3063"/>
      <c r="BJ3" s="3063"/>
      <c r="BK3" s="3063"/>
      <c r="BL3" s="3063"/>
      <c r="BM3" s="3063"/>
      <c r="BN3" s="3063"/>
      <c r="BO3" s="3063"/>
      <c r="BP3" s="3063"/>
      <c r="BQ3" s="3063"/>
      <c r="BR3" s="3063"/>
      <c r="BS3" s="3063"/>
      <c r="BT3" s="3063"/>
    </row>
    <row r="4" spans="1:72" s="3056" customFormat="1" ht="12.75">
      <c r="A4" s="3067"/>
      <c r="B4" s="3068"/>
      <c r="C4" s="3069"/>
      <c r="D4" s="3063"/>
      <c r="E4" s="3063"/>
      <c r="F4" s="3063"/>
      <c r="G4" s="3063"/>
      <c r="H4" s="3063"/>
      <c r="I4" s="3063"/>
      <c r="J4" s="3063"/>
      <c r="K4" s="3063"/>
      <c r="L4" s="3063"/>
      <c r="M4" s="3063"/>
      <c r="N4" s="3063"/>
      <c r="O4" s="3063"/>
      <c r="P4" s="3063"/>
      <c r="Q4" s="3063"/>
      <c r="R4" s="3063"/>
      <c r="S4" s="3063"/>
      <c r="T4" s="3063"/>
      <c r="U4" s="3063"/>
      <c r="V4" s="3063"/>
      <c r="W4" s="3063"/>
      <c r="X4" s="3063"/>
      <c r="Y4" s="3063"/>
      <c r="Z4" s="3063"/>
      <c r="AA4" s="3063"/>
      <c r="AB4" s="3063"/>
      <c r="AC4" s="3063"/>
      <c r="AD4" s="3063"/>
      <c r="AE4" s="3063"/>
      <c r="AF4" s="3063"/>
      <c r="AG4" s="3063"/>
      <c r="AH4" s="3063"/>
      <c r="AI4" s="3063"/>
      <c r="AJ4" s="3063"/>
      <c r="AK4" s="3063"/>
      <c r="AL4" s="3063"/>
      <c r="AM4" s="3063"/>
      <c r="AN4" s="3063"/>
      <c r="AO4" s="3063"/>
      <c r="AP4" s="3063"/>
      <c r="AQ4" s="3063"/>
      <c r="AR4" s="3063"/>
      <c r="AS4" s="3063"/>
      <c r="AT4" s="3063"/>
      <c r="AU4" s="3063"/>
      <c r="AV4" s="3063"/>
      <c r="AW4" s="3063"/>
      <c r="AX4" s="3063"/>
      <c r="AY4" s="3063"/>
      <c r="AZ4" s="3063"/>
      <c r="BA4" s="3128"/>
      <c r="BB4" s="3063"/>
      <c r="BC4" s="3063"/>
      <c r="BD4" s="3063"/>
      <c r="BE4" s="3063"/>
      <c r="BF4" s="3063"/>
      <c r="BG4" s="3063"/>
      <c r="BH4" s="3063"/>
      <c r="BI4" s="3063"/>
      <c r="BJ4" s="3063"/>
      <c r="BK4" s="3063"/>
      <c r="BL4" s="3063"/>
      <c r="BM4" s="3063"/>
      <c r="BN4" s="3063"/>
      <c r="BO4" s="3063"/>
      <c r="BP4" s="3063"/>
      <c r="BQ4" s="3063"/>
      <c r="BR4" s="3063"/>
      <c r="BS4" s="3063"/>
      <c r="BT4" s="3063"/>
    </row>
    <row r="5" spans="1:72" s="3055" customFormat="1" ht="12.75">
      <c r="A5" s="2123" t="s">
        <v>575</v>
      </c>
      <c r="B5" s="2394"/>
      <c r="C5" s="2394"/>
      <c r="D5" s="2522"/>
      <c r="E5" s="3070" t="s">
        <v>124</v>
      </c>
      <c r="F5" s="3070">
        <f>SUM(F13:F587)</f>
        <v>0</v>
      </c>
      <c r="G5" s="3070">
        <f>SUM(G13:G587)</f>
        <v>30.6</v>
      </c>
      <c r="H5" s="3070">
        <f t="shared" ref="H5:AT5" si="0">SUM(H13:H656)</f>
        <v>30.6</v>
      </c>
      <c r="I5" s="3070">
        <f t="shared" si="0"/>
        <v>30.6</v>
      </c>
      <c r="J5" s="3070">
        <f t="shared" si="0"/>
        <v>0</v>
      </c>
      <c r="K5" s="3070">
        <f t="shared" si="0"/>
        <v>0</v>
      </c>
      <c r="L5" s="3070">
        <f t="shared" si="0"/>
        <v>0</v>
      </c>
      <c r="M5" s="3070">
        <f t="shared" si="0"/>
        <v>0</v>
      </c>
      <c r="N5" s="3070">
        <f t="shared" si="0"/>
        <v>0</v>
      </c>
      <c r="O5" s="3070">
        <f t="shared" si="0"/>
        <v>0</v>
      </c>
      <c r="P5" s="3070">
        <f t="shared" si="0"/>
        <v>0</v>
      </c>
      <c r="Q5" s="3070">
        <f t="shared" si="0"/>
        <v>0</v>
      </c>
      <c r="R5" s="3070">
        <f t="shared" si="0"/>
        <v>0</v>
      </c>
      <c r="S5" s="3070">
        <f t="shared" si="0"/>
        <v>0</v>
      </c>
      <c r="T5" s="3070">
        <f t="shared" si="0"/>
        <v>0</v>
      </c>
      <c r="U5" s="3070">
        <f t="shared" si="0"/>
        <v>0</v>
      </c>
      <c r="V5" s="3070">
        <f t="shared" si="0"/>
        <v>0</v>
      </c>
      <c r="W5" s="3070">
        <f t="shared" si="0"/>
        <v>0</v>
      </c>
      <c r="X5" s="3070">
        <f t="shared" si="0"/>
        <v>0</v>
      </c>
      <c r="Y5" s="3070">
        <f t="shared" si="0"/>
        <v>0</v>
      </c>
      <c r="Z5" s="3070">
        <f t="shared" si="0"/>
        <v>0</v>
      </c>
      <c r="AA5" s="3070">
        <f t="shared" si="0"/>
        <v>0</v>
      </c>
      <c r="AB5" s="3070">
        <f t="shared" si="0"/>
        <v>0</v>
      </c>
      <c r="AC5" s="3070">
        <f t="shared" si="0"/>
        <v>0</v>
      </c>
      <c r="AD5" s="3070">
        <f t="shared" si="0"/>
        <v>0</v>
      </c>
      <c r="AE5" s="3070">
        <f t="shared" si="0"/>
        <v>0</v>
      </c>
      <c r="AF5" s="3070">
        <f t="shared" si="0"/>
        <v>0</v>
      </c>
      <c r="AG5" s="3070">
        <f t="shared" si="0"/>
        <v>0</v>
      </c>
      <c r="AH5" s="3070">
        <f t="shared" si="0"/>
        <v>0</v>
      </c>
      <c r="AI5" s="3070">
        <f t="shared" si="0"/>
        <v>0</v>
      </c>
      <c r="AJ5" s="3070">
        <f t="shared" si="0"/>
        <v>0</v>
      </c>
      <c r="AK5" s="3070">
        <f t="shared" si="0"/>
        <v>0</v>
      </c>
      <c r="AL5" s="3070">
        <f t="shared" si="0"/>
        <v>0</v>
      </c>
      <c r="AM5" s="3070">
        <f t="shared" si="0"/>
        <v>0</v>
      </c>
      <c r="AN5" s="3070">
        <f t="shared" si="0"/>
        <v>0</v>
      </c>
      <c r="AO5" s="3070">
        <f t="shared" si="0"/>
        <v>0</v>
      </c>
      <c r="AP5" s="3070">
        <f t="shared" si="0"/>
        <v>0</v>
      </c>
      <c r="AQ5" s="3070">
        <f t="shared" si="0"/>
        <v>0</v>
      </c>
      <c r="AR5" s="3070">
        <f t="shared" si="0"/>
        <v>0</v>
      </c>
      <c r="AS5" s="3070">
        <f t="shared" si="0"/>
        <v>0</v>
      </c>
      <c r="AT5" s="3070">
        <f t="shared" si="0"/>
        <v>0</v>
      </c>
      <c r="AU5" s="2393"/>
      <c r="AV5" s="2123" t="s">
        <v>575</v>
      </c>
      <c r="AW5" s="2394"/>
      <c r="AX5" s="2394"/>
      <c r="AY5" s="3129" t="s">
        <v>124</v>
      </c>
      <c r="AZ5" s="3130">
        <f t="shared" ref="AZ5:BT5" si="1">SUM(AZ13:AZ656)</f>
        <v>30.6</v>
      </c>
      <c r="BA5" s="3130">
        <f t="shared" si="1"/>
        <v>30.6</v>
      </c>
      <c r="BB5" s="3130">
        <f t="shared" si="1"/>
        <v>30.6</v>
      </c>
      <c r="BC5" s="3130">
        <f t="shared" si="1"/>
        <v>0</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7" customFormat="1" ht="12.75">
      <c r="A6" s="2123" t="s">
        <v>576</v>
      </c>
      <c r="B6" s="3071"/>
      <c r="C6" s="3071"/>
      <c r="D6" s="3072"/>
      <c r="E6" s="3070">
        <f>H6+AC6+AT6</f>
        <v>0</v>
      </c>
      <c r="F6" s="3070" t="s">
        <v>124</v>
      </c>
      <c r="G6" s="3070" t="s">
        <v>124</v>
      </c>
      <c r="H6" s="3073">
        <f>SUMIF(I$12:AB$12,"总值",I6:AB6)</f>
        <v>0</v>
      </c>
      <c r="I6" s="3070">
        <f t="shared" ref="I6:AB6" si="2">ROUND($A$3*I5/$B$3,2)</f>
        <v>0</v>
      </c>
      <c r="J6" s="3070">
        <f t="shared" si="2"/>
        <v>0</v>
      </c>
      <c r="K6" s="3070">
        <f t="shared" si="2"/>
        <v>0</v>
      </c>
      <c r="L6" s="3070">
        <f t="shared" si="2"/>
        <v>0</v>
      </c>
      <c r="M6" s="3070">
        <f t="shared" si="2"/>
        <v>0</v>
      </c>
      <c r="N6" s="3070">
        <f t="shared" si="2"/>
        <v>0</v>
      </c>
      <c r="O6" s="3070">
        <f t="shared" si="2"/>
        <v>0</v>
      </c>
      <c r="P6" s="3070">
        <f t="shared" si="2"/>
        <v>0</v>
      </c>
      <c r="Q6" s="3070">
        <f t="shared" si="2"/>
        <v>0</v>
      </c>
      <c r="R6" s="3070">
        <f t="shared" si="2"/>
        <v>0</v>
      </c>
      <c r="S6" s="3070">
        <f t="shared" si="2"/>
        <v>0</v>
      </c>
      <c r="T6" s="3070">
        <f t="shared" si="2"/>
        <v>0</v>
      </c>
      <c r="U6" s="3070">
        <f t="shared" si="2"/>
        <v>0</v>
      </c>
      <c r="V6" s="3070">
        <f t="shared" si="2"/>
        <v>0</v>
      </c>
      <c r="W6" s="3070">
        <f t="shared" si="2"/>
        <v>0</v>
      </c>
      <c r="X6" s="3070">
        <f t="shared" si="2"/>
        <v>0</v>
      </c>
      <c r="Y6" s="3070">
        <f t="shared" si="2"/>
        <v>0</v>
      </c>
      <c r="Z6" s="3070">
        <f t="shared" si="2"/>
        <v>0</v>
      </c>
      <c r="AA6" s="3070">
        <f t="shared" si="2"/>
        <v>0</v>
      </c>
      <c r="AB6" s="3070">
        <f t="shared" si="2"/>
        <v>0</v>
      </c>
      <c r="AC6" s="3073">
        <f>SUMIF(AD$12:AS$12,"总值",AD6:AS6)</f>
        <v>0</v>
      </c>
      <c r="AD6" s="3070">
        <f t="shared" ref="AD6:AS6" si="3">ROUND($A$3*AD5/$B$3,2)</f>
        <v>0</v>
      </c>
      <c r="AE6" s="3070">
        <f t="shared" si="3"/>
        <v>0</v>
      </c>
      <c r="AF6" s="3070">
        <f t="shared" si="3"/>
        <v>0</v>
      </c>
      <c r="AG6" s="3070">
        <f t="shared" si="3"/>
        <v>0</v>
      </c>
      <c r="AH6" s="3070">
        <f t="shared" si="3"/>
        <v>0</v>
      </c>
      <c r="AI6" s="3070">
        <f t="shared" si="3"/>
        <v>0</v>
      </c>
      <c r="AJ6" s="3070">
        <f t="shared" si="3"/>
        <v>0</v>
      </c>
      <c r="AK6" s="3070">
        <f t="shared" si="3"/>
        <v>0</v>
      </c>
      <c r="AL6" s="3070">
        <f t="shared" si="3"/>
        <v>0</v>
      </c>
      <c r="AM6" s="3070">
        <f t="shared" si="3"/>
        <v>0</v>
      </c>
      <c r="AN6" s="3070">
        <f t="shared" si="3"/>
        <v>0</v>
      </c>
      <c r="AO6" s="3070">
        <f t="shared" si="3"/>
        <v>0</v>
      </c>
      <c r="AP6" s="3070">
        <f t="shared" si="3"/>
        <v>0</v>
      </c>
      <c r="AQ6" s="3070">
        <f t="shared" si="3"/>
        <v>0</v>
      </c>
      <c r="AR6" s="3070">
        <f t="shared" si="3"/>
        <v>0</v>
      </c>
      <c r="AS6" s="3070">
        <f t="shared" si="3"/>
        <v>0</v>
      </c>
      <c r="AT6" s="3073">
        <f>IF(C3="是",ROUND($A$3*AT5/$B$3,2),0)</f>
        <v>0</v>
      </c>
      <c r="AU6" s="3115"/>
      <c r="AV6" s="2123" t="s">
        <v>576</v>
      </c>
      <c r="AW6" s="3071"/>
      <c r="AX6" s="3071"/>
      <c r="AY6" s="3131">
        <f>IF(AY3&gt;0,AY3,ROUND($A$3*AZ5/$B$3,2))</f>
        <v>0</v>
      </c>
      <c r="AZ6" s="3070" t="s">
        <v>124</v>
      </c>
      <c r="BA6" s="3070">
        <f>ROUND($AY$6*BA5/$AZ$5,2)</f>
        <v>0</v>
      </c>
      <c r="BB6" s="3070">
        <f>ROUND($AY$6*BB5/$AZ$5,2)</f>
        <v>0</v>
      </c>
      <c r="BC6" s="3070">
        <f t="shared" ref="BC6:BH6" si="4">ROUND($AY$6*BC5/$AZ$5,2)</f>
        <v>0</v>
      </c>
      <c r="BD6" s="3070">
        <f t="shared" si="4"/>
        <v>0</v>
      </c>
      <c r="BE6" s="3070">
        <f t="shared" si="4"/>
        <v>0</v>
      </c>
      <c r="BF6" s="3070">
        <f t="shared" si="4"/>
        <v>0</v>
      </c>
      <c r="BG6" s="3070">
        <f t="shared" si="4"/>
        <v>0</v>
      </c>
      <c r="BH6" s="3070">
        <f t="shared" si="4"/>
        <v>0</v>
      </c>
      <c r="BI6" s="3070">
        <f t="shared" ref="BI6:BT6" si="5">ROUND($AY$6*BI5/$AZ$5,2)</f>
        <v>0</v>
      </c>
      <c r="BJ6" s="3070">
        <f t="shared" si="5"/>
        <v>0</v>
      </c>
      <c r="BK6" s="3070">
        <f t="shared" si="5"/>
        <v>0</v>
      </c>
      <c r="BL6" s="3070">
        <f t="shared" si="5"/>
        <v>0</v>
      </c>
      <c r="BM6" s="3070">
        <f t="shared" si="5"/>
        <v>0</v>
      </c>
      <c r="BN6" s="3070">
        <f t="shared" si="5"/>
        <v>0</v>
      </c>
      <c r="BO6" s="3070">
        <f t="shared" si="5"/>
        <v>0</v>
      </c>
      <c r="BP6" s="3070">
        <f t="shared" si="5"/>
        <v>0</v>
      </c>
      <c r="BQ6" s="3070">
        <f t="shared" si="5"/>
        <v>0</v>
      </c>
      <c r="BR6" s="3070">
        <f t="shared" si="5"/>
        <v>0</v>
      </c>
      <c r="BS6" s="3070">
        <f t="shared" si="5"/>
        <v>0</v>
      </c>
      <c r="BT6" s="3140">
        <f t="shared" si="5"/>
        <v>0</v>
      </c>
    </row>
    <row r="7" spans="1:72" s="3055" customFormat="1" ht="24.75">
      <c r="A7" s="3074" t="s">
        <v>577</v>
      </c>
      <c r="B7" s="3074" t="s">
        <v>578</v>
      </c>
      <c r="C7" s="3074" t="s">
        <v>551</v>
      </c>
      <c r="D7" s="3074" t="s">
        <v>579</v>
      </c>
      <c r="E7" s="3074" t="s">
        <v>576</v>
      </c>
      <c r="F7" s="3074" t="s">
        <v>580</v>
      </c>
      <c r="G7" s="2491" t="s">
        <v>581</v>
      </c>
      <c r="H7" s="3075"/>
      <c r="I7" s="3075"/>
      <c r="J7" s="3075"/>
      <c r="K7" s="3075"/>
      <c r="L7" s="3075"/>
      <c r="M7" s="3075"/>
      <c r="N7" s="3075"/>
      <c r="O7" s="3075"/>
      <c r="P7" s="3075"/>
      <c r="Q7" s="3075"/>
      <c r="R7" s="3075"/>
      <c r="S7" s="3075"/>
      <c r="T7" s="3075"/>
      <c r="U7" s="3075"/>
      <c r="V7" s="3075"/>
      <c r="W7" s="3075"/>
      <c r="X7" s="3075"/>
      <c r="Y7" s="3075"/>
      <c r="Z7" s="3075"/>
      <c r="AA7" s="3075"/>
      <c r="AB7" s="3075"/>
      <c r="AC7" s="3075"/>
      <c r="AD7" s="3075"/>
      <c r="AE7" s="3075"/>
      <c r="AF7" s="3075"/>
      <c r="AG7" s="3075"/>
      <c r="AH7" s="3075"/>
      <c r="AI7" s="3075"/>
      <c r="AJ7" s="3075"/>
      <c r="AK7" s="3075"/>
      <c r="AL7" s="3075"/>
      <c r="AM7" s="3075"/>
      <c r="AN7" s="3075"/>
      <c r="AO7" s="3075"/>
      <c r="AP7" s="3075"/>
      <c r="AQ7" s="3075"/>
      <c r="AR7" s="3075"/>
      <c r="AS7" s="3075"/>
      <c r="AT7" s="2522"/>
      <c r="AU7" s="3075" t="s">
        <v>582</v>
      </c>
      <c r="AV7" s="3116" t="s">
        <v>577</v>
      </c>
      <c r="AW7" s="2511" t="s">
        <v>578</v>
      </c>
      <c r="AX7" s="3116" t="s">
        <v>551</v>
      </c>
      <c r="AY7" s="2394" t="s">
        <v>583</v>
      </c>
      <c r="AZ7" s="3107"/>
      <c r="BA7" s="3075"/>
      <c r="BB7" s="3075"/>
      <c r="BC7" s="3075"/>
      <c r="BD7" s="3075"/>
      <c r="BE7" s="3075"/>
      <c r="BF7" s="3075"/>
      <c r="BG7" s="3075"/>
      <c r="BH7" s="3075"/>
      <c r="BI7" s="3075"/>
      <c r="BJ7" s="3075"/>
      <c r="BK7" s="3075"/>
      <c r="BL7" s="3075"/>
      <c r="BM7" s="3075"/>
      <c r="BN7" s="3075"/>
      <c r="BO7" s="3075"/>
      <c r="BP7" s="3075"/>
      <c r="BQ7" s="3075"/>
      <c r="BR7" s="3075"/>
      <c r="BS7" s="3075"/>
      <c r="BT7" s="3141"/>
    </row>
    <row r="8" spans="1:72" s="2776" customFormat="1" ht="24">
      <c r="A8" s="3076"/>
      <c r="B8" s="3076"/>
      <c r="C8" s="3076"/>
      <c r="D8" s="3076"/>
      <c r="E8" s="3076"/>
      <c r="F8" s="3076"/>
      <c r="G8" s="3077" t="s">
        <v>584</v>
      </c>
      <c r="H8" s="3078" t="s">
        <v>585</v>
      </c>
      <c r="I8" s="3096"/>
      <c r="J8" s="623"/>
      <c r="K8" s="623"/>
      <c r="L8" s="623"/>
      <c r="M8" s="623"/>
      <c r="N8" s="623"/>
      <c r="O8" s="623"/>
      <c r="P8" s="623"/>
      <c r="Q8" s="623"/>
      <c r="R8" s="623"/>
      <c r="S8" s="623"/>
      <c r="T8" s="623"/>
      <c r="U8" s="623"/>
      <c r="V8" s="3103"/>
      <c r="W8" s="623"/>
      <c r="X8" s="623"/>
      <c r="Y8" s="623"/>
      <c r="Z8" s="623"/>
      <c r="AA8" s="3103"/>
      <c r="AB8" s="3105"/>
      <c r="AC8" s="2265" t="s">
        <v>586</v>
      </c>
      <c r="AD8" s="3106"/>
      <c r="AE8" s="3107"/>
      <c r="AF8" s="623"/>
      <c r="AG8" s="623"/>
      <c r="AH8" s="623"/>
      <c r="AI8" s="623"/>
      <c r="AJ8" s="623"/>
      <c r="AK8" s="623"/>
      <c r="AL8" s="623"/>
      <c r="AM8" s="623"/>
      <c r="AN8" s="623"/>
      <c r="AO8" s="623"/>
      <c r="AP8" s="623"/>
      <c r="AQ8" s="623"/>
      <c r="AR8" s="623"/>
      <c r="AS8" s="623"/>
      <c r="AT8" s="1964" t="s">
        <v>587</v>
      </c>
      <c r="AU8" s="3076" t="s">
        <v>588</v>
      </c>
      <c r="AV8" s="1964"/>
      <c r="AW8" s="2471"/>
      <c r="AX8" s="1964"/>
      <c r="AY8" s="2511" t="s">
        <v>576</v>
      </c>
      <c r="AZ8" s="622" t="s">
        <v>505</v>
      </c>
      <c r="BA8" s="623"/>
      <c r="BB8" s="623"/>
      <c r="BC8" s="623"/>
      <c r="BD8" s="623"/>
      <c r="BE8" s="623"/>
      <c r="BF8" s="623"/>
      <c r="BG8" s="623"/>
      <c r="BH8" s="623"/>
      <c r="BI8" s="623"/>
      <c r="BJ8" s="623"/>
      <c r="BK8" s="623"/>
      <c r="BL8" s="623"/>
      <c r="BM8" s="623"/>
      <c r="BN8" s="623"/>
      <c r="BO8" s="623"/>
      <c r="BP8" s="623"/>
      <c r="BQ8" s="623"/>
      <c r="BR8" s="623"/>
      <c r="BS8" s="623"/>
      <c r="BT8" s="2010"/>
    </row>
    <row r="9" spans="1:72" s="2776" customFormat="1" ht="12.75">
      <c r="A9" s="3076"/>
      <c r="B9" s="3076"/>
      <c r="C9" s="3076"/>
      <c r="D9" s="3076"/>
      <c r="E9" s="3076"/>
      <c r="F9" s="3076"/>
      <c r="G9" s="1964"/>
      <c r="H9" s="3079" t="s">
        <v>589</v>
      </c>
      <c r="I9" s="3097" t="s">
        <v>468</v>
      </c>
      <c r="J9" s="2265"/>
      <c r="K9" s="3097"/>
      <c r="L9" s="2265"/>
      <c r="M9" s="3097"/>
      <c r="N9" s="2265"/>
      <c r="O9" s="3097"/>
      <c r="P9" s="2265"/>
      <c r="Q9" s="3097"/>
      <c r="R9" s="2265"/>
      <c r="S9" s="3097"/>
      <c r="T9" s="2265"/>
      <c r="U9" s="3097"/>
      <c r="V9" s="2265"/>
      <c r="W9" s="3097"/>
      <c r="X9" s="3104"/>
      <c r="Y9" s="3097"/>
      <c r="Z9" s="2265"/>
      <c r="AA9" s="3097"/>
      <c r="AB9" s="2265"/>
      <c r="AC9" s="3077" t="s">
        <v>589</v>
      </c>
      <c r="AD9" s="2123" t="s">
        <v>590</v>
      </c>
      <c r="AE9" s="1976"/>
      <c r="AF9" s="2123" t="s">
        <v>591</v>
      </c>
      <c r="AG9" s="1976"/>
      <c r="AH9" s="2123" t="s">
        <v>590</v>
      </c>
      <c r="AI9" s="1976"/>
      <c r="AJ9" s="2123" t="s">
        <v>591</v>
      </c>
      <c r="AK9" s="1976"/>
      <c r="AL9" s="2123" t="s">
        <v>590</v>
      </c>
      <c r="AM9" s="1976"/>
      <c r="AN9" s="2123" t="s">
        <v>591</v>
      </c>
      <c r="AO9" s="1976"/>
      <c r="AP9" s="2123" t="s">
        <v>590</v>
      </c>
      <c r="AQ9" s="1976"/>
      <c r="AR9" s="2123" t="s">
        <v>591</v>
      </c>
      <c r="AS9" s="3117"/>
      <c r="AT9" s="3076"/>
      <c r="AU9" s="3076" t="s">
        <v>592</v>
      </c>
      <c r="AV9" s="1964"/>
      <c r="AW9" s="2471"/>
      <c r="AX9" s="1964"/>
      <c r="AY9" s="3080"/>
      <c r="AZ9" s="3080" t="s">
        <v>584</v>
      </c>
      <c r="BA9" s="3132" t="s">
        <v>593</v>
      </c>
      <c r="BB9" s="3133"/>
      <c r="BC9" s="2022"/>
      <c r="BD9" s="2022"/>
      <c r="BE9" s="2022"/>
      <c r="BF9" s="2022"/>
      <c r="BG9" s="2022"/>
      <c r="BH9" s="2022"/>
      <c r="BI9" s="2022"/>
      <c r="BJ9" s="2022"/>
      <c r="BK9" s="3138"/>
      <c r="BL9" s="2123" t="s">
        <v>594</v>
      </c>
      <c r="BM9" s="623"/>
      <c r="BN9" s="3096"/>
      <c r="BO9" s="623"/>
      <c r="BP9" s="623"/>
      <c r="BQ9" s="623"/>
      <c r="BR9" s="623"/>
      <c r="BS9" s="623"/>
      <c r="BT9" s="2010"/>
    </row>
    <row r="10" spans="1:72" s="2776" customFormat="1" ht="12.75">
      <c r="A10" s="3076"/>
      <c r="B10" s="3076"/>
      <c r="C10" s="3076"/>
      <c r="D10" s="3076"/>
      <c r="E10" s="3076"/>
      <c r="F10" s="3076"/>
      <c r="G10" s="1964"/>
      <c r="H10" s="3080"/>
      <c r="I10" s="3097" t="s">
        <v>595</v>
      </c>
      <c r="J10" s="2265"/>
      <c r="K10" s="3098"/>
      <c r="L10" s="2265"/>
      <c r="M10" s="3098"/>
      <c r="N10" s="2265"/>
      <c r="O10" s="3098"/>
      <c r="P10" s="2265"/>
      <c r="Q10" s="3098"/>
      <c r="R10" s="2265"/>
      <c r="S10" s="3098"/>
      <c r="T10" s="2265"/>
      <c r="U10" s="3098"/>
      <c r="V10" s="2265"/>
      <c r="W10" s="3098"/>
      <c r="X10" s="2265"/>
      <c r="Y10" s="3098"/>
      <c r="Z10" s="2265"/>
      <c r="AA10" s="3098"/>
      <c r="AB10" s="2265"/>
      <c r="AC10" s="1964"/>
      <c r="AD10" s="2123" t="s">
        <v>596</v>
      </c>
      <c r="AE10" s="3108"/>
      <c r="AF10" s="2123" t="s">
        <v>596</v>
      </c>
      <c r="AG10" s="3108"/>
      <c r="AH10" s="2123" t="s">
        <v>597</v>
      </c>
      <c r="AI10" s="3108"/>
      <c r="AJ10" s="2123" t="s">
        <v>597</v>
      </c>
      <c r="AK10" s="3108"/>
      <c r="AL10" s="2123" t="s">
        <v>598</v>
      </c>
      <c r="AM10" s="1976"/>
      <c r="AN10" s="2123" t="s">
        <v>598</v>
      </c>
      <c r="AO10" s="1976"/>
      <c r="AP10" s="2123" t="s">
        <v>599</v>
      </c>
      <c r="AQ10" s="1976"/>
      <c r="AR10" s="2123" t="s">
        <v>599</v>
      </c>
      <c r="AS10" s="1976"/>
      <c r="AT10" s="3076"/>
      <c r="AU10" s="3076"/>
      <c r="AV10" s="1964"/>
      <c r="AW10" s="2471"/>
      <c r="AX10" s="1964"/>
      <c r="AY10" s="3080"/>
      <c r="AZ10" s="3080"/>
      <c r="BA10" s="3081" t="s">
        <v>589</v>
      </c>
      <c r="BB10" s="3134" t="str">
        <f>I9</f>
        <v>地下</v>
      </c>
      <c r="BC10" s="2034">
        <f>K9</f>
        <v>0</v>
      </c>
      <c r="BD10" s="2034">
        <f>M9</f>
        <v>0</v>
      </c>
      <c r="BE10" s="2034">
        <f>O9</f>
        <v>0</v>
      </c>
      <c r="BF10" s="2034">
        <f>Q9</f>
        <v>0</v>
      </c>
      <c r="BG10" s="2034">
        <f>S9</f>
        <v>0</v>
      </c>
      <c r="BH10" s="2034">
        <f>U9</f>
        <v>0</v>
      </c>
      <c r="BI10" s="2034">
        <f>W9</f>
        <v>0</v>
      </c>
      <c r="BJ10" s="2034">
        <f>Y9</f>
        <v>0</v>
      </c>
      <c r="BK10" s="2034">
        <f>AA9</f>
        <v>0</v>
      </c>
      <c r="BL10" s="2030" t="s">
        <v>589</v>
      </c>
      <c r="BM10" s="622" t="str">
        <f>AD9</f>
        <v>地上</v>
      </c>
      <c r="BN10" s="2034" t="str">
        <f>AF9</f>
        <v>地下</v>
      </c>
      <c r="BO10" s="622" t="str">
        <f>AH9</f>
        <v>地上</v>
      </c>
      <c r="BP10" s="2034" t="str">
        <f>AJ9</f>
        <v>地下</v>
      </c>
      <c r="BQ10" s="622" t="str">
        <f>AL9</f>
        <v>地上</v>
      </c>
      <c r="BR10" s="2034" t="str">
        <f>AN9</f>
        <v>地下</v>
      </c>
      <c r="BS10" s="622" t="str">
        <f>AP9</f>
        <v>地上</v>
      </c>
      <c r="BT10" s="3142" t="str">
        <f>AR9</f>
        <v>地下</v>
      </c>
    </row>
    <row r="11" spans="1:72" s="2776" customFormat="1" ht="12.75">
      <c r="A11" s="3076"/>
      <c r="B11" s="3076"/>
      <c r="C11" s="3076"/>
      <c r="D11" s="3076"/>
      <c r="E11" s="3076"/>
      <c r="F11" s="3076"/>
      <c r="G11" s="1964"/>
      <c r="H11" s="3081"/>
      <c r="I11" s="3099"/>
      <c r="J11" s="3100"/>
      <c r="K11" s="3099"/>
      <c r="L11" s="3100"/>
      <c r="M11" s="3099"/>
      <c r="N11" s="3100"/>
      <c r="O11" s="3099"/>
      <c r="P11" s="3100"/>
      <c r="Q11" s="3099"/>
      <c r="R11" s="3100"/>
      <c r="S11" s="3099"/>
      <c r="T11" s="3100"/>
      <c r="U11" s="3099"/>
      <c r="V11" s="3100"/>
      <c r="W11" s="3099"/>
      <c r="X11" s="3100"/>
      <c r="Y11" s="3099"/>
      <c r="Z11" s="3100"/>
      <c r="AA11" s="3099"/>
      <c r="AB11" s="3100"/>
      <c r="AC11" s="1964"/>
      <c r="AD11" s="3109" t="s">
        <v>600</v>
      </c>
      <c r="AE11" s="680"/>
      <c r="AF11" s="3109" t="s">
        <v>600</v>
      </c>
      <c r="AG11" s="680"/>
      <c r="AH11" s="3109" t="s">
        <v>601</v>
      </c>
      <c r="AI11" s="3113"/>
      <c r="AJ11" s="3109" t="s">
        <v>601</v>
      </c>
      <c r="AK11" s="680"/>
      <c r="AL11" s="622"/>
      <c r="AM11" s="680"/>
      <c r="AN11" s="622"/>
      <c r="AO11" s="680"/>
      <c r="AP11" s="622"/>
      <c r="AQ11" s="680"/>
      <c r="AR11" s="622"/>
      <c r="AS11" s="680"/>
      <c r="AT11" s="2471"/>
      <c r="AU11" s="3076"/>
      <c r="AV11" s="1964"/>
      <c r="AW11" s="2471"/>
      <c r="AX11" s="1964"/>
      <c r="AY11" s="3080"/>
      <c r="AZ11" s="3080"/>
      <c r="BA11" s="3080"/>
      <c r="BB11" s="3105" t="str">
        <f>I10</f>
        <v>车库</v>
      </c>
      <c r="BC11" s="3105">
        <f>K10</f>
        <v>0</v>
      </c>
      <c r="BD11" s="3105">
        <f>M10</f>
        <v>0</v>
      </c>
      <c r="BE11" s="3105">
        <f>O10</f>
        <v>0</v>
      </c>
      <c r="BF11" s="3105">
        <f>Q10</f>
        <v>0</v>
      </c>
      <c r="BG11" s="3105">
        <f>S10</f>
        <v>0</v>
      </c>
      <c r="BH11" s="3105">
        <f>U10</f>
        <v>0</v>
      </c>
      <c r="BI11" s="3105">
        <f>W10</f>
        <v>0</v>
      </c>
      <c r="BJ11" s="3105">
        <f>Y10</f>
        <v>0</v>
      </c>
      <c r="BK11" s="3105">
        <f>AA10</f>
        <v>0</v>
      </c>
      <c r="BL11" s="1964"/>
      <c r="BM11" s="622" t="str">
        <f>AD10</f>
        <v>公共配套设施</v>
      </c>
      <c r="BN11" s="622" t="str">
        <f>AF10</f>
        <v>公共配套设施</v>
      </c>
      <c r="BO11" s="621" t="str">
        <f>AH10</f>
        <v>物业管理用房</v>
      </c>
      <c r="BP11" s="621" t="str">
        <f>AJ10</f>
        <v>物业管理用房</v>
      </c>
      <c r="BQ11" s="621" t="str">
        <f>AL10</f>
        <v>设备及其他</v>
      </c>
      <c r="BR11" s="621" t="str">
        <f>AN10</f>
        <v>设备及其他</v>
      </c>
      <c r="BS11" s="2030" t="str">
        <f>AP10</f>
        <v>未注明</v>
      </c>
      <c r="BT11" s="3143" t="str">
        <f>AR10</f>
        <v>未注明</v>
      </c>
    </row>
    <row r="12" spans="1:72" s="3055" customFormat="1" ht="12.75">
      <c r="A12" s="3082"/>
      <c r="B12" s="3082"/>
      <c r="C12" s="3082"/>
      <c r="D12" s="3082"/>
      <c r="E12" s="3082"/>
      <c r="F12" s="3082"/>
      <c r="G12" s="754"/>
      <c r="H12" s="3083"/>
      <c r="I12" s="2522" t="s">
        <v>602</v>
      </c>
      <c r="J12" s="624" t="s">
        <v>603</v>
      </c>
      <c r="K12" s="624" t="s">
        <v>602</v>
      </c>
      <c r="L12" s="624" t="s">
        <v>603</v>
      </c>
      <c r="M12" s="624" t="s">
        <v>602</v>
      </c>
      <c r="N12" s="624" t="s">
        <v>603</v>
      </c>
      <c r="O12" s="624" t="s">
        <v>602</v>
      </c>
      <c r="P12" s="624" t="s">
        <v>603</v>
      </c>
      <c r="Q12" s="624" t="s">
        <v>602</v>
      </c>
      <c r="R12" s="624" t="s">
        <v>603</v>
      </c>
      <c r="S12" s="624" t="s">
        <v>602</v>
      </c>
      <c r="T12" s="624" t="s">
        <v>603</v>
      </c>
      <c r="U12" s="624" t="s">
        <v>602</v>
      </c>
      <c r="V12" s="2393" t="s">
        <v>603</v>
      </c>
      <c r="W12" s="624" t="s">
        <v>602</v>
      </c>
      <c r="X12" s="624" t="s">
        <v>603</v>
      </c>
      <c r="Y12" s="624" t="s">
        <v>602</v>
      </c>
      <c r="Z12" s="624" t="s">
        <v>603</v>
      </c>
      <c r="AA12" s="624" t="s">
        <v>602</v>
      </c>
      <c r="AB12" s="624" t="s">
        <v>603</v>
      </c>
      <c r="AC12" s="3110"/>
      <c r="AD12" s="2522" t="s">
        <v>602</v>
      </c>
      <c r="AE12" s="624" t="s">
        <v>603</v>
      </c>
      <c r="AF12" s="624" t="s">
        <v>602</v>
      </c>
      <c r="AG12" s="624" t="s">
        <v>603</v>
      </c>
      <c r="AH12" s="624" t="s">
        <v>602</v>
      </c>
      <c r="AI12" s="624" t="s">
        <v>603</v>
      </c>
      <c r="AJ12" s="624" t="s">
        <v>602</v>
      </c>
      <c r="AK12" s="624" t="s">
        <v>603</v>
      </c>
      <c r="AL12" s="624" t="s">
        <v>602</v>
      </c>
      <c r="AM12" s="624" t="s">
        <v>603</v>
      </c>
      <c r="AN12" s="624" t="s">
        <v>602</v>
      </c>
      <c r="AO12" s="624" t="s">
        <v>603</v>
      </c>
      <c r="AP12" s="624" t="s">
        <v>602</v>
      </c>
      <c r="AQ12" s="624" t="s">
        <v>603</v>
      </c>
      <c r="AR12" s="754" t="s">
        <v>602</v>
      </c>
      <c r="AS12" s="3082" t="s">
        <v>603</v>
      </c>
      <c r="AT12" s="3118"/>
      <c r="AU12" s="3082"/>
      <c r="AV12" s="3119"/>
      <c r="AW12" s="2511"/>
      <c r="AX12" s="3119"/>
      <c r="AY12" s="3135"/>
      <c r="AZ12" s="3080"/>
      <c r="BA12" s="3081"/>
      <c r="BB12" s="621">
        <f>I11</f>
        <v>0</v>
      </c>
      <c r="BC12" s="3136">
        <f>K11</f>
        <v>0</v>
      </c>
      <c r="BD12" s="3136">
        <f>M11</f>
        <v>0</v>
      </c>
      <c r="BE12" s="3105">
        <f>O11</f>
        <v>0</v>
      </c>
      <c r="BF12" s="3105">
        <f>Q11</f>
        <v>0</v>
      </c>
      <c r="BG12" s="3105">
        <f>S11</f>
        <v>0</v>
      </c>
      <c r="BH12" s="3105">
        <f>U11</f>
        <v>0</v>
      </c>
      <c r="BI12" s="3105">
        <f>W11</f>
        <v>0</v>
      </c>
      <c r="BJ12" s="3105">
        <f>Y11</f>
        <v>0</v>
      </c>
      <c r="BK12" s="3105">
        <f>AA11</f>
        <v>0</v>
      </c>
      <c r="BL12" s="1964"/>
      <c r="BM12" s="622" t="str">
        <f>AD11</f>
        <v>（住宅）</v>
      </c>
      <c r="BN12" s="622" t="str">
        <f>AF11</f>
        <v>（住宅）</v>
      </c>
      <c r="BO12" s="621" t="str">
        <f>AH11</f>
        <v>（住宅、计出让金）</v>
      </c>
      <c r="BP12" s="621" t="str">
        <f>AJ11</f>
        <v>（住宅、计出让金）</v>
      </c>
      <c r="BQ12" s="621">
        <f>AL11</f>
        <v>0</v>
      </c>
      <c r="BR12" s="621">
        <f>AN11</f>
        <v>0</v>
      </c>
      <c r="BS12" s="2030">
        <f>AP11</f>
        <v>0</v>
      </c>
      <c r="BT12" s="3143">
        <f>AR11</f>
        <v>0</v>
      </c>
    </row>
    <row r="13" spans="1:72" s="3055" customFormat="1" ht="12.75">
      <c r="A13" s="3084"/>
      <c r="B13" s="3084"/>
      <c r="C13" s="3084"/>
      <c r="D13" s="3085" t="s">
        <v>604</v>
      </c>
      <c r="E13" s="3070">
        <f>IF($C$3="是",ROUND($A$3*G13/$B$3,2),ROUND($A$3*(G13-AT13)/$B$3,2))</f>
        <v>0</v>
      </c>
      <c r="F13" s="3086"/>
      <c r="G13" s="3087">
        <f>H13+AC13+AT13</f>
        <v>30.6</v>
      </c>
      <c r="H13" s="3073">
        <f>SUMIF(I$12:AB$12,"总值",I13:AB13)</f>
        <v>30.6</v>
      </c>
      <c r="I13" s="3101">
        <f>可抵押车位明细清单!H3</f>
        <v>30.6</v>
      </c>
      <c r="J13" s="3101"/>
      <c r="K13" s="3101"/>
      <c r="L13" s="3101"/>
      <c r="M13" s="3101"/>
      <c r="N13" s="3101"/>
      <c r="O13" s="3101"/>
      <c r="P13" s="3101"/>
      <c r="Q13" s="3101"/>
      <c r="R13" s="3101"/>
      <c r="S13" s="3101"/>
      <c r="T13" s="3101"/>
      <c r="U13" s="3101"/>
      <c r="V13" s="3101"/>
      <c r="W13" s="3101"/>
      <c r="X13" s="3101"/>
      <c r="Y13" s="3101"/>
      <c r="Z13" s="3101"/>
      <c r="AA13" s="3101"/>
      <c r="AB13" s="3101"/>
      <c r="AC13" s="3070">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624">
        <f t="shared" ref="AV13:AX17" si="6">A13</f>
        <v>0</v>
      </c>
      <c r="AW13" s="624">
        <f t="shared" si="6"/>
        <v>0</v>
      </c>
      <c r="AX13" s="624">
        <f t="shared" si="6"/>
        <v>0</v>
      </c>
      <c r="AY13" s="2522">
        <f>ROUND($AY$6*AZ13/$AZ$5,2)</f>
        <v>0</v>
      </c>
      <c r="AZ13" s="3070">
        <f>BA13+BL13</f>
        <v>30.6</v>
      </c>
      <c r="BA13" s="3070">
        <f>SUM(BB13:BK13)</f>
        <v>30.6</v>
      </c>
      <c r="BB13" s="3070">
        <f>IF($D13="是",I13-J13,0)</f>
        <v>30.6</v>
      </c>
      <c r="BC13" s="3070">
        <f>IF($D13="是",K13-L13,0)</f>
        <v>0</v>
      </c>
      <c r="BD13" s="3070">
        <f>IF($D13="是",M13-N13,0)</f>
        <v>0</v>
      </c>
      <c r="BE13" s="3070">
        <f>IF($D13="是",O13-P13,0)</f>
        <v>0</v>
      </c>
      <c r="BF13" s="3070">
        <f>IF($D13="是",Q13-R13,0)</f>
        <v>0</v>
      </c>
      <c r="BG13" s="3070">
        <f>IF($D13="是",S13-T13,0)</f>
        <v>0</v>
      </c>
      <c r="BH13" s="3070">
        <f>IF($D13="是",U13-V13,0)</f>
        <v>0</v>
      </c>
      <c r="BI13" s="3070">
        <f>IF($D13="是",W13-X13,0)</f>
        <v>0</v>
      </c>
      <c r="BJ13" s="3070">
        <f>IF($D13="是",Y13-Z13,0)</f>
        <v>0</v>
      </c>
      <c r="BK13" s="3070">
        <f>IF($D13="是",AA13-AB13,0)</f>
        <v>0</v>
      </c>
      <c r="BL13" s="3070">
        <f>SUM(BM13:BT13)</f>
        <v>0</v>
      </c>
      <c r="BM13" s="3070">
        <f>IF($D13="是",AD13-AE13,0)</f>
        <v>0</v>
      </c>
      <c r="BN13" s="3070">
        <f>IF($D13="是",AF13-AG13,0)</f>
        <v>0</v>
      </c>
      <c r="BO13" s="3070">
        <f>IF($D13="是",AH13-AI13,0)</f>
        <v>0</v>
      </c>
      <c r="BP13" s="3070">
        <f>IF($D13="是",AJ13-AK13,0)</f>
        <v>0</v>
      </c>
      <c r="BQ13" s="3070">
        <f>IF($D13="是",AL13-AM13,0)</f>
        <v>0</v>
      </c>
      <c r="BR13" s="3070">
        <f>IF($D13="是",AN13-AO13,0)</f>
        <v>0</v>
      </c>
      <c r="BS13" s="3070">
        <f>IF($D13="是",AP13-AQ13,0)</f>
        <v>0</v>
      </c>
      <c r="BT13" s="3140">
        <f>IF($D13="是",AR13-AS13,0)</f>
        <v>0</v>
      </c>
    </row>
    <row r="14" spans="1:72" s="3055" customFormat="1" ht="12.75">
      <c r="A14" s="3084"/>
      <c r="B14" s="3084"/>
      <c r="C14" s="3088"/>
      <c r="D14" s="3085"/>
      <c r="E14" s="3070">
        <f>IF($C$3="是",ROUND($A$3*G14/$B$3,2),ROUND($A$3*(G14-AT14)/$B$3,2))</f>
        <v>0</v>
      </c>
      <c r="F14" s="3086"/>
      <c r="G14" s="3087">
        <f>H14+AC14+AT14</f>
        <v>0</v>
      </c>
      <c r="H14" s="3073">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70">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624">
        <f t="shared" si="6"/>
        <v>0</v>
      </c>
      <c r="AW14" s="624">
        <f t="shared" si="6"/>
        <v>0</v>
      </c>
      <c r="AX14" s="624">
        <f t="shared" si="6"/>
        <v>0</v>
      </c>
      <c r="AY14" s="2522">
        <f>ROUND($AY$6*AZ14/$AZ$5,2)</f>
        <v>0</v>
      </c>
      <c r="AZ14" s="3070">
        <f>BA14+BL14</f>
        <v>0</v>
      </c>
      <c r="BA14" s="3070">
        <f>SUM(BB14:BK14)</f>
        <v>0</v>
      </c>
      <c r="BB14" s="3070">
        <f>IF($D14="是",I14-J14,0)</f>
        <v>0</v>
      </c>
      <c r="BC14" s="3070">
        <f>IF($D14="是",K14-L14,0)</f>
        <v>0</v>
      </c>
      <c r="BD14" s="3070">
        <f>IF($D14="是",M14-N14,0)</f>
        <v>0</v>
      </c>
      <c r="BE14" s="3070">
        <f>IF($D14="是",O14-P14,0)</f>
        <v>0</v>
      </c>
      <c r="BF14" s="3070">
        <f>IF($D14="是",Q14-R14,0)</f>
        <v>0</v>
      </c>
      <c r="BG14" s="3070">
        <f>IF($D14="是",S14-T14,0)</f>
        <v>0</v>
      </c>
      <c r="BH14" s="3070">
        <f>IF($D14="是",U14-V14,0)</f>
        <v>0</v>
      </c>
      <c r="BI14" s="3070">
        <f>IF($D14="是",W14-X14,0)</f>
        <v>0</v>
      </c>
      <c r="BJ14" s="3070">
        <f>IF($D14="是",Y14-Z14,0)</f>
        <v>0</v>
      </c>
      <c r="BK14" s="3070">
        <f>IF($D14="是",AA14-AB14,0)</f>
        <v>0</v>
      </c>
      <c r="BL14" s="3070">
        <f>SUM(BM14:BT14)</f>
        <v>0</v>
      </c>
      <c r="BM14" s="3070">
        <f>IF($D14="是",AD14-AE14,0)</f>
        <v>0</v>
      </c>
      <c r="BN14" s="3070">
        <f>IF($D14="是",AF14-AG14,0)</f>
        <v>0</v>
      </c>
      <c r="BO14" s="3070">
        <f>IF($D14="是",AH14-AI14,0)</f>
        <v>0</v>
      </c>
      <c r="BP14" s="3070">
        <f>IF($D14="是",AJ14-AK14,0)</f>
        <v>0</v>
      </c>
      <c r="BQ14" s="3070">
        <f>IF($D14="是",AL14-AM14,0)</f>
        <v>0</v>
      </c>
      <c r="BR14" s="3070">
        <f>IF($D14="是",AN14-AO14,0)</f>
        <v>0</v>
      </c>
      <c r="BS14" s="3070">
        <f>IF($D14="是",AP14-AQ14,0)</f>
        <v>0</v>
      </c>
      <c r="BT14" s="3140">
        <f>IF($D14="是",AR14-AS14,0)</f>
        <v>0</v>
      </c>
    </row>
    <row r="15" spans="1:72" s="3055" customFormat="1" ht="12.75">
      <c r="A15" s="3084"/>
      <c r="B15" s="3084"/>
      <c r="C15" s="3088"/>
      <c r="D15" s="3085"/>
      <c r="E15" s="3070">
        <f>IF($C$3="是",ROUND($A$3*G15/$B$3,2),ROUND($A$3*(G15-AT15)/$B$3,2))</f>
        <v>0</v>
      </c>
      <c r="F15" s="3086"/>
      <c r="G15" s="3087">
        <f>H15+AC15+AT15</f>
        <v>0</v>
      </c>
      <c r="H15" s="3073">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70">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624">
        <f t="shared" si="6"/>
        <v>0</v>
      </c>
      <c r="AW15" s="624">
        <f t="shared" si="6"/>
        <v>0</v>
      </c>
      <c r="AX15" s="624">
        <f t="shared" si="6"/>
        <v>0</v>
      </c>
      <c r="AY15" s="2522">
        <f>ROUND($AY$6*AZ15/$AZ$5,2)</f>
        <v>0</v>
      </c>
      <c r="AZ15" s="3070">
        <f>BA15+BL15</f>
        <v>0</v>
      </c>
      <c r="BA15" s="3070">
        <f>SUM(BB15:BK15)</f>
        <v>0</v>
      </c>
      <c r="BB15" s="3070">
        <f>IF($D15="是",I15-J15,0)</f>
        <v>0</v>
      </c>
      <c r="BC15" s="3070">
        <f>IF($D15="是",K15-L15,0)</f>
        <v>0</v>
      </c>
      <c r="BD15" s="3070">
        <f>IF($D15="是",M15-N15,0)</f>
        <v>0</v>
      </c>
      <c r="BE15" s="3070">
        <f>IF($D15="是",O15-P15,0)</f>
        <v>0</v>
      </c>
      <c r="BF15" s="3070">
        <f>IF($D15="是",Q15-R15,0)</f>
        <v>0</v>
      </c>
      <c r="BG15" s="3070">
        <f>IF($D15="是",S15-T15,0)</f>
        <v>0</v>
      </c>
      <c r="BH15" s="3070">
        <f>IF($D15="是",U15-V15,0)</f>
        <v>0</v>
      </c>
      <c r="BI15" s="3070">
        <f>IF($D15="是",W15-X15,0)</f>
        <v>0</v>
      </c>
      <c r="BJ15" s="3070">
        <f>IF($D15="是",Y15-Z15,0)</f>
        <v>0</v>
      </c>
      <c r="BK15" s="3070">
        <f>IF($D15="是",AA15-AB15,0)</f>
        <v>0</v>
      </c>
      <c r="BL15" s="3070">
        <f>SUM(BM15:BT15)</f>
        <v>0</v>
      </c>
      <c r="BM15" s="3070">
        <f>IF($D15="是",AD15-AE15,0)</f>
        <v>0</v>
      </c>
      <c r="BN15" s="3070">
        <f>IF($D15="是",AF15-AG15,0)</f>
        <v>0</v>
      </c>
      <c r="BO15" s="3070">
        <f>IF($D15="是",AH15-AI15,0)</f>
        <v>0</v>
      </c>
      <c r="BP15" s="3070">
        <f>IF($D15="是",AJ15-AK15,0)</f>
        <v>0</v>
      </c>
      <c r="BQ15" s="3070">
        <f>IF($D15="是",AL15-AM15,0)</f>
        <v>0</v>
      </c>
      <c r="BR15" s="3070">
        <f>IF($D15="是",AN15-AO15,0)</f>
        <v>0</v>
      </c>
      <c r="BS15" s="3070">
        <f>IF($D15="是",AP15-AQ15,0)</f>
        <v>0</v>
      </c>
      <c r="BT15" s="3140">
        <f>IF($D15="是",AR15-AS15,0)</f>
        <v>0</v>
      </c>
    </row>
    <row r="16" spans="1:72" s="3055" customFormat="1" ht="12.75">
      <c r="A16" s="3084"/>
      <c r="B16" s="3084"/>
      <c r="C16" s="3088"/>
      <c r="D16" s="3085"/>
      <c r="E16" s="3070">
        <f>IF($C$3="是",ROUND($A$3*G16/$B$3,2),ROUND($A$3*(G16-AT16)/$B$3,2))</f>
        <v>0</v>
      </c>
      <c r="F16" s="3086"/>
      <c r="G16" s="3087">
        <f>H16+AC16+AT16</f>
        <v>0</v>
      </c>
      <c r="H16" s="3073">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70">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624">
        <f t="shared" si="6"/>
        <v>0</v>
      </c>
      <c r="AW16" s="624">
        <f t="shared" si="6"/>
        <v>0</v>
      </c>
      <c r="AX16" s="624">
        <f t="shared" si="6"/>
        <v>0</v>
      </c>
      <c r="AY16" s="2522">
        <f>ROUND($AY$6*AZ16/$AZ$5,2)</f>
        <v>0</v>
      </c>
      <c r="AZ16" s="3070">
        <f>BA16+BL16</f>
        <v>0</v>
      </c>
      <c r="BA16" s="3070">
        <f>SUM(BB16:BK16)</f>
        <v>0</v>
      </c>
      <c r="BB16" s="3070">
        <f>IF($D16="是",I16-J16,0)</f>
        <v>0</v>
      </c>
      <c r="BC16" s="3070">
        <f>IF($D16="是",K16-L16,0)</f>
        <v>0</v>
      </c>
      <c r="BD16" s="3070">
        <f>IF($D16="是",M16-N16,0)</f>
        <v>0</v>
      </c>
      <c r="BE16" s="3070">
        <f>IF($D16="是",O16-P16,0)</f>
        <v>0</v>
      </c>
      <c r="BF16" s="3070">
        <f>IF($D16="是",Q16-R16,0)</f>
        <v>0</v>
      </c>
      <c r="BG16" s="3070">
        <f>IF($D16="是",S16-T16,0)</f>
        <v>0</v>
      </c>
      <c r="BH16" s="3070">
        <f>IF($D16="是",U16-V16,0)</f>
        <v>0</v>
      </c>
      <c r="BI16" s="3070">
        <f>IF($D16="是",W16-X16,0)</f>
        <v>0</v>
      </c>
      <c r="BJ16" s="3070">
        <f>IF($D16="是",Y16-Z16,0)</f>
        <v>0</v>
      </c>
      <c r="BK16" s="3070">
        <f>IF($D16="是",AA16-AB16,0)</f>
        <v>0</v>
      </c>
      <c r="BL16" s="3070">
        <f>SUM(BM16:BT16)</f>
        <v>0</v>
      </c>
      <c r="BM16" s="3070">
        <f>IF($D16="是",AD16-AE16,0)</f>
        <v>0</v>
      </c>
      <c r="BN16" s="3070">
        <f>IF($D16="是",AF16-AG16,0)</f>
        <v>0</v>
      </c>
      <c r="BO16" s="3070">
        <f>IF($D16="是",AH16-AI16,0)</f>
        <v>0</v>
      </c>
      <c r="BP16" s="3070">
        <f>IF($D16="是",AJ16-AK16,0)</f>
        <v>0</v>
      </c>
      <c r="BQ16" s="3070">
        <f>IF($D16="是",AL16-AM16,0)</f>
        <v>0</v>
      </c>
      <c r="BR16" s="3070">
        <f>IF($D16="是",AN16-AO16,0)</f>
        <v>0</v>
      </c>
      <c r="BS16" s="3070">
        <f>IF($D16="是",AP16-AQ16,0)</f>
        <v>0</v>
      </c>
      <c r="BT16" s="3140">
        <f>IF($D16="是",AR16-AS16,0)</f>
        <v>0</v>
      </c>
    </row>
    <row r="17" spans="1:72" s="3055" customFormat="1" ht="12.75">
      <c r="A17" s="3084"/>
      <c r="B17" s="3084"/>
      <c r="C17" s="3088"/>
      <c r="D17" s="3085"/>
      <c r="E17" s="3070">
        <f>IF($C$3="是",ROUND($A$3*G17/$B$3,2),ROUND($A$3*(G17-AT17)/$B$3,2))</f>
        <v>0</v>
      </c>
      <c r="F17" s="3086"/>
      <c r="G17" s="3087">
        <f>H17+AC17+AT17</f>
        <v>0</v>
      </c>
      <c r="H17" s="3073">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70">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624">
        <f t="shared" si="6"/>
        <v>0</v>
      </c>
      <c r="AW17" s="624">
        <f t="shared" si="6"/>
        <v>0</v>
      </c>
      <c r="AX17" s="624">
        <f t="shared" si="6"/>
        <v>0</v>
      </c>
      <c r="AY17" s="2522">
        <f>ROUND($AY$6*AZ17/$AZ$5,2)</f>
        <v>0</v>
      </c>
      <c r="AZ17" s="3070">
        <f>BA17+BL17</f>
        <v>0</v>
      </c>
      <c r="BA17" s="3070">
        <f>SUM(BB17:BK17)</f>
        <v>0</v>
      </c>
      <c r="BB17" s="3070">
        <f>IF($D17="是",I17-J17,0)</f>
        <v>0</v>
      </c>
      <c r="BC17" s="3070">
        <f>IF($D17="是",K17-L17,0)</f>
        <v>0</v>
      </c>
      <c r="BD17" s="3070">
        <f>IF($D17="是",M17-N17,0)</f>
        <v>0</v>
      </c>
      <c r="BE17" s="3070">
        <f>IF($D17="是",O17-P17,0)</f>
        <v>0</v>
      </c>
      <c r="BF17" s="3070">
        <f>IF($D17="是",Q17-R17,0)</f>
        <v>0</v>
      </c>
      <c r="BG17" s="3070">
        <f>IF($D17="是",S17-T17,0)</f>
        <v>0</v>
      </c>
      <c r="BH17" s="3070">
        <f>IF($D17="是",U17-V17,0)</f>
        <v>0</v>
      </c>
      <c r="BI17" s="3070">
        <f>IF($D17="是",W17-X17,0)</f>
        <v>0</v>
      </c>
      <c r="BJ17" s="3070">
        <f>IF($D17="是",Y17-Z17,0)</f>
        <v>0</v>
      </c>
      <c r="BK17" s="3070">
        <f>IF($D17="是",AA17-AB17,0)</f>
        <v>0</v>
      </c>
      <c r="BL17" s="3070">
        <f>SUM(BM17:BT17)</f>
        <v>0</v>
      </c>
      <c r="BM17" s="3070">
        <f>IF($D17="是",AD17-AE17,0)</f>
        <v>0</v>
      </c>
      <c r="BN17" s="3070">
        <f>IF($D17="是",AF17-AG17,0)</f>
        <v>0</v>
      </c>
      <c r="BO17" s="3070">
        <f>IF($D17="是",AH17-AI17,0)</f>
        <v>0</v>
      </c>
      <c r="BP17" s="3070">
        <f>IF($D17="是",AJ17-AK17,0)</f>
        <v>0</v>
      </c>
      <c r="BQ17" s="3070">
        <f>IF($D17="是",AL17-AM17,0)</f>
        <v>0</v>
      </c>
      <c r="BR17" s="3070">
        <f>IF($D17="是",AN17-AO17,0)</f>
        <v>0</v>
      </c>
      <c r="BS17" s="3070">
        <f>IF($D17="是",AP17-AQ17,0)</f>
        <v>0</v>
      </c>
      <c r="BT17" s="3140">
        <f>IF($D17="是",AR17-AS17,0)</f>
        <v>0</v>
      </c>
    </row>
    <row r="18" spans="1:72">
      <c r="A18" s="3089"/>
      <c r="B18" s="3090"/>
      <c r="C18" s="3090"/>
      <c r="D18" s="3091"/>
      <c r="E18" s="3092">
        <f t="shared" ref="E18:E112" si="7">IF($C$3="是",ROUND($A$3*G18/$B$3,2),ROUND($A$3*(G18-AT18)/$B$3,2))</f>
        <v>0</v>
      </c>
      <c r="F18" s="3093"/>
      <c r="G18" s="3094">
        <f t="shared" ref="G18:G109" si="8">H18+AC18+AT18</f>
        <v>0</v>
      </c>
      <c r="H18" s="3095">
        <f t="shared" ref="H18:H109" si="9">SUMIF(I$12:AB$12,"总值",I18:AB18)</f>
        <v>0</v>
      </c>
      <c r="I18" s="3102"/>
      <c r="J18" s="3102"/>
      <c r="K18" s="3102"/>
      <c r="L18" s="3102"/>
      <c r="M18" s="3102"/>
      <c r="N18" s="3102"/>
      <c r="O18" s="3102"/>
      <c r="P18" s="3102"/>
      <c r="Q18" s="3102"/>
      <c r="R18" s="3102"/>
      <c r="S18" s="3102"/>
      <c r="T18" s="3102"/>
      <c r="U18" s="3102"/>
      <c r="V18" s="3102"/>
      <c r="W18" s="3102"/>
      <c r="X18" s="3102"/>
      <c r="Y18" s="3102"/>
      <c r="Z18" s="3102"/>
      <c r="AA18" s="3102"/>
      <c r="AB18" s="3102"/>
      <c r="AC18" s="3092">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308">
        <f t="shared" ref="AV18:AV112" si="11">A18</f>
        <v>0</v>
      </c>
      <c r="AW18" s="1308">
        <f t="shared" ref="AW18:AW112" si="12">B18</f>
        <v>0</v>
      </c>
      <c r="AX18" s="1308">
        <f t="shared" ref="AX18:AX112" si="13">C18</f>
        <v>0</v>
      </c>
      <c r="AY18" s="3137">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4">
        <f t="shared" ref="BT18:BT109" si="35">IF($D18="是",AR18-AS18,0)</f>
        <v>0</v>
      </c>
    </row>
    <row r="19" spans="1:72">
      <c r="A19" s="3089"/>
      <c r="B19" s="3090"/>
      <c r="C19" s="3090"/>
      <c r="D19" s="3091"/>
      <c r="E19" s="3092">
        <f t="shared" si="7"/>
        <v>0</v>
      </c>
      <c r="F19" s="3093"/>
      <c r="G19" s="3094">
        <f t="shared" si="8"/>
        <v>0</v>
      </c>
      <c r="H19" s="3095">
        <f t="shared" si="9"/>
        <v>0</v>
      </c>
      <c r="I19" s="3102"/>
      <c r="J19" s="3102"/>
      <c r="K19" s="3102"/>
      <c r="L19" s="3102"/>
      <c r="M19" s="3102"/>
      <c r="N19" s="3102"/>
      <c r="O19" s="3102"/>
      <c r="P19" s="3102"/>
      <c r="Q19" s="3102"/>
      <c r="R19" s="3102"/>
      <c r="S19" s="3102"/>
      <c r="T19" s="3102"/>
      <c r="U19" s="3102"/>
      <c r="V19" s="3102"/>
      <c r="W19" s="3102"/>
      <c r="X19" s="3102"/>
      <c r="Y19" s="3102"/>
      <c r="Z19" s="3102"/>
      <c r="AA19" s="3102"/>
      <c r="AB19" s="3102"/>
      <c r="AC19" s="3092">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308">
        <f t="shared" si="11"/>
        <v>0</v>
      </c>
      <c r="AW19" s="1308">
        <f t="shared" si="12"/>
        <v>0</v>
      </c>
      <c r="AX19" s="1308">
        <f t="shared" si="13"/>
        <v>0</v>
      </c>
      <c r="AY19" s="3137">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4">
        <f t="shared" si="35"/>
        <v>0</v>
      </c>
    </row>
    <row r="20" spans="1:72">
      <c r="A20" s="3089"/>
      <c r="B20" s="3090"/>
      <c r="C20" s="3090"/>
      <c r="D20" s="3091"/>
      <c r="E20" s="3092">
        <f t="shared" si="7"/>
        <v>0</v>
      </c>
      <c r="F20" s="3093"/>
      <c r="G20" s="3094">
        <f t="shared" si="8"/>
        <v>0</v>
      </c>
      <c r="H20" s="3095">
        <f t="shared" si="9"/>
        <v>0</v>
      </c>
      <c r="I20" s="3102"/>
      <c r="J20" s="3102"/>
      <c r="K20" s="3102"/>
      <c r="L20" s="3102"/>
      <c r="M20" s="3102"/>
      <c r="N20" s="3102"/>
      <c r="O20" s="3102"/>
      <c r="P20" s="3102"/>
      <c r="Q20" s="3102"/>
      <c r="R20" s="3102"/>
      <c r="S20" s="3102"/>
      <c r="T20" s="3102"/>
      <c r="U20" s="3102"/>
      <c r="V20" s="3102"/>
      <c r="W20" s="3102"/>
      <c r="X20" s="3102"/>
      <c r="Y20" s="3102"/>
      <c r="Z20" s="3102"/>
      <c r="AA20" s="3102"/>
      <c r="AB20" s="3102"/>
      <c r="AC20" s="3092">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308">
        <f t="shared" si="11"/>
        <v>0</v>
      </c>
      <c r="AW20" s="1308">
        <f t="shared" si="12"/>
        <v>0</v>
      </c>
      <c r="AX20" s="1308">
        <f t="shared" si="13"/>
        <v>0</v>
      </c>
      <c r="AY20" s="3137">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4">
        <f t="shared" si="35"/>
        <v>0</v>
      </c>
    </row>
    <row r="21" spans="1:72">
      <c r="A21" s="3089"/>
      <c r="B21" s="3090"/>
      <c r="C21" s="3090"/>
      <c r="D21" s="3091"/>
      <c r="E21" s="3092">
        <f t="shared" si="7"/>
        <v>0</v>
      </c>
      <c r="F21" s="3093"/>
      <c r="G21" s="3094">
        <f t="shared" si="8"/>
        <v>0</v>
      </c>
      <c r="H21" s="3095">
        <f t="shared" si="9"/>
        <v>0</v>
      </c>
      <c r="I21" s="3102"/>
      <c r="J21" s="3102"/>
      <c r="K21" s="3102"/>
      <c r="L21" s="3102"/>
      <c r="M21" s="3102"/>
      <c r="N21" s="3102"/>
      <c r="O21" s="3102"/>
      <c r="P21" s="3102"/>
      <c r="Q21" s="3102"/>
      <c r="R21" s="3102"/>
      <c r="S21" s="3102"/>
      <c r="T21" s="3102"/>
      <c r="U21" s="3102"/>
      <c r="V21" s="3102"/>
      <c r="W21" s="3102"/>
      <c r="X21" s="3102"/>
      <c r="Y21" s="3102"/>
      <c r="Z21" s="3102"/>
      <c r="AA21" s="3102"/>
      <c r="AB21" s="3102"/>
      <c r="AC21" s="3092">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308">
        <f t="shared" si="11"/>
        <v>0</v>
      </c>
      <c r="AW21" s="1308">
        <f t="shared" si="12"/>
        <v>0</v>
      </c>
      <c r="AX21" s="1308">
        <f t="shared" si="13"/>
        <v>0</v>
      </c>
      <c r="AY21" s="3137">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4">
        <f t="shared" si="35"/>
        <v>0</v>
      </c>
    </row>
    <row r="22" spans="1:72">
      <c r="A22" s="3089"/>
      <c r="B22" s="3090"/>
      <c r="C22" s="3090"/>
      <c r="D22" s="3091"/>
      <c r="E22" s="3092">
        <f t="shared" si="7"/>
        <v>0</v>
      </c>
      <c r="F22" s="3093"/>
      <c r="G22" s="3094">
        <f t="shared" si="8"/>
        <v>0</v>
      </c>
      <c r="H22" s="3095">
        <f t="shared" si="9"/>
        <v>0</v>
      </c>
      <c r="I22" s="3102"/>
      <c r="J22" s="3102"/>
      <c r="K22" s="3102"/>
      <c r="L22" s="3102"/>
      <c r="M22" s="3102"/>
      <c r="N22" s="3102"/>
      <c r="O22" s="3102"/>
      <c r="P22" s="3102"/>
      <c r="Q22" s="3102"/>
      <c r="R22" s="3102"/>
      <c r="S22" s="3102"/>
      <c r="T22" s="3102"/>
      <c r="U22" s="3102"/>
      <c r="V22" s="3102"/>
      <c r="W22" s="3102"/>
      <c r="X22" s="3102"/>
      <c r="Y22" s="3102"/>
      <c r="Z22" s="3102"/>
      <c r="AA22" s="3102"/>
      <c r="AB22" s="3102"/>
      <c r="AC22" s="3092">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308">
        <f t="shared" si="11"/>
        <v>0</v>
      </c>
      <c r="AW22" s="1308">
        <f t="shared" si="12"/>
        <v>0</v>
      </c>
      <c r="AX22" s="1308">
        <f t="shared" si="13"/>
        <v>0</v>
      </c>
      <c r="AY22" s="3137">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4">
        <f t="shared" si="35"/>
        <v>0</v>
      </c>
    </row>
    <row r="23" spans="1:72">
      <c r="A23" s="3089"/>
      <c r="B23" s="3090"/>
      <c r="C23" s="3090"/>
      <c r="D23" s="3091"/>
      <c r="E23" s="3092">
        <f t="shared" si="7"/>
        <v>0</v>
      </c>
      <c r="F23" s="3093"/>
      <c r="G23" s="3094">
        <f t="shared" si="8"/>
        <v>0</v>
      </c>
      <c r="H23" s="3095">
        <f t="shared" si="9"/>
        <v>0</v>
      </c>
      <c r="I23" s="3102"/>
      <c r="J23" s="3102"/>
      <c r="K23" s="3102"/>
      <c r="L23" s="3102"/>
      <c r="M23" s="3102"/>
      <c r="N23" s="3102"/>
      <c r="O23" s="3102"/>
      <c r="P23" s="3102"/>
      <c r="Q23" s="3102"/>
      <c r="R23" s="3102"/>
      <c r="S23" s="3102"/>
      <c r="T23" s="3102"/>
      <c r="U23" s="3102"/>
      <c r="V23" s="3102"/>
      <c r="W23" s="3102"/>
      <c r="X23" s="3102"/>
      <c r="Y23" s="3102"/>
      <c r="Z23" s="3102"/>
      <c r="AA23" s="3102"/>
      <c r="AB23" s="3102"/>
      <c r="AC23" s="3092">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308">
        <f t="shared" si="11"/>
        <v>0</v>
      </c>
      <c r="AW23" s="1308">
        <f t="shared" si="12"/>
        <v>0</v>
      </c>
      <c r="AX23" s="1308">
        <f t="shared" si="13"/>
        <v>0</v>
      </c>
      <c r="AY23" s="3137">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4">
        <f t="shared" si="35"/>
        <v>0</v>
      </c>
    </row>
    <row r="24" spans="1:72">
      <c r="A24" s="3089"/>
      <c r="B24" s="3090"/>
      <c r="C24" s="3090"/>
      <c r="D24" s="3091"/>
      <c r="E24" s="3092">
        <f t="shared" si="7"/>
        <v>0</v>
      </c>
      <c r="F24" s="3093"/>
      <c r="G24" s="3094">
        <f t="shared" si="8"/>
        <v>0</v>
      </c>
      <c r="H24" s="3095">
        <f t="shared" si="9"/>
        <v>0</v>
      </c>
      <c r="I24" s="3102"/>
      <c r="J24" s="3102"/>
      <c r="K24" s="3102"/>
      <c r="L24" s="3102"/>
      <c r="M24" s="3102"/>
      <c r="N24" s="3102"/>
      <c r="O24" s="3102"/>
      <c r="P24" s="3102"/>
      <c r="Q24" s="3102"/>
      <c r="R24" s="3102"/>
      <c r="S24" s="3102"/>
      <c r="T24" s="3102"/>
      <c r="U24" s="3102"/>
      <c r="V24" s="3102"/>
      <c r="W24" s="3102"/>
      <c r="X24" s="3102"/>
      <c r="Y24" s="3102"/>
      <c r="Z24" s="3102"/>
      <c r="AA24" s="3102"/>
      <c r="AB24" s="3102"/>
      <c r="AC24" s="3092">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308">
        <f t="shared" si="11"/>
        <v>0</v>
      </c>
      <c r="AW24" s="1308">
        <f t="shared" si="12"/>
        <v>0</v>
      </c>
      <c r="AX24" s="1308">
        <f t="shared" si="13"/>
        <v>0</v>
      </c>
      <c r="AY24" s="3137">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4">
        <f t="shared" si="35"/>
        <v>0</v>
      </c>
    </row>
    <row r="25" spans="1:72">
      <c r="A25" s="3089"/>
      <c r="B25" s="3090"/>
      <c r="C25" s="3090"/>
      <c r="D25" s="3091"/>
      <c r="E25" s="3092">
        <f t="shared" si="7"/>
        <v>0</v>
      </c>
      <c r="F25" s="3093"/>
      <c r="G25" s="3094">
        <f t="shared" si="8"/>
        <v>0</v>
      </c>
      <c r="H25" s="3095">
        <f t="shared" si="9"/>
        <v>0</v>
      </c>
      <c r="I25" s="3102"/>
      <c r="J25" s="3102"/>
      <c r="K25" s="3102"/>
      <c r="L25" s="3102"/>
      <c r="M25" s="3102"/>
      <c r="N25" s="3102"/>
      <c r="O25" s="3102"/>
      <c r="P25" s="3102"/>
      <c r="Q25" s="3102"/>
      <c r="R25" s="3102"/>
      <c r="S25" s="3102"/>
      <c r="T25" s="3102"/>
      <c r="U25" s="3102"/>
      <c r="V25" s="3102"/>
      <c r="W25" s="3102"/>
      <c r="X25" s="3102"/>
      <c r="Y25" s="3102"/>
      <c r="Z25" s="3102"/>
      <c r="AA25" s="3102"/>
      <c r="AB25" s="3102"/>
      <c r="AC25" s="3092">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308">
        <f t="shared" si="11"/>
        <v>0</v>
      </c>
      <c r="AW25" s="1308">
        <f t="shared" si="12"/>
        <v>0</v>
      </c>
      <c r="AX25" s="1308">
        <f t="shared" si="13"/>
        <v>0</v>
      </c>
      <c r="AY25" s="3137">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4">
        <f t="shared" si="35"/>
        <v>0</v>
      </c>
    </row>
    <row r="26" spans="1:72">
      <c r="A26" s="3089"/>
      <c r="B26" s="3090"/>
      <c r="C26" s="3090"/>
      <c r="D26" s="3091"/>
      <c r="E26" s="3092">
        <f t="shared" si="7"/>
        <v>0</v>
      </c>
      <c r="F26" s="3093"/>
      <c r="G26" s="3094">
        <f t="shared" si="8"/>
        <v>0</v>
      </c>
      <c r="H26" s="3095">
        <f t="shared" si="9"/>
        <v>0</v>
      </c>
      <c r="I26" s="3102"/>
      <c r="J26" s="3102"/>
      <c r="K26" s="3102"/>
      <c r="L26" s="3102"/>
      <c r="M26" s="3102"/>
      <c r="N26" s="3102"/>
      <c r="O26" s="3102"/>
      <c r="P26" s="3102"/>
      <c r="Q26" s="3102"/>
      <c r="R26" s="3102"/>
      <c r="S26" s="3102"/>
      <c r="T26" s="3102"/>
      <c r="U26" s="3102"/>
      <c r="V26" s="3102"/>
      <c r="W26" s="3102"/>
      <c r="X26" s="3102"/>
      <c r="Y26" s="3102"/>
      <c r="Z26" s="3102"/>
      <c r="AA26" s="3102"/>
      <c r="AB26" s="3102"/>
      <c r="AC26" s="3092">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308">
        <f t="shared" si="11"/>
        <v>0</v>
      </c>
      <c r="AW26" s="1308">
        <f t="shared" si="12"/>
        <v>0</v>
      </c>
      <c r="AX26" s="1308">
        <f t="shared" si="13"/>
        <v>0</v>
      </c>
      <c r="AY26" s="3137">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4">
        <f t="shared" si="35"/>
        <v>0</v>
      </c>
    </row>
    <row r="27" spans="1:72">
      <c r="A27" s="3089"/>
      <c r="B27" s="3090"/>
      <c r="C27" s="3090"/>
      <c r="D27" s="3091"/>
      <c r="E27" s="3092">
        <f t="shared" si="7"/>
        <v>0</v>
      </c>
      <c r="F27" s="3093"/>
      <c r="G27" s="3094">
        <f t="shared" si="8"/>
        <v>0</v>
      </c>
      <c r="H27" s="3095">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2">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308">
        <f t="shared" si="11"/>
        <v>0</v>
      </c>
      <c r="AW27" s="1308">
        <f t="shared" si="12"/>
        <v>0</v>
      </c>
      <c r="AX27" s="1308">
        <f t="shared" si="13"/>
        <v>0</v>
      </c>
      <c r="AY27" s="3137">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4">
        <f t="shared" si="35"/>
        <v>0</v>
      </c>
    </row>
    <row r="28" spans="1:72">
      <c r="A28" s="3089"/>
      <c r="B28" s="3090"/>
      <c r="C28" s="3090"/>
      <c r="D28" s="3091"/>
      <c r="E28" s="3092">
        <f t="shared" si="7"/>
        <v>0</v>
      </c>
      <c r="F28" s="3093"/>
      <c r="G28" s="3094">
        <f t="shared" si="8"/>
        <v>0</v>
      </c>
      <c r="H28" s="3095">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2">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308">
        <f t="shared" si="11"/>
        <v>0</v>
      </c>
      <c r="AW28" s="1308">
        <f t="shared" si="12"/>
        <v>0</v>
      </c>
      <c r="AX28" s="1308">
        <f t="shared" si="13"/>
        <v>0</v>
      </c>
      <c r="AY28" s="3137">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4">
        <f t="shared" si="35"/>
        <v>0</v>
      </c>
    </row>
    <row r="29" spans="1:72">
      <c r="A29" s="3089"/>
      <c r="B29" s="3090"/>
      <c r="C29" s="3090"/>
      <c r="D29" s="3091"/>
      <c r="E29" s="3092">
        <f t="shared" si="7"/>
        <v>0</v>
      </c>
      <c r="F29" s="3093"/>
      <c r="G29" s="3094">
        <f t="shared" si="8"/>
        <v>0</v>
      </c>
      <c r="H29" s="3095">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2">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308">
        <f t="shared" si="11"/>
        <v>0</v>
      </c>
      <c r="AW29" s="1308">
        <f t="shared" si="12"/>
        <v>0</v>
      </c>
      <c r="AX29" s="1308">
        <f t="shared" si="13"/>
        <v>0</v>
      </c>
      <c r="AY29" s="3137">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4">
        <f t="shared" si="35"/>
        <v>0</v>
      </c>
    </row>
    <row r="30" spans="1:72">
      <c r="A30" s="3089"/>
      <c r="B30" s="3090"/>
      <c r="C30" s="3090"/>
      <c r="D30" s="3091"/>
      <c r="E30" s="3092">
        <f t="shared" si="7"/>
        <v>0</v>
      </c>
      <c r="F30" s="3093"/>
      <c r="G30" s="3094">
        <f t="shared" si="8"/>
        <v>0</v>
      </c>
      <c r="H30" s="3095">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2">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308">
        <f t="shared" si="11"/>
        <v>0</v>
      </c>
      <c r="AW30" s="1308">
        <f t="shared" si="12"/>
        <v>0</v>
      </c>
      <c r="AX30" s="1308">
        <f t="shared" si="13"/>
        <v>0</v>
      </c>
      <c r="AY30" s="3137">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4">
        <f t="shared" si="35"/>
        <v>0</v>
      </c>
    </row>
    <row r="31" spans="1:72">
      <c r="A31" s="3089"/>
      <c r="B31" s="3090"/>
      <c r="C31" s="3090"/>
      <c r="D31" s="3091"/>
      <c r="E31" s="3092">
        <f t="shared" si="7"/>
        <v>0</v>
      </c>
      <c r="F31" s="3093"/>
      <c r="G31" s="3094">
        <f t="shared" si="8"/>
        <v>0</v>
      </c>
      <c r="H31" s="3095">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2">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308">
        <f t="shared" si="11"/>
        <v>0</v>
      </c>
      <c r="AW31" s="1308">
        <f t="shared" si="12"/>
        <v>0</v>
      </c>
      <c r="AX31" s="1308">
        <f t="shared" si="13"/>
        <v>0</v>
      </c>
      <c r="AY31" s="3137">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4">
        <f t="shared" si="35"/>
        <v>0</v>
      </c>
    </row>
    <row r="32" spans="1:72">
      <c r="A32" s="3089"/>
      <c r="B32" s="3090"/>
      <c r="C32" s="3090"/>
      <c r="D32" s="3091"/>
      <c r="E32" s="3092">
        <f t="shared" si="7"/>
        <v>0</v>
      </c>
      <c r="F32" s="3093"/>
      <c r="G32" s="3094">
        <f t="shared" si="8"/>
        <v>0</v>
      </c>
      <c r="H32" s="3095">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2">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308">
        <f t="shared" si="11"/>
        <v>0</v>
      </c>
      <c r="AW32" s="1308">
        <f t="shared" si="12"/>
        <v>0</v>
      </c>
      <c r="AX32" s="1308">
        <f t="shared" si="13"/>
        <v>0</v>
      </c>
      <c r="AY32" s="3137">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4">
        <f t="shared" si="35"/>
        <v>0</v>
      </c>
    </row>
    <row r="33" spans="1:72">
      <c r="A33" s="3089"/>
      <c r="B33" s="3090"/>
      <c r="C33" s="3090"/>
      <c r="D33" s="3091"/>
      <c r="E33" s="3092">
        <f t="shared" si="7"/>
        <v>0</v>
      </c>
      <c r="F33" s="3093"/>
      <c r="G33" s="3094">
        <f t="shared" si="8"/>
        <v>0</v>
      </c>
      <c r="H33" s="3095">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2">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308">
        <f t="shared" si="11"/>
        <v>0</v>
      </c>
      <c r="AW33" s="1308">
        <f t="shared" si="12"/>
        <v>0</v>
      </c>
      <c r="AX33" s="1308">
        <f t="shared" si="13"/>
        <v>0</v>
      </c>
      <c r="AY33" s="3137">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4">
        <f t="shared" si="35"/>
        <v>0</v>
      </c>
    </row>
    <row r="34" spans="1:72">
      <c r="A34" s="3089"/>
      <c r="B34" s="3090"/>
      <c r="C34" s="3090"/>
      <c r="D34" s="3091"/>
      <c r="E34" s="3092">
        <f t="shared" si="7"/>
        <v>0</v>
      </c>
      <c r="F34" s="3093"/>
      <c r="G34" s="3094">
        <f t="shared" si="8"/>
        <v>0</v>
      </c>
      <c r="H34" s="3095">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2">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308">
        <f t="shared" si="11"/>
        <v>0</v>
      </c>
      <c r="AW34" s="1308">
        <f t="shared" si="12"/>
        <v>0</v>
      </c>
      <c r="AX34" s="1308">
        <f t="shared" si="13"/>
        <v>0</v>
      </c>
      <c r="AY34" s="3137">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4">
        <f t="shared" si="35"/>
        <v>0</v>
      </c>
    </row>
    <row r="35" spans="1:72">
      <c r="A35" s="3089"/>
      <c r="B35" s="3090"/>
      <c r="C35" s="3090"/>
      <c r="D35" s="3091"/>
      <c r="E35" s="3092">
        <f t="shared" si="7"/>
        <v>0</v>
      </c>
      <c r="F35" s="3093"/>
      <c r="G35" s="3094">
        <f t="shared" si="8"/>
        <v>0</v>
      </c>
      <c r="H35" s="3095">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2">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308">
        <f t="shared" si="11"/>
        <v>0</v>
      </c>
      <c r="AW35" s="1308">
        <f t="shared" si="12"/>
        <v>0</v>
      </c>
      <c r="AX35" s="1308">
        <f t="shared" si="13"/>
        <v>0</v>
      </c>
      <c r="AY35" s="3137">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4">
        <f t="shared" si="35"/>
        <v>0</v>
      </c>
    </row>
    <row r="36" spans="1:72">
      <c r="A36" s="3089"/>
      <c r="B36" s="3090"/>
      <c r="C36" s="3090"/>
      <c r="D36" s="3091"/>
      <c r="E36" s="3092">
        <f t="shared" si="7"/>
        <v>0</v>
      </c>
      <c r="F36" s="3093"/>
      <c r="G36" s="3094">
        <f t="shared" si="8"/>
        <v>0</v>
      </c>
      <c r="H36" s="3095">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2">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308">
        <f t="shared" si="11"/>
        <v>0</v>
      </c>
      <c r="AW36" s="1308">
        <f t="shared" si="12"/>
        <v>0</v>
      </c>
      <c r="AX36" s="1308">
        <f t="shared" si="13"/>
        <v>0</v>
      </c>
      <c r="AY36" s="3137">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4">
        <f t="shared" si="35"/>
        <v>0</v>
      </c>
    </row>
    <row r="37" spans="1:72">
      <c r="A37" s="3089"/>
      <c r="B37" s="3090"/>
      <c r="C37" s="3090"/>
      <c r="D37" s="3091"/>
      <c r="E37" s="3092">
        <f t="shared" si="7"/>
        <v>0</v>
      </c>
      <c r="F37" s="3093"/>
      <c r="G37" s="3094">
        <f t="shared" si="8"/>
        <v>0</v>
      </c>
      <c r="H37" s="3095">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2">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308">
        <f t="shared" si="11"/>
        <v>0</v>
      </c>
      <c r="AW37" s="1308">
        <f t="shared" si="12"/>
        <v>0</v>
      </c>
      <c r="AX37" s="1308">
        <f t="shared" si="13"/>
        <v>0</v>
      </c>
      <c r="AY37" s="3137">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4">
        <f t="shared" si="35"/>
        <v>0</v>
      </c>
    </row>
    <row r="38" spans="1:72">
      <c r="A38" s="3089"/>
      <c r="B38" s="3090"/>
      <c r="C38" s="3090"/>
      <c r="D38" s="3091"/>
      <c r="E38" s="3092">
        <f t="shared" si="7"/>
        <v>0</v>
      </c>
      <c r="F38" s="3093"/>
      <c r="G38" s="3094">
        <f t="shared" si="8"/>
        <v>0</v>
      </c>
      <c r="H38" s="3095">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2">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308">
        <f t="shared" si="11"/>
        <v>0</v>
      </c>
      <c r="AW38" s="1308">
        <f t="shared" si="12"/>
        <v>0</v>
      </c>
      <c r="AX38" s="1308">
        <f t="shared" si="13"/>
        <v>0</v>
      </c>
      <c r="AY38" s="3137">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4">
        <f t="shared" si="35"/>
        <v>0</v>
      </c>
    </row>
    <row r="39" spans="1:72">
      <c r="A39" s="3089"/>
      <c r="B39" s="3090"/>
      <c r="C39" s="3090"/>
      <c r="D39" s="3091"/>
      <c r="E39" s="3092">
        <f t="shared" si="7"/>
        <v>0</v>
      </c>
      <c r="F39" s="3093"/>
      <c r="G39" s="3094">
        <f t="shared" si="8"/>
        <v>0</v>
      </c>
      <c r="H39" s="3095">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2">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308">
        <f t="shared" si="11"/>
        <v>0</v>
      </c>
      <c r="AW39" s="1308">
        <f t="shared" si="12"/>
        <v>0</v>
      </c>
      <c r="AX39" s="1308">
        <f t="shared" si="13"/>
        <v>0</v>
      </c>
      <c r="AY39" s="3137">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4">
        <f t="shared" si="35"/>
        <v>0</v>
      </c>
    </row>
    <row r="40" spans="1:72">
      <c r="A40" s="3089"/>
      <c r="B40" s="3090"/>
      <c r="C40" s="3090"/>
      <c r="D40" s="3091"/>
      <c r="E40" s="3092">
        <f t="shared" si="7"/>
        <v>0</v>
      </c>
      <c r="F40" s="3093"/>
      <c r="G40" s="3094">
        <f t="shared" si="8"/>
        <v>0</v>
      </c>
      <c r="H40" s="3095">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2">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308">
        <f t="shared" si="11"/>
        <v>0</v>
      </c>
      <c r="AW40" s="1308">
        <f t="shared" si="12"/>
        <v>0</v>
      </c>
      <c r="AX40" s="1308">
        <f t="shared" si="13"/>
        <v>0</v>
      </c>
      <c r="AY40" s="3137">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4">
        <f t="shared" si="35"/>
        <v>0</v>
      </c>
    </row>
    <row r="41" spans="1:72">
      <c r="A41" s="3089"/>
      <c r="B41" s="3090"/>
      <c r="C41" s="3090"/>
      <c r="D41" s="3091"/>
      <c r="E41" s="3092">
        <f t="shared" si="7"/>
        <v>0</v>
      </c>
      <c r="F41" s="3093"/>
      <c r="G41" s="3094">
        <f t="shared" si="8"/>
        <v>0</v>
      </c>
      <c r="H41" s="3095">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2">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308">
        <f t="shared" si="11"/>
        <v>0</v>
      </c>
      <c r="AW41" s="1308">
        <f t="shared" si="12"/>
        <v>0</v>
      </c>
      <c r="AX41" s="1308">
        <f t="shared" si="13"/>
        <v>0</v>
      </c>
      <c r="AY41" s="3137">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4">
        <f t="shared" si="35"/>
        <v>0</v>
      </c>
    </row>
    <row r="42" spans="1:72">
      <c r="A42" s="3089"/>
      <c r="B42" s="3090"/>
      <c r="C42" s="3090"/>
      <c r="D42" s="3091"/>
      <c r="E42" s="3092">
        <f t="shared" si="7"/>
        <v>0</v>
      </c>
      <c r="F42" s="3093"/>
      <c r="G42" s="3094">
        <f t="shared" si="8"/>
        <v>0</v>
      </c>
      <c r="H42" s="3095">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2">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308">
        <f t="shared" si="11"/>
        <v>0</v>
      </c>
      <c r="AW42" s="1308">
        <f t="shared" si="12"/>
        <v>0</v>
      </c>
      <c r="AX42" s="1308">
        <f t="shared" si="13"/>
        <v>0</v>
      </c>
      <c r="AY42" s="3137">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4">
        <f t="shared" si="35"/>
        <v>0</v>
      </c>
    </row>
    <row r="43" spans="1:72">
      <c r="A43" s="3089"/>
      <c r="B43" s="3090"/>
      <c r="C43" s="3090"/>
      <c r="D43" s="3091"/>
      <c r="E43" s="3092">
        <f t="shared" si="7"/>
        <v>0</v>
      </c>
      <c r="F43" s="3093"/>
      <c r="G43" s="3094">
        <f t="shared" si="8"/>
        <v>0</v>
      </c>
      <c r="H43" s="3095">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2">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308">
        <f t="shared" si="11"/>
        <v>0</v>
      </c>
      <c r="AW43" s="1308">
        <f t="shared" si="12"/>
        <v>0</v>
      </c>
      <c r="AX43" s="1308">
        <f t="shared" si="13"/>
        <v>0</v>
      </c>
      <c r="AY43" s="3137">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4">
        <f t="shared" si="35"/>
        <v>0</v>
      </c>
    </row>
    <row r="44" spans="1:72">
      <c r="A44" s="3089"/>
      <c r="B44" s="3090"/>
      <c r="C44" s="3090"/>
      <c r="D44" s="3091"/>
      <c r="E44" s="3092">
        <f t="shared" si="7"/>
        <v>0</v>
      </c>
      <c r="F44" s="3093"/>
      <c r="G44" s="3094">
        <f t="shared" si="8"/>
        <v>0</v>
      </c>
      <c r="H44" s="3095">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2">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308">
        <f t="shared" si="11"/>
        <v>0</v>
      </c>
      <c r="AW44" s="1308">
        <f t="shared" si="12"/>
        <v>0</v>
      </c>
      <c r="AX44" s="1308">
        <f t="shared" si="13"/>
        <v>0</v>
      </c>
      <c r="AY44" s="3137">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4">
        <f t="shared" si="35"/>
        <v>0</v>
      </c>
    </row>
    <row r="45" spans="1:72">
      <c r="A45" s="3089"/>
      <c r="B45" s="3090"/>
      <c r="C45" s="3090"/>
      <c r="D45" s="3091"/>
      <c r="E45" s="3092">
        <f t="shared" si="7"/>
        <v>0</v>
      </c>
      <c r="F45" s="3093"/>
      <c r="G45" s="3094">
        <f t="shared" si="8"/>
        <v>0</v>
      </c>
      <c r="H45" s="3095">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2">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308">
        <f t="shared" si="11"/>
        <v>0</v>
      </c>
      <c r="AW45" s="1308">
        <f t="shared" si="12"/>
        <v>0</v>
      </c>
      <c r="AX45" s="1308">
        <f t="shared" si="13"/>
        <v>0</v>
      </c>
      <c r="AY45" s="3137">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4">
        <f t="shared" si="35"/>
        <v>0</v>
      </c>
    </row>
    <row r="46" spans="1:72">
      <c r="A46" s="3089"/>
      <c r="B46" s="3090"/>
      <c r="C46" s="3090"/>
      <c r="D46" s="3091"/>
      <c r="E46" s="3092">
        <f t="shared" si="7"/>
        <v>0</v>
      </c>
      <c r="F46" s="3093"/>
      <c r="G46" s="3094">
        <f t="shared" si="8"/>
        <v>0</v>
      </c>
      <c r="H46" s="3095">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2">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308">
        <f t="shared" si="11"/>
        <v>0</v>
      </c>
      <c r="AW46" s="1308">
        <f t="shared" si="12"/>
        <v>0</v>
      </c>
      <c r="AX46" s="1308">
        <f t="shared" si="13"/>
        <v>0</v>
      </c>
      <c r="AY46" s="3137">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4">
        <f t="shared" si="35"/>
        <v>0</v>
      </c>
    </row>
    <row r="47" spans="1:72">
      <c r="A47" s="3089"/>
      <c r="B47" s="3090"/>
      <c r="C47" s="3090"/>
      <c r="D47" s="3091"/>
      <c r="E47" s="3092">
        <f t="shared" si="7"/>
        <v>0</v>
      </c>
      <c r="F47" s="3093"/>
      <c r="G47" s="3094">
        <f t="shared" si="8"/>
        <v>0</v>
      </c>
      <c r="H47" s="3095">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2">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308">
        <f t="shared" si="11"/>
        <v>0</v>
      </c>
      <c r="AW47" s="1308">
        <f t="shared" si="12"/>
        <v>0</v>
      </c>
      <c r="AX47" s="1308">
        <f t="shared" si="13"/>
        <v>0</v>
      </c>
      <c r="AY47" s="3137">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4">
        <f t="shared" si="35"/>
        <v>0</v>
      </c>
    </row>
    <row r="48" spans="1:72">
      <c r="A48" s="3089"/>
      <c r="B48" s="3090"/>
      <c r="C48" s="3090"/>
      <c r="D48" s="3091"/>
      <c r="E48" s="3092">
        <f t="shared" si="7"/>
        <v>0</v>
      </c>
      <c r="F48" s="3093"/>
      <c r="G48" s="3094">
        <f t="shared" si="8"/>
        <v>0</v>
      </c>
      <c r="H48" s="3095">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2">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308">
        <f t="shared" si="11"/>
        <v>0</v>
      </c>
      <c r="AW48" s="1308">
        <f t="shared" si="12"/>
        <v>0</v>
      </c>
      <c r="AX48" s="1308">
        <f t="shared" si="13"/>
        <v>0</v>
      </c>
      <c r="AY48" s="3137">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4">
        <f t="shared" si="35"/>
        <v>0</v>
      </c>
    </row>
    <row r="49" spans="1:72">
      <c r="A49" s="3089"/>
      <c r="B49" s="3090"/>
      <c r="C49" s="3090"/>
      <c r="D49" s="3091"/>
      <c r="E49" s="3092">
        <f t="shared" si="7"/>
        <v>0</v>
      </c>
      <c r="F49" s="3093"/>
      <c r="G49" s="3094">
        <f t="shared" si="8"/>
        <v>0</v>
      </c>
      <c r="H49" s="3095">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2">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308">
        <f t="shared" si="11"/>
        <v>0</v>
      </c>
      <c r="AW49" s="1308">
        <f t="shared" si="12"/>
        <v>0</v>
      </c>
      <c r="AX49" s="1308">
        <f t="shared" si="13"/>
        <v>0</v>
      </c>
      <c r="AY49" s="3137">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4">
        <f t="shared" si="35"/>
        <v>0</v>
      </c>
    </row>
    <row r="50" spans="1:72">
      <c r="A50" s="3089"/>
      <c r="B50" s="3090"/>
      <c r="C50" s="3090"/>
      <c r="D50" s="3091"/>
      <c r="E50" s="3092">
        <f t="shared" si="7"/>
        <v>0</v>
      </c>
      <c r="F50" s="3093"/>
      <c r="G50" s="3094">
        <f t="shared" si="8"/>
        <v>0</v>
      </c>
      <c r="H50" s="3095">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2">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308">
        <f t="shared" si="11"/>
        <v>0</v>
      </c>
      <c r="AW50" s="1308">
        <f t="shared" si="12"/>
        <v>0</v>
      </c>
      <c r="AX50" s="1308">
        <f t="shared" si="13"/>
        <v>0</v>
      </c>
      <c r="AY50" s="3137">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4">
        <f t="shared" si="35"/>
        <v>0</v>
      </c>
    </row>
    <row r="51" spans="1:72">
      <c r="A51" s="3089"/>
      <c r="B51" s="3090"/>
      <c r="C51" s="3090"/>
      <c r="D51" s="3091"/>
      <c r="E51" s="3092">
        <f t="shared" si="7"/>
        <v>0</v>
      </c>
      <c r="F51" s="3093"/>
      <c r="G51" s="3094">
        <f t="shared" si="8"/>
        <v>0</v>
      </c>
      <c r="H51" s="3095">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2">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308">
        <f t="shared" si="11"/>
        <v>0</v>
      </c>
      <c r="AW51" s="1308">
        <f t="shared" si="12"/>
        <v>0</v>
      </c>
      <c r="AX51" s="1308">
        <f t="shared" si="13"/>
        <v>0</v>
      </c>
      <c r="AY51" s="3137">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4">
        <f t="shared" si="35"/>
        <v>0</v>
      </c>
    </row>
    <row r="52" spans="1:72">
      <c r="A52" s="3089"/>
      <c r="B52" s="3090"/>
      <c r="C52" s="3090"/>
      <c r="D52" s="3091"/>
      <c r="E52" s="3092">
        <f t="shared" si="7"/>
        <v>0</v>
      </c>
      <c r="F52" s="3093"/>
      <c r="G52" s="3094">
        <f t="shared" si="8"/>
        <v>0</v>
      </c>
      <c r="H52" s="3095">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2">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308">
        <f t="shared" si="11"/>
        <v>0</v>
      </c>
      <c r="AW52" s="1308">
        <f t="shared" si="12"/>
        <v>0</v>
      </c>
      <c r="AX52" s="1308">
        <f t="shared" si="13"/>
        <v>0</v>
      </c>
      <c r="AY52" s="3137">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4">
        <f t="shared" si="35"/>
        <v>0</v>
      </c>
    </row>
    <row r="53" spans="1:72">
      <c r="A53" s="3089"/>
      <c r="B53" s="3090"/>
      <c r="C53" s="3090"/>
      <c r="D53" s="3091"/>
      <c r="E53" s="3092">
        <f t="shared" si="7"/>
        <v>0</v>
      </c>
      <c r="F53" s="3093"/>
      <c r="G53" s="3094">
        <f t="shared" si="8"/>
        <v>0</v>
      </c>
      <c r="H53" s="3095">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2">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308">
        <f t="shared" si="11"/>
        <v>0</v>
      </c>
      <c r="AW53" s="1308">
        <f t="shared" si="12"/>
        <v>0</v>
      </c>
      <c r="AX53" s="1308">
        <f t="shared" si="13"/>
        <v>0</v>
      </c>
      <c r="AY53" s="3137">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4">
        <f t="shared" si="35"/>
        <v>0</v>
      </c>
    </row>
    <row r="54" spans="1:72">
      <c r="A54" s="3089"/>
      <c r="B54" s="3090"/>
      <c r="C54" s="3090"/>
      <c r="D54" s="3091"/>
      <c r="E54" s="3092">
        <f t="shared" si="7"/>
        <v>0</v>
      </c>
      <c r="F54" s="3093"/>
      <c r="G54" s="3094">
        <f t="shared" si="8"/>
        <v>0</v>
      </c>
      <c r="H54" s="3095">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2">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308">
        <f t="shared" si="11"/>
        <v>0</v>
      </c>
      <c r="AW54" s="1308">
        <f t="shared" si="12"/>
        <v>0</v>
      </c>
      <c r="AX54" s="1308">
        <f t="shared" si="13"/>
        <v>0</v>
      </c>
      <c r="AY54" s="3137">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4">
        <f t="shared" si="35"/>
        <v>0</v>
      </c>
    </row>
    <row r="55" spans="1:72">
      <c r="A55" s="3089"/>
      <c r="B55" s="3090"/>
      <c r="C55" s="3090"/>
      <c r="D55" s="3091"/>
      <c r="E55" s="3092">
        <f t="shared" si="7"/>
        <v>0</v>
      </c>
      <c r="F55" s="3093"/>
      <c r="G55" s="3094">
        <f t="shared" si="8"/>
        <v>0</v>
      </c>
      <c r="H55" s="3095">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2">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308">
        <f t="shared" si="11"/>
        <v>0</v>
      </c>
      <c r="AW55" s="1308">
        <f t="shared" si="12"/>
        <v>0</v>
      </c>
      <c r="AX55" s="1308">
        <f t="shared" si="13"/>
        <v>0</v>
      </c>
      <c r="AY55" s="3137">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4">
        <f t="shared" si="35"/>
        <v>0</v>
      </c>
    </row>
    <row r="56" spans="1:72">
      <c r="A56" s="3089"/>
      <c r="B56" s="3090"/>
      <c r="C56" s="3090"/>
      <c r="D56" s="3091"/>
      <c r="E56" s="3092">
        <f t="shared" si="7"/>
        <v>0</v>
      </c>
      <c r="F56" s="3093"/>
      <c r="G56" s="3094">
        <f t="shared" si="8"/>
        <v>0</v>
      </c>
      <c r="H56" s="3095">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2">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308">
        <f t="shared" si="11"/>
        <v>0</v>
      </c>
      <c r="AW56" s="1308">
        <f t="shared" si="12"/>
        <v>0</v>
      </c>
      <c r="AX56" s="1308">
        <f t="shared" si="13"/>
        <v>0</v>
      </c>
      <c r="AY56" s="3137">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4">
        <f t="shared" si="35"/>
        <v>0</v>
      </c>
    </row>
    <row r="57" spans="1:72">
      <c r="A57" s="3089"/>
      <c r="B57" s="3090"/>
      <c r="C57" s="3090"/>
      <c r="D57" s="3091"/>
      <c r="E57" s="3092">
        <f t="shared" si="7"/>
        <v>0</v>
      </c>
      <c r="F57" s="3093"/>
      <c r="G57" s="3094">
        <f t="shared" si="8"/>
        <v>0</v>
      </c>
      <c r="H57" s="3095">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2">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308">
        <f t="shared" si="11"/>
        <v>0</v>
      </c>
      <c r="AW57" s="1308">
        <f t="shared" si="12"/>
        <v>0</v>
      </c>
      <c r="AX57" s="1308">
        <f t="shared" si="13"/>
        <v>0</v>
      </c>
      <c r="AY57" s="3137">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4">
        <f t="shared" si="35"/>
        <v>0</v>
      </c>
    </row>
    <row r="58" spans="1:72">
      <c r="A58" s="3089"/>
      <c r="B58" s="3090"/>
      <c r="C58" s="3090"/>
      <c r="D58" s="3091"/>
      <c r="E58" s="3092">
        <f t="shared" si="7"/>
        <v>0</v>
      </c>
      <c r="F58" s="3093"/>
      <c r="G58" s="3094">
        <f t="shared" si="8"/>
        <v>0</v>
      </c>
      <c r="H58" s="3095">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2">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308">
        <f t="shared" si="11"/>
        <v>0</v>
      </c>
      <c r="AW58" s="1308">
        <f t="shared" si="12"/>
        <v>0</v>
      </c>
      <c r="AX58" s="1308">
        <f t="shared" si="13"/>
        <v>0</v>
      </c>
      <c r="AY58" s="3137">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4">
        <f t="shared" si="35"/>
        <v>0</v>
      </c>
    </row>
    <row r="59" spans="1:72">
      <c r="A59" s="3089"/>
      <c r="B59" s="3090"/>
      <c r="C59" s="3090"/>
      <c r="D59" s="3091"/>
      <c r="E59" s="3092">
        <f t="shared" si="7"/>
        <v>0</v>
      </c>
      <c r="F59" s="3093"/>
      <c r="G59" s="3094">
        <f t="shared" si="8"/>
        <v>0</v>
      </c>
      <c r="H59" s="3095">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2">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308">
        <f t="shared" si="11"/>
        <v>0</v>
      </c>
      <c r="AW59" s="1308">
        <f t="shared" si="12"/>
        <v>0</v>
      </c>
      <c r="AX59" s="1308">
        <f t="shared" si="13"/>
        <v>0</v>
      </c>
      <c r="AY59" s="3137">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4">
        <f t="shared" si="35"/>
        <v>0</v>
      </c>
    </row>
    <row r="60" spans="1:72">
      <c r="A60" s="3089"/>
      <c r="B60" s="3090"/>
      <c r="C60" s="3090"/>
      <c r="D60" s="3091"/>
      <c r="E60" s="3092">
        <f t="shared" si="7"/>
        <v>0</v>
      </c>
      <c r="F60" s="3093"/>
      <c r="G60" s="3094">
        <f t="shared" si="8"/>
        <v>0</v>
      </c>
      <c r="H60" s="3095">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2">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308">
        <f t="shared" si="11"/>
        <v>0</v>
      </c>
      <c r="AW60" s="1308">
        <f t="shared" si="12"/>
        <v>0</v>
      </c>
      <c r="AX60" s="1308">
        <f t="shared" si="13"/>
        <v>0</v>
      </c>
      <c r="AY60" s="3137">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4">
        <f t="shared" si="35"/>
        <v>0</v>
      </c>
    </row>
    <row r="61" spans="1:72">
      <c r="A61" s="3089"/>
      <c r="B61" s="3090"/>
      <c r="C61" s="3090"/>
      <c r="D61" s="3091"/>
      <c r="E61" s="3092">
        <f t="shared" si="7"/>
        <v>0</v>
      </c>
      <c r="F61" s="3093"/>
      <c r="G61" s="3094">
        <f t="shared" si="8"/>
        <v>0</v>
      </c>
      <c r="H61" s="3095">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2">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308">
        <f t="shared" si="11"/>
        <v>0</v>
      </c>
      <c r="AW61" s="1308">
        <f t="shared" si="12"/>
        <v>0</v>
      </c>
      <c r="AX61" s="1308">
        <f t="shared" si="13"/>
        <v>0</v>
      </c>
      <c r="AY61" s="3137">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4">
        <f t="shared" si="35"/>
        <v>0</v>
      </c>
    </row>
    <row r="62" spans="1:72">
      <c r="A62" s="3089"/>
      <c r="B62" s="3090"/>
      <c r="C62" s="3090"/>
      <c r="D62" s="3091"/>
      <c r="E62" s="3092">
        <f t="shared" si="7"/>
        <v>0</v>
      </c>
      <c r="F62" s="3093"/>
      <c r="G62" s="3094">
        <f t="shared" si="8"/>
        <v>0</v>
      </c>
      <c r="H62" s="3095">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2">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308">
        <f t="shared" si="11"/>
        <v>0</v>
      </c>
      <c r="AW62" s="1308">
        <f t="shared" si="12"/>
        <v>0</v>
      </c>
      <c r="AX62" s="1308">
        <f t="shared" si="13"/>
        <v>0</v>
      </c>
      <c r="AY62" s="3137">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4">
        <f t="shared" si="35"/>
        <v>0</v>
      </c>
    </row>
    <row r="63" spans="1:72">
      <c r="A63" s="3089"/>
      <c r="B63" s="3090"/>
      <c r="C63" s="3090"/>
      <c r="D63" s="3091"/>
      <c r="E63" s="3092">
        <f t="shared" si="7"/>
        <v>0</v>
      </c>
      <c r="F63" s="3093"/>
      <c r="G63" s="3094">
        <f t="shared" si="8"/>
        <v>0</v>
      </c>
      <c r="H63" s="3095">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2">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308">
        <f t="shared" si="11"/>
        <v>0</v>
      </c>
      <c r="AW63" s="1308">
        <f t="shared" si="12"/>
        <v>0</v>
      </c>
      <c r="AX63" s="1308">
        <f t="shared" si="13"/>
        <v>0</v>
      </c>
      <c r="AY63" s="3137">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4">
        <f t="shared" si="35"/>
        <v>0</v>
      </c>
    </row>
    <row r="64" spans="1:72">
      <c r="A64" s="3089"/>
      <c r="B64" s="3090"/>
      <c r="C64" s="3090"/>
      <c r="D64" s="3091"/>
      <c r="E64" s="3092">
        <f t="shared" si="7"/>
        <v>0</v>
      </c>
      <c r="F64" s="3093"/>
      <c r="G64" s="3094">
        <f t="shared" si="8"/>
        <v>0</v>
      </c>
      <c r="H64" s="3095">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2">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308">
        <f t="shared" si="11"/>
        <v>0</v>
      </c>
      <c r="AW64" s="1308">
        <f t="shared" si="12"/>
        <v>0</v>
      </c>
      <c r="AX64" s="1308">
        <f t="shared" si="13"/>
        <v>0</v>
      </c>
      <c r="AY64" s="3137">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4">
        <f t="shared" si="35"/>
        <v>0</v>
      </c>
    </row>
    <row r="65" spans="1:72">
      <c r="A65" s="3089"/>
      <c r="B65" s="3090"/>
      <c r="C65" s="3090"/>
      <c r="D65" s="3091"/>
      <c r="E65" s="3092">
        <f t="shared" si="7"/>
        <v>0</v>
      </c>
      <c r="F65" s="3093"/>
      <c r="G65" s="3094">
        <f t="shared" si="8"/>
        <v>0</v>
      </c>
      <c r="H65" s="3095">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2">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308">
        <f t="shared" si="11"/>
        <v>0</v>
      </c>
      <c r="AW65" s="1308">
        <f t="shared" si="12"/>
        <v>0</v>
      </c>
      <c r="AX65" s="1308">
        <f t="shared" si="13"/>
        <v>0</v>
      </c>
      <c r="AY65" s="3137">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4">
        <f t="shared" si="35"/>
        <v>0</v>
      </c>
    </row>
    <row r="66" spans="1:72">
      <c r="A66" s="3089"/>
      <c r="B66" s="3090"/>
      <c r="C66" s="3090"/>
      <c r="D66" s="3091"/>
      <c r="E66" s="3092">
        <f t="shared" si="7"/>
        <v>0</v>
      </c>
      <c r="F66" s="3093"/>
      <c r="G66" s="3094">
        <f t="shared" si="8"/>
        <v>0</v>
      </c>
      <c r="H66" s="3095">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2">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308">
        <f t="shared" si="11"/>
        <v>0</v>
      </c>
      <c r="AW66" s="1308">
        <f t="shared" si="12"/>
        <v>0</v>
      </c>
      <c r="AX66" s="1308">
        <f t="shared" si="13"/>
        <v>0</v>
      </c>
      <c r="AY66" s="3137">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4">
        <f t="shared" si="35"/>
        <v>0</v>
      </c>
    </row>
    <row r="67" spans="1:72">
      <c r="A67" s="3089"/>
      <c r="B67" s="3090"/>
      <c r="C67" s="3090"/>
      <c r="D67" s="3091"/>
      <c r="E67" s="3092">
        <f t="shared" si="7"/>
        <v>0</v>
      </c>
      <c r="F67" s="3093"/>
      <c r="G67" s="3094">
        <f t="shared" si="8"/>
        <v>0</v>
      </c>
      <c r="H67" s="3095">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2">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308">
        <f t="shared" si="11"/>
        <v>0</v>
      </c>
      <c r="AW67" s="1308">
        <f t="shared" si="12"/>
        <v>0</v>
      </c>
      <c r="AX67" s="1308">
        <f t="shared" si="13"/>
        <v>0</v>
      </c>
      <c r="AY67" s="3137">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4">
        <f t="shared" si="35"/>
        <v>0</v>
      </c>
    </row>
    <row r="68" spans="1:72">
      <c r="A68" s="3089"/>
      <c r="B68" s="3090"/>
      <c r="C68" s="3090"/>
      <c r="D68" s="3091"/>
      <c r="E68" s="3092">
        <f t="shared" si="7"/>
        <v>0</v>
      </c>
      <c r="F68" s="3093"/>
      <c r="G68" s="3094">
        <f t="shared" si="8"/>
        <v>0</v>
      </c>
      <c r="H68" s="3095">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2">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308">
        <f t="shared" si="11"/>
        <v>0</v>
      </c>
      <c r="AW68" s="1308">
        <f t="shared" si="12"/>
        <v>0</v>
      </c>
      <c r="AX68" s="1308">
        <f t="shared" si="13"/>
        <v>0</v>
      </c>
      <c r="AY68" s="3137">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4">
        <f t="shared" si="35"/>
        <v>0</v>
      </c>
    </row>
    <row r="69" spans="1:72">
      <c r="A69" s="3089"/>
      <c r="B69" s="3090"/>
      <c r="C69" s="3090"/>
      <c r="D69" s="3091"/>
      <c r="E69" s="3092">
        <f t="shared" si="7"/>
        <v>0</v>
      </c>
      <c r="F69" s="3093"/>
      <c r="G69" s="3094">
        <f t="shared" si="8"/>
        <v>0</v>
      </c>
      <c r="H69" s="3095">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2">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308">
        <f t="shared" si="11"/>
        <v>0</v>
      </c>
      <c r="AW69" s="1308">
        <f t="shared" si="12"/>
        <v>0</v>
      </c>
      <c r="AX69" s="1308">
        <f t="shared" si="13"/>
        <v>0</v>
      </c>
      <c r="AY69" s="3137">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4">
        <f t="shared" si="35"/>
        <v>0</v>
      </c>
    </row>
    <row r="70" spans="1:72">
      <c r="A70" s="3089"/>
      <c r="B70" s="3090"/>
      <c r="C70" s="3090"/>
      <c r="D70" s="3091"/>
      <c r="E70" s="3092">
        <f t="shared" si="7"/>
        <v>0</v>
      </c>
      <c r="F70" s="3093"/>
      <c r="G70" s="3094">
        <f t="shared" si="8"/>
        <v>0</v>
      </c>
      <c r="H70" s="3095">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2">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308">
        <f t="shared" si="11"/>
        <v>0</v>
      </c>
      <c r="AW70" s="1308">
        <f t="shared" si="12"/>
        <v>0</v>
      </c>
      <c r="AX70" s="1308">
        <f t="shared" si="13"/>
        <v>0</v>
      </c>
      <c r="AY70" s="3137">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4">
        <f t="shared" si="35"/>
        <v>0</v>
      </c>
    </row>
    <row r="71" spans="1:72">
      <c r="A71" s="3089"/>
      <c r="B71" s="3090"/>
      <c r="C71" s="3090"/>
      <c r="D71" s="3091"/>
      <c r="E71" s="3092">
        <f t="shared" si="7"/>
        <v>0</v>
      </c>
      <c r="F71" s="3093"/>
      <c r="G71" s="3094">
        <f t="shared" si="8"/>
        <v>0</v>
      </c>
      <c r="H71" s="3095">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2">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308">
        <f t="shared" si="11"/>
        <v>0</v>
      </c>
      <c r="AW71" s="1308">
        <f t="shared" si="12"/>
        <v>0</v>
      </c>
      <c r="AX71" s="1308">
        <f t="shared" si="13"/>
        <v>0</v>
      </c>
      <c r="AY71" s="3137">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4">
        <f t="shared" si="35"/>
        <v>0</v>
      </c>
    </row>
    <row r="72" spans="1:72">
      <c r="A72" s="3089"/>
      <c r="B72" s="3090"/>
      <c r="C72" s="3090"/>
      <c r="D72" s="3091"/>
      <c r="E72" s="3092">
        <f t="shared" si="7"/>
        <v>0</v>
      </c>
      <c r="F72" s="3093"/>
      <c r="G72" s="3094">
        <f t="shared" si="8"/>
        <v>0</v>
      </c>
      <c r="H72" s="3095">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2">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308">
        <f t="shared" si="11"/>
        <v>0</v>
      </c>
      <c r="AW72" s="1308">
        <f t="shared" si="12"/>
        <v>0</v>
      </c>
      <c r="AX72" s="1308">
        <f t="shared" si="13"/>
        <v>0</v>
      </c>
      <c r="AY72" s="3137">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4">
        <f t="shared" si="35"/>
        <v>0</v>
      </c>
    </row>
    <row r="73" spans="1:72">
      <c r="A73" s="3089"/>
      <c r="B73" s="3090"/>
      <c r="C73" s="3090"/>
      <c r="D73" s="3091"/>
      <c r="E73" s="3092">
        <f t="shared" si="7"/>
        <v>0</v>
      </c>
      <c r="F73" s="3093"/>
      <c r="G73" s="3094">
        <f t="shared" si="8"/>
        <v>0</v>
      </c>
      <c r="H73" s="3095">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2">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308">
        <f t="shared" si="11"/>
        <v>0</v>
      </c>
      <c r="AW73" s="1308">
        <f t="shared" si="12"/>
        <v>0</v>
      </c>
      <c r="AX73" s="1308">
        <f t="shared" si="13"/>
        <v>0</v>
      </c>
      <c r="AY73" s="3137">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4">
        <f t="shared" si="35"/>
        <v>0</v>
      </c>
    </row>
    <row r="74" spans="1:72">
      <c r="A74" s="3089"/>
      <c r="B74" s="3090"/>
      <c r="C74" s="3090"/>
      <c r="D74" s="3091"/>
      <c r="E74" s="3092">
        <f t="shared" si="7"/>
        <v>0</v>
      </c>
      <c r="F74" s="3093"/>
      <c r="G74" s="3094">
        <f t="shared" si="8"/>
        <v>0</v>
      </c>
      <c r="H74" s="3095">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2">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308">
        <f t="shared" si="11"/>
        <v>0</v>
      </c>
      <c r="AW74" s="1308">
        <f t="shared" si="12"/>
        <v>0</v>
      </c>
      <c r="AX74" s="1308">
        <f t="shared" si="13"/>
        <v>0</v>
      </c>
      <c r="AY74" s="3137">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4">
        <f t="shared" si="35"/>
        <v>0</v>
      </c>
    </row>
    <row r="75" spans="1:72">
      <c r="A75" s="3089"/>
      <c r="B75" s="3090"/>
      <c r="C75" s="3090"/>
      <c r="D75" s="3091"/>
      <c r="E75" s="3092">
        <f t="shared" si="7"/>
        <v>0</v>
      </c>
      <c r="F75" s="3093"/>
      <c r="G75" s="3094">
        <f t="shared" si="8"/>
        <v>0</v>
      </c>
      <c r="H75" s="3095">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2">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308">
        <f t="shared" si="11"/>
        <v>0</v>
      </c>
      <c r="AW75" s="1308">
        <f t="shared" si="12"/>
        <v>0</v>
      </c>
      <c r="AX75" s="1308">
        <f t="shared" si="13"/>
        <v>0</v>
      </c>
      <c r="AY75" s="3137">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4">
        <f t="shared" si="35"/>
        <v>0</v>
      </c>
    </row>
    <row r="76" spans="1:72">
      <c r="A76" s="3089"/>
      <c r="B76" s="3090"/>
      <c r="C76" s="3090"/>
      <c r="D76" s="3091"/>
      <c r="E76" s="3092">
        <f t="shared" si="7"/>
        <v>0</v>
      </c>
      <c r="F76" s="3093"/>
      <c r="G76" s="3094">
        <f t="shared" si="8"/>
        <v>0</v>
      </c>
      <c r="H76" s="3095">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2">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308">
        <f t="shared" si="11"/>
        <v>0</v>
      </c>
      <c r="AW76" s="1308">
        <f t="shared" si="12"/>
        <v>0</v>
      </c>
      <c r="AX76" s="1308">
        <f t="shared" si="13"/>
        <v>0</v>
      </c>
      <c r="AY76" s="3137">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4">
        <f t="shared" si="35"/>
        <v>0</v>
      </c>
    </row>
    <row r="77" spans="1:72">
      <c r="A77" s="3089"/>
      <c r="B77" s="3090"/>
      <c r="C77" s="3090"/>
      <c r="D77" s="3091"/>
      <c r="E77" s="3092">
        <f t="shared" si="7"/>
        <v>0</v>
      </c>
      <c r="F77" s="3093"/>
      <c r="G77" s="3094">
        <f t="shared" si="8"/>
        <v>0</v>
      </c>
      <c r="H77" s="3095">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2">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308">
        <f t="shared" si="11"/>
        <v>0</v>
      </c>
      <c r="AW77" s="1308">
        <f t="shared" si="12"/>
        <v>0</v>
      </c>
      <c r="AX77" s="1308">
        <f t="shared" si="13"/>
        <v>0</v>
      </c>
      <c r="AY77" s="3137">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4">
        <f t="shared" si="35"/>
        <v>0</v>
      </c>
    </row>
    <row r="78" spans="1:72">
      <c r="A78" s="3089"/>
      <c r="B78" s="3090"/>
      <c r="C78" s="3090"/>
      <c r="D78" s="3091"/>
      <c r="E78" s="3092">
        <f t="shared" si="7"/>
        <v>0</v>
      </c>
      <c r="F78" s="3093"/>
      <c r="G78" s="3094">
        <f t="shared" si="8"/>
        <v>0</v>
      </c>
      <c r="H78" s="3095">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2">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308">
        <f t="shared" si="11"/>
        <v>0</v>
      </c>
      <c r="AW78" s="1308">
        <f t="shared" si="12"/>
        <v>0</v>
      </c>
      <c r="AX78" s="1308">
        <f t="shared" si="13"/>
        <v>0</v>
      </c>
      <c r="AY78" s="3137">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4">
        <f t="shared" si="35"/>
        <v>0</v>
      </c>
    </row>
    <row r="79" spans="1:72">
      <c r="A79" s="3089"/>
      <c r="B79" s="3090"/>
      <c r="C79" s="3090"/>
      <c r="D79" s="3091"/>
      <c r="E79" s="3092">
        <f t="shared" si="7"/>
        <v>0</v>
      </c>
      <c r="F79" s="3093"/>
      <c r="G79" s="3094">
        <f t="shared" si="8"/>
        <v>0</v>
      </c>
      <c r="H79" s="3095">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2">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308">
        <f t="shared" si="11"/>
        <v>0</v>
      </c>
      <c r="AW79" s="1308">
        <f t="shared" si="12"/>
        <v>0</v>
      </c>
      <c r="AX79" s="1308">
        <f t="shared" si="13"/>
        <v>0</v>
      </c>
      <c r="AY79" s="3137">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4">
        <f t="shared" si="35"/>
        <v>0</v>
      </c>
    </row>
    <row r="80" spans="1:72">
      <c r="A80" s="3089"/>
      <c r="B80" s="3090"/>
      <c r="C80" s="3090"/>
      <c r="D80" s="3091"/>
      <c r="E80" s="3092">
        <f t="shared" si="7"/>
        <v>0</v>
      </c>
      <c r="F80" s="3093"/>
      <c r="G80" s="3094">
        <f t="shared" si="8"/>
        <v>0</v>
      </c>
      <c r="H80" s="3095">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2">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308">
        <f t="shared" si="11"/>
        <v>0</v>
      </c>
      <c r="AW80" s="1308">
        <f t="shared" si="12"/>
        <v>0</v>
      </c>
      <c r="AX80" s="1308">
        <f t="shared" si="13"/>
        <v>0</v>
      </c>
      <c r="AY80" s="3137">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4">
        <f t="shared" si="35"/>
        <v>0</v>
      </c>
    </row>
    <row r="81" spans="1:72">
      <c r="A81" s="3089"/>
      <c r="B81" s="3090"/>
      <c r="C81" s="3090"/>
      <c r="D81" s="3091"/>
      <c r="E81" s="3092">
        <f t="shared" si="7"/>
        <v>0</v>
      </c>
      <c r="F81" s="3093"/>
      <c r="G81" s="3094">
        <f t="shared" si="8"/>
        <v>0</v>
      </c>
      <c r="H81" s="3095">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2">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308">
        <f t="shared" si="11"/>
        <v>0</v>
      </c>
      <c r="AW81" s="1308">
        <f t="shared" si="12"/>
        <v>0</v>
      </c>
      <c r="AX81" s="1308">
        <f t="shared" si="13"/>
        <v>0</v>
      </c>
      <c r="AY81" s="3137">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4">
        <f t="shared" si="35"/>
        <v>0</v>
      </c>
    </row>
    <row r="82" spans="1:72">
      <c r="A82" s="3089"/>
      <c r="B82" s="3090"/>
      <c r="C82" s="3090"/>
      <c r="D82" s="3091"/>
      <c r="E82" s="3092">
        <f t="shared" si="7"/>
        <v>0</v>
      </c>
      <c r="F82" s="3093"/>
      <c r="G82" s="3094">
        <f t="shared" si="8"/>
        <v>0</v>
      </c>
      <c r="H82" s="3095">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2">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308">
        <f t="shared" si="11"/>
        <v>0</v>
      </c>
      <c r="AW82" s="1308">
        <f t="shared" si="12"/>
        <v>0</v>
      </c>
      <c r="AX82" s="1308">
        <f t="shared" si="13"/>
        <v>0</v>
      </c>
      <c r="AY82" s="3137">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4">
        <f t="shared" si="35"/>
        <v>0</v>
      </c>
    </row>
    <row r="83" spans="1:72">
      <c r="A83" s="3089"/>
      <c r="B83" s="3090"/>
      <c r="C83" s="3090"/>
      <c r="D83" s="3091"/>
      <c r="E83" s="3092">
        <f t="shared" si="7"/>
        <v>0</v>
      </c>
      <c r="F83" s="3093"/>
      <c r="G83" s="3094">
        <f t="shared" si="8"/>
        <v>0</v>
      </c>
      <c r="H83" s="3095">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2">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308">
        <f t="shared" si="11"/>
        <v>0</v>
      </c>
      <c r="AW83" s="1308">
        <f t="shared" si="12"/>
        <v>0</v>
      </c>
      <c r="AX83" s="1308">
        <f t="shared" si="13"/>
        <v>0</v>
      </c>
      <c r="AY83" s="3137">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4">
        <f t="shared" si="35"/>
        <v>0</v>
      </c>
    </row>
    <row r="84" spans="1:72">
      <c r="A84" s="3089"/>
      <c r="B84" s="3090"/>
      <c r="C84" s="3090"/>
      <c r="D84" s="3091"/>
      <c r="E84" s="3092">
        <f t="shared" si="7"/>
        <v>0</v>
      </c>
      <c r="F84" s="3093"/>
      <c r="G84" s="3094">
        <f t="shared" si="8"/>
        <v>0</v>
      </c>
      <c r="H84" s="3095">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2">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308">
        <f t="shared" si="11"/>
        <v>0</v>
      </c>
      <c r="AW84" s="1308">
        <f t="shared" si="12"/>
        <v>0</v>
      </c>
      <c r="AX84" s="1308">
        <f t="shared" si="13"/>
        <v>0</v>
      </c>
      <c r="AY84" s="3137">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4">
        <f t="shared" si="35"/>
        <v>0</v>
      </c>
    </row>
    <row r="85" spans="1:72">
      <c r="A85" s="3089"/>
      <c r="B85" s="3090"/>
      <c r="C85" s="3090"/>
      <c r="D85" s="3091"/>
      <c r="E85" s="3092">
        <f t="shared" si="7"/>
        <v>0</v>
      </c>
      <c r="F85" s="3093"/>
      <c r="G85" s="3094">
        <f t="shared" si="8"/>
        <v>0</v>
      </c>
      <c r="H85" s="3095">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2">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308">
        <f t="shared" si="11"/>
        <v>0</v>
      </c>
      <c r="AW85" s="1308">
        <f t="shared" si="12"/>
        <v>0</v>
      </c>
      <c r="AX85" s="1308">
        <f t="shared" si="13"/>
        <v>0</v>
      </c>
      <c r="AY85" s="3137">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4">
        <f t="shared" si="35"/>
        <v>0</v>
      </c>
    </row>
    <row r="86" spans="1:72">
      <c r="A86" s="3089"/>
      <c r="B86" s="3090"/>
      <c r="C86" s="3090"/>
      <c r="D86" s="3091"/>
      <c r="E86" s="3092">
        <f t="shared" si="7"/>
        <v>0</v>
      </c>
      <c r="F86" s="3093"/>
      <c r="G86" s="3094">
        <f t="shared" si="8"/>
        <v>0</v>
      </c>
      <c r="H86" s="3095">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2">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308">
        <f t="shared" si="11"/>
        <v>0</v>
      </c>
      <c r="AW86" s="1308">
        <f t="shared" si="12"/>
        <v>0</v>
      </c>
      <c r="AX86" s="1308">
        <f t="shared" si="13"/>
        <v>0</v>
      </c>
      <c r="AY86" s="3137">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4">
        <f t="shared" si="35"/>
        <v>0</v>
      </c>
    </row>
    <row r="87" spans="1:72">
      <c r="A87" s="3089"/>
      <c r="B87" s="3090"/>
      <c r="C87" s="3090"/>
      <c r="D87" s="3091"/>
      <c r="E87" s="3092">
        <f t="shared" si="7"/>
        <v>0</v>
      </c>
      <c r="F87" s="3093"/>
      <c r="G87" s="3094">
        <f t="shared" si="8"/>
        <v>0</v>
      </c>
      <c r="H87" s="3095">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2">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308">
        <f t="shared" si="11"/>
        <v>0</v>
      </c>
      <c r="AW87" s="1308">
        <f t="shared" si="12"/>
        <v>0</v>
      </c>
      <c r="AX87" s="1308">
        <f t="shared" si="13"/>
        <v>0</v>
      </c>
      <c r="AY87" s="3137">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4">
        <f t="shared" si="35"/>
        <v>0</v>
      </c>
    </row>
    <row r="88" spans="1:72">
      <c r="A88" s="3089"/>
      <c r="B88" s="3090"/>
      <c r="C88" s="3090"/>
      <c r="D88" s="3091"/>
      <c r="E88" s="3092">
        <f t="shared" si="7"/>
        <v>0</v>
      </c>
      <c r="F88" s="3093"/>
      <c r="G88" s="3094">
        <f t="shared" si="8"/>
        <v>0</v>
      </c>
      <c r="H88" s="3095">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2">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308">
        <f t="shared" si="11"/>
        <v>0</v>
      </c>
      <c r="AW88" s="1308">
        <f t="shared" si="12"/>
        <v>0</v>
      </c>
      <c r="AX88" s="1308">
        <f t="shared" si="13"/>
        <v>0</v>
      </c>
      <c r="AY88" s="3137">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4">
        <f t="shared" si="35"/>
        <v>0</v>
      </c>
    </row>
    <row r="89" spans="1:72">
      <c r="A89" s="3089"/>
      <c r="B89" s="3090"/>
      <c r="C89" s="3090"/>
      <c r="D89" s="3091"/>
      <c r="E89" s="3092">
        <f t="shared" si="7"/>
        <v>0</v>
      </c>
      <c r="F89" s="3093"/>
      <c r="G89" s="3094">
        <f t="shared" si="8"/>
        <v>0</v>
      </c>
      <c r="H89" s="3095">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2">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308">
        <f t="shared" si="11"/>
        <v>0</v>
      </c>
      <c r="AW89" s="1308">
        <f t="shared" si="12"/>
        <v>0</v>
      </c>
      <c r="AX89" s="1308">
        <f t="shared" si="13"/>
        <v>0</v>
      </c>
      <c r="AY89" s="3137">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4">
        <f t="shared" si="35"/>
        <v>0</v>
      </c>
    </row>
    <row r="90" spans="1:72">
      <c r="A90" s="3089"/>
      <c r="B90" s="3090"/>
      <c r="C90" s="3090"/>
      <c r="D90" s="3091"/>
      <c r="E90" s="3092">
        <f t="shared" si="7"/>
        <v>0</v>
      </c>
      <c r="F90" s="3093"/>
      <c r="G90" s="3094">
        <f t="shared" si="8"/>
        <v>0</v>
      </c>
      <c r="H90" s="3095">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2">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308">
        <f t="shared" si="11"/>
        <v>0</v>
      </c>
      <c r="AW90" s="1308">
        <f t="shared" si="12"/>
        <v>0</v>
      </c>
      <c r="AX90" s="1308">
        <f t="shared" si="13"/>
        <v>0</v>
      </c>
      <c r="AY90" s="3137">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4">
        <f t="shared" si="35"/>
        <v>0</v>
      </c>
    </row>
    <row r="91" spans="1:72">
      <c r="A91" s="3089"/>
      <c r="B91" s="3090"/>
      <c r="C91" s="3090"/>
      <c r="D91" s="3091"/>
      <c r="E91" s="3092">
        <f t="shared" si="7"/>
        <v>0</v>
      </c>
      <c r="F91" s="3093"/>
      <c r="G91" s="3094">
        <f t="shared" si="8"/>
        <v>0</v>
      </c>
      <c r="H91" s="3095">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2">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308">
        <f t="shared" si="11"/>
        <v>0</v>
      </c>
      <c r="AW91" s="1308">
        <f t="shared" si="12"/>
        <v>0</v>
      </c>
      <c r="AX91" s="1308">
        <f t="shared" si="13"/>
        <v>0</v>
      </c>
      <c r="AY91" s="3137">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4">
        <f t="shared" si="35"/>
        <v>0</v>
      </c>
    </row>
    <row r="92" spans="1:72">
      <c r="A92" s="3089"/>
      <c r="B92" s="3090"/>
      <c r="C92" s="3090"/>
      <c r="D92" s="3091"/>
      <c r="E92" s="3092">
        <f t="shared" si="7"/>
        <v>0</v>
      </c>
      <c r="F92" s="3093"/>
      <c r="G92" s="3094">
        <f t="shared" si="8"/>
        <v>0</v>
      </c>
      <c r="H92" s="3095">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2">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308">
        <f t="shared" si="11"/>
        <v>0</v>
      </c>
      <c r="AW92" s="1308">
        <f t="shared" si="12"/>
        <v>0</v>
      </c>
      <c r="AX92" s="1308">
        <f t="shared" si="13"/>
        <v>0</v>
      </c>
      <c r="AY92" s="3137">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4">
        <f t="shared" si="35"/>
        <v>0</v>
      </c>
    </row>
    <row r="93" spans="1:72">
      <c r="A93" s="3089"/>
      <c r="B93" s="3090"/>
      <c r="C93" s="3090"/>
      <c r="D93" s="3091"/>
      <c r="E93" s="3092">
        <f t="shared" si="7"/>
        <v>0</v>
      </c>
      <c r="F93" s="3093"/>
      <c r="G93" s="3094">
        <f t="shared" si="8"/>
        <v>0</v>
      </c>
      <c r="H93" s="3095">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2">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308">
        <f t="shared" si="11"/>
        <v>0</v>
      </c>
      <c r="AW93" s="1308">
        <f t="shared" si="12"/>
        <v>0</v>
      </c>
      <c r="AX93" s="1308">
        <f t="shared" si="13"/>
        <v>0</v>
      </c>
      <c r="AY93" s="3137">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4">
        <f t="shared" si="35"/>
        <v>0</v>
      </c>
    </row>
    <row r="94" spans="1:72">
      <c r="A94" s="3089"/>
      <c r="B94" s="3090"/>
      <c r="C94" s="3090"/>
      <c r="D94" s="3091"/>
      <c r="E94" s="3092">
        <f t="shared" si="7"/>
        <v>0</v>
      </c>
      <c r="F94" s="3093"/>
      <c r="G94" s="3094">
        <f t="shared" si="8"/>
        <v>0</v>
      </c>
      <c r="H94" s="3095">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2">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308">
        <f t="shared" si="11"/>
        <v>0</v>
      </c>
      <c r="AW94" s="1308">
        <f t="shared" si="12"/>
        <v>0</v>
      </c>
      <c r="AX94" s="1308">
        <f t="shared" si="13"/>
        <v>0</v>
      </c>
      <c r="AY94" s="3137">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4">
        <f t="shared" si="35"/>
        <v>0</v>
      </c>
    </row>
    <row r="95" spans="1:72">
      <c r="A95" s="3089"/>
      <c r="B95" s="3090"/>
      <c r="C95" s="3090"/>
      <c r="D95" s="3091"/>
      <c r="E95" s="3092">
        <f t="shared" si="7"/>
        <v>0</v>
      </c>
      <c r="F95" s="3093"/>
      <c r="G95" s="3094">
        <f t="shared" si="8"/>
        <v>0</v>
      </c>
      <c r="H95" s="3095">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2">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308">
        <f t="shared" si="11"/>
        <v>0</v>
      </c>
      <c r="AW95" s="1308">
        <f t="shared" si="12"/>
        <v>0</v>
      </c>
      <c r="AX95" s="1308">
        <f t="shared" si="13"/>
        <v>0</v>
      </c>
      <c r="AY95" s="3137">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4">
        <f t="shared" si="35"/>
        <v>0</v>
      </c>
    </row>
    <row r="96" spans="1:72">
      <c r="A96" s="3089"/>
      <c r="B96" s="3090"/>
      <c r="C96" s="3090"/>
      <c r="D96" s="3091"/>
      <c r="E96" s="3092">
        <f t="shared" si="7"/>
        <v>0</v>
      </c>
      <c r="F96" s="3093"/>
      <c r="G96" s="3094">
        <f t="shared" si="8"/>
        <v>0</v>
      </c>
      <c r="H96" s="3095">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2">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308">
        <f t="shared" si="11"/>
        <v>0</v>
      </c>
      <c r="AW96" s="1308">
        <f t="shared" si="12"/>
        <v>0</v>
      </c>
      <c r="AX96" s="1308">
        <f t="shared" si="13"/>
        <v>0</v>
      </c>
      <c r="AY96" s="3137">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4">
        <f t="shared" si="35"/>
        <v>0</v>
      </c>
    </row>
    <row r="97" spans="1:72">
      <c r="A97" s="3089"/>
      <c r="B97" s="3090"/>
      <c r="C97" s="3090"/>
      <c r="D97" s="3091"/>
      <c r="E97" s="3092">
        <f t="shared" si="7"/>
        <v>0</v>
      </c>
      <c r="F97" s="3093"/>
      <c r="G97" s="3094">
        <f t="shared" si="8"/>
        <v>0</v>
      </c>
      <c r="H97" s="3095">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2">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308">
        <f t="shared" si="11"/>
        <v>0</v>
      </c>
      <c r="AW97" s="1308">
        <f t="shared" si="12"/>
        <v>0</v>
      </c>
      <c r="AX97" s="1308">
        <f t="shared" si="13"/>
        <v>0</v>
      </c>
      <c r="AY97" s="3137">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4">
        <f t="shared" si="35"/>
        <v>0</v>
      </c>
    </row>
    <row r="98" spans="1:72">
      <c r="A98" s="3089"/>
      <c r="B98" s="3090"/>
      <c r="C98" s="3090"/>
      <c r="D98" s="3091"/>
      <c r="E98" s="3092">
        <f t="shared" si="7"/>
        <v>0</v>
      </c>
      <c r="F98" s="3093"/>
      <c r="G98" s="3094">
        <f t="shared" si="8"/>
        <v>0</v>
      </c>
      <c r="H98" s="3095">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2">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308">
        <f t="shared" si="11"/>
        <v>0</v>
      </c>
      <c r="AW98" s="1308">
        <f t="shared" si="12"/>
        <v>0</v>
      </c>
      <c r="AX98" s="1308">
        <f t="shared" si="13"/>
        <v>0</v>
      </c>
      <c r="AY98" s="3137">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4">
        <f t="shared" si="35"/>
        <v>0</v>
      </c>
    </row>
    <row r="99" spans="1:72">
      <c r="A99" s="3089"/>
      <c r="B99" s="3090"/>
      <c r="C99" s="3090"/>
      <c r="D99" s="3091"/>
      <c r="E99" s="3092">
        <f t="shared" si="7"/>
        <v>0</v>
      </c>
      <c r="F99" s="3093"/>
      <c r="G99" s="3094">
        <f t="shared" si="8"/>
        <v>0</v>
      </c>
      <c r="H99" s="3095">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2">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308">
        <f t="shared" si="11"/>
        <v>0</v>
      </c>
      <c r="AW99" s="1308">
        <f t="shared" si="12"/>
        <v>0</v>
      </c>
      <c r="AX99" s="1308">
        <f t="shared" si="13"/>
        <v>0</v>
      </c>
      <c r="AY99" s="3137">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4">
        <f t="shared" si="35"/>
        <v>0</v>
      </c>
    </row>
    <row r="100" spans="1:72">
      <c r="A100" s="3089"/>
      <c r="B100" s="3090"/>
      <c r="C100" s="3090"/>
      <c r="D100" s="3091"/>
      <c r="E100" s="3092">
        <f t="shared" si="7"/>
        <v>0</v>
      </c>
      <c r="F100" s="3093"/>
      <c r="G100" s="3094">
        <f t="shared" si="8"/>
        <v>0</v>
      </c>
      <c r="H100" s="3095">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2">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308">
        <f t="shared" si="11"/>
        <v>0</v>
      </c>
      <c r="AW100" s="1308">
        <f t="shared" si="12"/>
        <v>0</v>
      </c>
      <c r="AX100" s="1308">
        <f t="shared" si="13"/>
        <v>0</v>
      </c>
      <c r="AY100" s="3137">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4">
        <f t="shared" si="35"/>
        <v>0</v>
      </c>
    </row>
    <row r="101" spans="1:72">
      <c r="A101" s="3089"/>
      <c r="B101" s="3090"/>
      <c r="C101" s="3090"/>
      <c r="D101" s="3091"/>
      <c r="E101" s="3092">
        <f t="shared" si="7"/>
        <v>0</v>
      </c>
      <c r="F101" s="3093"/>
      <c r="G101" s="3094">
        <f t="shared" si="8"/>
        <v>0</v>
      </c>
      <c r="H101" s="3095">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2">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308">
        <f t="shared" si="11"/>
        <v>0</v>
      </c>
      <c r="AW101" s="1308">
        <f t="shared" si="12"/>
        <v>0</v>
      </c>
      <c r="AX101" s="1308">
        <f t="shared" si="13"/>
        <v>0</v>
      </c>
      <c r="AY101" s="3137">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4">
        <f t="shared" si="35"/>
        <v>0</v>
      </c>
    </row>
    <row r="102" spans="1:72">
      <c r="A102" s="3089"/>
      <c r="B102" s="3090"/>
      <c r="C102" s="3090"/>
      <c r="D102" s="3091"/>
      <c r="E102" s="3092">
        <f t="shared" si="7"/>
        <v>0</v>
      </c>
      <c r="F102" s="3093"/>
      <c r="G102" s="3094">
        <f t="shared" si="8"/>
        <v>0</v>
      </c>
      <c r="H102" s="3095">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2">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308">
        <f t="shared" si="11"/>
        <v>0</v>
      </c>
      <c r="AW102" s="1308">
        <f t="shared" si="12"/>
        <v>0</v>
      </c>
      <c r="AX102" s="1308">
        <f t="shared" si="13"/>
        <v>0</v>
      </c>
      <c r="AY102" s="3137">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4">
        <f t="shared" si="35"/>
        <v>0</v>
      </c>
    </row>
    <row r="103" spans="1:72">
      <c r="A103" s="3089"/>
      <c r="B103" s="3090"/>
      <c r="C103" s="3090"/>
      <c r="D103" s="3091"/>
      <c r="E103" s="3092">
        <f t="shared" si="7"/>
        <v>0</v>
      </c>
      <c r="F103" s="3093"/>
      <c r="G103" s="3094">
        <f t="shared" si="8"/>
        <v>0</v>
      </c>
      <c r="H103" s="3095">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2">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308">
        <f t="shared" si="11"/>
        <v>0</v>
      </c>
      <c r="AW103" s="1308">
        <f t="shared" si="12"/>
        <v>0</v>
      </c>
      <c r="AX103" s="1308">
        <f t="shared" si="13"/>
        <v>0</v>
      </c>
      <c r="AY103" s="3137">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4">
        <f t="shared" si="35"/>
        <v>0</v>
      </c>
    </row>
    <row r="104" spans="1:72">
      <c r="A104" s="3089"/>
      <c r="B104" s="3090"/>
      <c r="C104" s="3090"/>
      <c r="D104" s="3091"/>
      <c r="E104" s="3092">
        <f t="shared" si="7"/>
        <v>0</v>
      </c>
      <c r="F104" s="3093"/>
      <c r="G104" s="3094">
        <f t="shared" si="8"/>
        <v>0</v>
      </c>
      <c r="H104" s="3095">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2">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308">
        <f t="shared" si="11"/>
        <v>0</v>
      </c>
      <c r="AW104" s="1308">
        <f t="shared" si="12"/>
        <v>0</v>
      </c>
      <c r="AX104" s="1308">
        <f t="shared" si="13"/>
        <v>0</v>
      </c>
      <c r="AY104" s="3137">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4">
        <f t="shared" si="35"/>
        <v>0</v>
      </c>
    </row>
    <row r="105" spans="1:72">
      <c r="A105" s="3089"/>
      <c r="B105" s="3090"/>
      <c r="C105" s="3090"/>
      <c r="D105" s="3091"/>
      <c r="E105" s="3092">
        <f t="shared" si="7"/>
        <v>0</v>
      </c>
      <c r="F105" s="3093"/>
      <c r="G105" s="3094">
        <f t="shared" si="8"/>
        <v>0</v>
      </c>
      <c r="H105" s="3095">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2">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308">
        <f t="shared" si="11"/>
        <v>0</v>
      </c>
      <c r="AW105" s="1308">
        <f t="shared" si="12"/>
        <v>0</v>
      </c>
      <c r="AX105" s="1308">
        <f t="shared" si="13"/>
        <v>0</v>
      </c>
      <c r="AY105" s="3137">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4">
        <f t="shared" si="35"/>
        <v>0</v>
      </c>
    </row>
    <row r="106" spans="1:72">
      <c r="A106" s="3089"/>
      <c r="B106" s="3090"/>
      <c r="C106" s="3090"/>
      <c r="D106" s="3091"/>
      <c r="E106" s="3092">
        <f t="shared" si="7"/>
        <v>0</v>
      </c>
      <c r="F106" s="3093"/>
      <c r="G106" s="3094">
        <f t="shared" si="8"/>
        <v>0</v>
      </c>
      <c r="H106" s="3095">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2">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308">
        <f t="shared" si="11"/>
        <v>0</v>
      </c>
      <c r="AW106" s="1308">
        <f t="shared" si="12"/>
        <v>0</v>
      </c>
      <c r="AX106" s="1308">
        <f t="shared" si="13"/>
        <v>0</v>
      </c>
      <c r="AY106" s="3137">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4">
        <f t="shared" si="35"/>
        <v>0</v>
      </c>
    </row>
    <row r="107" spans="1:72">
      <c r="A107" s="3089"/>
      <c r="B107" s="3090"/>
      <c r="C107" s="3090"/>
      <c r="D107" s="3091"/>
      <c r="E107" s="3092">
        <f t="shared" si="7"/>
        <v>0</v>
      </c>
      <c r="F107" s="3093"/>
      <c r="G107" s="3094">
        <f t="shared" si="8"/>
        <v>0</v>
      </c>
      <c r="H107" s="3095">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2">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308">
        <f t="shared" si="11"/>
        <v>0</v>
      </c>
      <c r="AW107" s="1308">
        <f t="shared" si="12"/>
        <v>0</v>
      </c>
      <c r="AX107" s="1308">
        <f t="shared" si="13"/>
        <v>0</v>
      </c>
      <c r="AY107" s="3137">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4">
        <f t="shared" si="35"/>
        <v>0</v>
      </c>
    </row>
    <row r="108" spans="1:72">
      <c r="A108" s="3089"/>
      <c r="B108" s="3090"/>
      <c r="C108" s="3090"/>
      <c r="D108" s="3091"/>
      <c r="E108" s="3092">
        <f t="shared" si="7"/>
        <v>0</v>
      </c>
      <c r="F108" s="3093"/>
      <c r="G108" s="3094">
        <f t="shared" si="8"/>
        <v>0</v>
      </c>
      <c r="H108" s="3095">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2">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308">
        <f t="shared" si="11"/>
        <v>0</v>
      </c>
      <c r="AW108" s="1308">
        <f t="shared" si="12"/>
        <v>0</v>
      </c>
      <c r="AX108" s="1308">
        <f t="shared" si="13"/>
        <v>0</v>
      </c>
      <c r="AY108" s="3137">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4">
        <f t="shared" si="35"/>
        <v>0</v>
      </c>
    </row>
    <row r="109" spans="1:72">
      <c r="A109" s="3089"/>
      <c r="B109" s="3090"/>
      <c r="C109" s="3090"/>
      <c r="D109" s="3091"/>
      <c r="E109" s="3092">
        <f t="shared" si="7"/>
        <v>0</v>
      </c>
      <c r="F109" s="3093"/>
      <c r="G109" s="3094">
        <f t="shared" si="8"/>
        <v>0</v>
      </c>
      <c r="H109" s="3095">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2">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308">
        <f t="shared" si="11"/>
        <v>0</v>
      </c>
      <c r="AW109" s="1308">
        <f t="shared" si="12"/>
        <v>0</v>
      </c>
      <c r="AX109" s="1308">
        <f t="shared" si="13"/>
        <v>0</v>
      </c>
      <c r="AY109" s="3137">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4">
        <f t="shared" si="35"/>
        <v>0</v>
      </c>
    </row>
    <row r="110" spans="1:72">
      <c r="A110" s="3089"/>
      <c r="B110" s="3089"/>
      <c r="C110" s="3089"/>
      <c r="D110" s="3091"/>
      <c r="E110" s="3092">
        <f t="shared" si="7"/>
        <v>0</v>
      </c>
      <c r="F110" s="3145"/>
      <c r="G110" s="3094">
        <f t="shared" ref="G110:G141" si="36">H110+AC110+AT110</f>
        <v>0</v>
      </c>
      <c r="H110" s="3095">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2">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308">
        <f t="shared" si="11"/>
        <v>0</v>
      </c>
      <c r="AW110" s="1308">
        <f t="shared" si="12"/>
        <v>0</v>
      </c>
      <c r="AX110" s="1308">
        <f t="shared" si="13"/>
        <v>0</v>
      </c>
      <c r="AY110" s="3137">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4">
        <f t="shared" ref="BT110:BT141" si="60">IF($D110="是",AR110-AS110,0)</f>
        <v>0</v>
      </c>
    </row>
    <row r="111" spans="1:72">
      <c r="A111" s="3089"/>
      <c r="B111" s="3089"/>
      <c r="C111" s="3089"/>
      <c r="D111" s="3091"/>
      <c r="E111" s="3092">
        <f t="shared" si="7"/>
        <v>0</v>
      </c>
      <c r="F111" s="3145"/>
      <c r="G111" s="3094">
        <f t="shared" si="36"/>
        <v>0</v>
      </c>
      <c r="H111" s="3095">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2">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308">
        <f t="shared" si="11"/>
        <v>0</v>
      </c>
      <c r="AW111" s="1308">
        <f t="shared" si="12"/>
        <v>0</v>
      </c>
      <c r="AX111" s="1308">
        <f t="shared" si="13"/>
        <v>0</v>
      </c>
      <c r="AY111" s="3137">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4">
        <f t="shared" si="60"/>
        <v>0</v>
      </c>
    </row>
    <row r="112" spans="1:72">
      <c r="A112" s="3089"/>
      <c r="B112" s="3089"/>
      <c r="C112" s="3089"/>
      <c r="D112" s="3091"/>
      <c r="E112" s="3092">
        <f t="shared" si="7"/>
        <v>0</v>
      </c>
      <c r="F112" s="3145"/>
      <c r="G112" s="3094">
        <f t="shared" si="36"/>
        <v>0</v>
      </c>
      <c r="H112" s="3095">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2">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308">
        <f t="shared" si="11"/>
        <v>0</v>
      </c>
      <c r="AW112" s="1308">
        <f t="shared" si="12"/>
        <v>0</v>
      </c>
      <c r="AX112" s="1308">
        <f t="shared" si="13"/>
        <v>0</v>
      </c>
      <c r="AY112" s="3137">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4">
        <f t="shared" si="60"/>
        <v>0</v>
      </c>
    </row>
    <row r="113" spans="1:72">
      <c r="A113" s="3089"/>
      <c r="B113" s="3090"/>
      <c r="C113" s="3090"/>
      <c r="D113" s="3091"/>
      <c r="E113" s="3092">
        <f t="shared" ref="E113:E144" si="61">IF($C$3="是",ROUND($A$3*G113/$B$3,2),ROUND($A$3*(G113-AT113)/$B$3,2))</f>
        <v>0</v>
      </c>
      <c r="F113" s="3093"/>
      <c r="G113" s="3094">
        <f t="shared" si="36"/>
        <v>0</v>
      </c>
      <c r="H113" s="3095">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2">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308">
        <f t="shared" ref="AV113:AV144" si="62">A113</f>
        <v>0</v>
      </c>
      <c r="AW113" s="1308">
        <f t="shared" ref="AW113:AW144" si="63">B113</f>
        <v>0</v>
      </c>
      <c r="AX113" s="1308">
        <f t="shared" ref="AX113:AX144" si="64">C113</f>
        <v>0</v>
      </c>
      <c r="AY113" s="3137">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4">
        <f t="shared" si="60"/>
        <v>0</v>
      </c>
    </row>
    <row r="114" spans="1:72">
      <c r="A114" s="3089"/>
      <c r="B114" s="3090"/>
      <c r="C114" s="3090"/>
      <c r="D114" s="3091"/>
      <c r="E114" s="3092">
        <f t="shared" si="61"/>
        <v>0</v>
      </c>
      <c r="F114" s="3093"/>
      <c r="G114" s="3094">
        <f t="shared" si="36"/>
        <v>0</v>
      </c>
      <c r="H114" s="3095">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2">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308">
        <f t="shared" si="62"/>
        <v>0</v>
      </c>
      <c r="AW114" s="1308">
        <f t="shared" si="63"/>
        <v>0</v>
      </c>
      <c r="AX114" s="1308">
        <f t="shared" si="64"/>
        <v>0</v>
      </c>
      <c r="AY114" s="3137">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4">
        <f t="shared" si="60"/>
        <v>0</v>
      </c>
    </row>
    <row r="115" spans="1:72">
      <c r="A115" s="3089"/>
      <c r="B115" s="3090"/>
      <c r="C115" s="3090"/>
      <c r="D115" s="3091"/>
      <c r="E115" s="3092">
        <f t="shared" si="61"/>
        <v>0</v>
      </c>
      <c r="F115" s="3093"/>
      <c r="G115" s="3094">
        <f t="shared" si="36"/>
        <v>0</v>
      </c>
      <c r="H115" s="3095">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2">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308">
        <f t="shared" si="62"/>
        <v>0</v>
      </c>
      <c r="AW115" s="1308">
        <f t="shared" si="63"/>
        <v>0</v>
      </c>
      <c r="AX115" s="1308">
        <f t="shared" si="64"/>
        <v>0</v>
      </c>
      <c r="AY115" s="3137">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4">
        <f t="shared" si="60"/>
        <v>0</v>
      </c>
    </row>
    <row r="116" spans="1:72">
      <c r="A116" s="3089"/>
      <c r="B116" s="3090"/>
      <c r="C116" s="3090"/>
      <c r="D116" s="3091"/>
      <c r="E116" s="3092">
        <f t="shared" si="61"/>
        <v>0</v>
      </c>
      <c r="F116" s="3093"/>
      <c r="G116" s="3094">
        <f t="shared" si="36"/>
        <v>0</v>
      </c>
      <c r="H116" s="3095">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2">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308">
        <f t="shared" si="62"/>
        <v>0</v>
      </c>
      <c r="AW116" s="1308">
        <f t="shared" si="63"/>
        <v>0</v>
      </c>
      <c r="AX116" s="1308">
        <f t="shared" si="64"/>
        <v>0</v>
      </c>
      <c r="AY116" s="3137">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4">
        <f t="shared" si="60"/>
        <v>0</v>
      </c>
    </row>
    <row r="117" spans="1:72">
      <c r="A117" s="3089"/>
      <c r="B117" s="3090"/>
      <c r="C117" s="3090"/>
      <c r="D117" s="3091"/>
      <c r="E117" s="3092">
        <f t="shared" si="61"/>
        <v>0</v>
      </c>
      <c r="F117" s="3093"/>
      <c r="G117" s="3094">
        <f t="shared" si="36"/>
        <v>0</v>
      </c>
      <c r="H117" s="3095">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2">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308">
        <f t="shared" si="62"/>
        <v>0</v>
      </c>
      <c r="AW117" s="1308">
        <f t="shared" si="63"/>
        <v>0</v>
      </c>
      <c r="AX117" s="1308">
        <f t="shared" si="64"/>
        <v>0</v>
      </c>
      <c r="AY117" s="3137">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4">
        <f t="shared" si="60"/>
        <v>0</v>
      </c>
    </row>
    <row r="118" spans="1:72">
      <c r="A118" s="3089"/>
      <c r="B118" s="3090"/>
      <c r="C118" s="3090"/>
      <c r="D118" s="3091"/>
      <c r="E118" s="3092">
        <f t="shared" si="61"/>
        <v>0</v>
      </c>
      <c r="F118" s="3093"/>
      <c r="G118" s="3094">
        <f t="shared" si="36"/>
        <v>0</v>
      </c>
      <c r="H118" s="3095">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2">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308">
        <f t="shared" si="62"/>
        <v>0</v>
      </c>
      <c r="AW118" s="1308">
        <f t="shared" si="63"/>
        <v>0</v>
      </c>
      <c r="AX118" s="1308">
        <f t="shared" si="64"/>
        <v>0</v>
      </c>
      <c r="AY118" s="3137">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4">
        <f t="shared" si="60"/>
        <v>0</v>
      </c>
    </row>
    <row r="119" spans="1:72">
      <c r="A119" s="3089"/>
      <c r="B119" s="3090"/>
      <c r="C119" s="3090"/>
      <c r="D119" s="3091"/>
      <c r="E119" s="3092">
        <f t="shared" si="61"/>
        <v>0</v>
      </c>
      <c r="F119" s="3093"/>
      <c r="G119" s="3094">
        <f t="shared" si="36"/>
        <v>0</v>
      </c>
      <c r="H119" s="3095">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2">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308">
        <f t="shared" si="62"/>
        <v>0</v>
      </c>
      <c r="AW119" s="1308">
        <f t="shared" si="63"/>
        <v>0</v>
      </c>
      <c r="AX119" s="1308">
        <f t="shared" si="64"/>
        <v>0</v>
      </c>
      <c r="AY119" s="3137">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4">
        <f t="shared" si="60"/>
        <v>0</v>
      </c>
    </row>
    <row r="120" spans="1:72">
      <c r="A120" s="3089"/>
      <c r="B120" s="3090"/>
      <c r="C120" s="3090"/>
      <c r="D120" s="3091"/>
      <c r="E120" s="3092">
        <f t="shared" si="61"/>
        <v>0</v>
      </c>
      <c r="F120" s="3093"/>
      <c r="G120" s="3094">
        <f t="shared" si="36"/>
        <v>0</v>
      </c>
      <c r="H120" s="3095">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2">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308">
        <f t="shared" si="62"/>
        <v>0</v>
      </c>
      <c r="AW120" s="1308">
        <f t="shared" si="63"/>
        <v>0</v>
      </c>
      <c r="AX120" s="1308">
        <f t="shared" si="64"/>
        <v>0</v>
      </c>
      <c r="AY120" s="3137">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4">
        <f t="shared" si="60"/>
        <v>0</v>
      </c>
    </row>
    <row r="121" spans="1:72">
      <c r="A121" s="3089"/>
      <c r="B121" s="3090"/>
      <c r="C121" s="3090"/>
      <c r="D121" s="3091"/>
      <c r="E121" s="3092">
        <f t="shared" si="61"/>
        <v>0</v>
      </c>
      <c r="F121" s="3093"/>
      <c r="G121" s="3094">
        <f t="shared" si="36"/>
        <v>0</v>
      </c>
      <c r="H121" s="3095">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2">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308">
        <f t="shared" si="62"/>
        <v>0</v>
      </c>
      <c r="AW121" s="1308">
        <f t="shared" si="63"/>
        <v>0</v>
      </c>
      <c r="AX121" s="1308">
        <f t="shared" si="64"/>
        <v>0</v>
      </c>
      <c r="AY121" s="3137">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4">
        <f t="shared" si="60"/>
        <v>0</v>
      </c>
    </row>
    <row r="122" spans="1:72">
      <c r="A122" s="3089"/>
      <c r="B122" s="3090"/>
      <c r="C122" s="3090"/>
      <c r="D122" s="3091"/>
      <c r="E122" s="3092">
        <f t="shared" si="61"/>
        <v>0</v>
      </c>
      <c r="F122" s="3093"/>
      <c r="G122" s="3094">
        <f t="shared" si="36"/>
        <v>0</v>
      </c>
      <c r="H122" s="3095">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2">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308">
        <f t="shared" si="62"/>
        <v>0</v>
      </c>
      <c r="AW122" s="1308">
        <f t="shared" si="63"/>
        <v>0</v>
      </c>
      <c r="AX122" s="1308">
        <f t="shared" si="64"/>
        <v>0</v>
      </c>
      <c r="AY122" s="3137">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4">
        <f t="shared" si="60"/>
        <v>0</v>
      </c>
    </row>
    <row r="123" spans="1:72">
      <c r="A123" s="3089"/>
      <c r="B123" s="3090"/>
      <c r="C123" s="3090"/>
      <c r="D123" s="3091"/>
      <c r="E123" s="3092">
        <f t="shared" si="61"/>
        <v>0</v>
      </c>
      <c r="F123" s="3093"/>
      <c r="G123" s="3094">
        <f t="shared" si="36"/>
        <v>0</v>
      </c>
      <c r="H123" s="3095">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2">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308">
        <f t="shared" si="62"/>
        <v>0</v>
      </c>
      <c r="AW123" s="1308">
        <f t="shared" si="63"/>
        <v>0</v>
      </c>
      <c r="AX123" s="1308">
        <f t="shared" si="64"/>
        <v>0</v>
      </c>
      <c r="AY123" s="3137">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4">
        <f t="shared" si="60"/>
        <v>0</v>
      </c>
    </row>
    <row r="124" spans="1:72">
      <c r="A124" s="3089"/>
      <c r="B124" s="3090"/>
      <c r="C124" s="3090"/>
      <c r="D124" s="3091"/>
      <c r="E124" s="3092">
        <f t="shared" si="61"/>
        <v>0</v>
      </c>
      <c r="F124" s="3093"/>
      <c r="G124" s="3094">
        <f t="shared" si="36"/>
        <v>0</v>
      </c>
      <c r="H124" s="3095">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2">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308">
        <f t="shared" si="62"/>
        <v>0</v>
      </c>
      <c r="AW124" s="1308">
        <f t="shared" si="63"/>
        <v>0</v>
      </c>
      <c r="AX124" s="1308">
        <f t="shared" si="64"/>
        <v>0</v>
      </c>
      <c r="AY124" s="3137">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4">
        <f t="shared" si="60"/>
        <v>0</v>
      </c>
    </row>
    <row r="125" spans="1:72">
      <c r="A125" s="3089"/>
      <c r="B125" s="3090"/>
      <c r="C125" s="3090"/>
      <c r="D125" s="3091"/>
      <c r="E125" s="3092">
        <f t="shared" si="61"/>
        <v>0</v>
      </c>
      <c r="F125" s="3093"/>
      <c r="G125" s="3094">
        <f t="shared" si="36"/>
        <v>0</v>
      </c>
      <c r="H125" s="3095">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2">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308">
        <f t="shared" si="62"/>
        <v>0</v>
      </c>
      <c r="AW125" s="1308">
        <f t="shared" si="63"/>
        <v>0</v>
      </c>
      <c r="AX125" s="1308">
        <f t="shared" si="64"/>
        <v>0</v>
      </c>
      <c r="AY125" s="3137">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4">
        <f t="shared" si="60"/>
        <v>0</v>
      </c>
    </row>
    <row r="126" spans="1:72">
      <c r="A126" s="3089"/>
      <c r="B126" s="3090"/>
      <c r="C126" s="3090"/>
      <c r="D126" s="3091"/>
      <c r="E126" s="3092">
        <f t="shared" si="61"/>
        <v>0</v>
      </c>
      <c r="F126" s="3093"/>
      <c r="G126" s="3094">
        <f t="shared" si="36"/>
        <v>0</v>
      </c>
      <c r="H126" s="3095">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2">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308">
        <f t="shared" si="62"/>
        <v>0</v>
      </c>
      <c r="AW126" s="1308">
        <f t="shared" si="63"/>
        <v>0</v>
      </c>
      <c r="AX126" s="1308">
        <f t="shared" si="64"/>
        <v>0</v>
      </c>
      <c r="AY126" s="3137">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4">
        <f t="shared" si="60"/>
        <v>0</v>
      </c>
    </row>
    <row r="127" spans="1:72">
      <c r="A127" s="3089"/>
      <c r="B127" s="3090"/>
      <c r="C127" s="3090"/>
      <c r="D127" s="3091"/>
      <c r="E127" s="3092">
        <f t="shared" si="61"/>
        <v>0</v>
      </c>
      <c r="F127" s="3093"/>
      <c r="G127" s="3094">
        <f t="shared" si="36"/>
        <v>0</v>
      </c>
      <c r="H127" s="3095">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2">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308">
        <f t="shared" si="62"/>
        <v>0</v>
      </c>
      <c r="AW127" s="1308">
        <f t="shared" si="63"/>
        <v>0</v>
      </c>
      <c r="AX127" s="1308">
        <f t="shared" si="64"/>
        <v>0</v>
      </c>
      <c r="AY127" s="3137">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4">
        <f t="shared" si="60"/>
        <v>0</v>
      </c>
    </row>
    <row r="128" spans="1:72">
      <c r="A128" s="3089"/>
      <c r="B128" s="3090"/>
      <c r="C128" s="3090"/>
      <c r="D128" s="3091"/>
      <c r="E128" s="3092">
        <f t="shared" si="61"/>
        <v>0</v>
      </c>
      <c r="F128" s="3093"/>
      <c r="G128" s="3094">
        <f t="shared" si="36"/>
        <v>0</v>
      </c>
      <c r="H128" s="3095">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2">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308">
        <f t="shared" si="62"/>
        <v>0</v>
      </c>
      <c r="AW128" s="1308">
        <f t="shared" si="63"/>
        <v>0</v>
      </c>
      <c r="AX128" s="1308">
        <f t="shared" si="64"/>
        <v>0</v>
      </c>
      <c r="AY128" s="3137">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4">
        <f t="shared" si="60"/>
        <v>0</v>
      </c>
    </row>
    <row r="129" spans="1:72">
      <c r="A129" s="3089"/>
      <c r="B129" s="3090"/>
      <c r="C129" s="3090"/>
      <c r="D129" s="3091"/>
      <c r="E129" s="3092">
        <f t="shared" si="61"/>
        <v>0</v>
      </c>
      <c r="F129" s="3093"/>
      <c r="G129" s="3094">
        <f t="shared" si="36"/>
        <v>0</v>
      </c>
      <c r="H129" s="3095">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2">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308">
        <f t="shared" si="62"/>
        <v>0</v>
      </c>
      <c r="AW129" s="1308">
        <f t="shared" si="63"/>
        <v>0</v>
      </c>
      <c r="AX129" s="1308">
        <f t="shared" si="64"/>
        <v>0</v>
      </c>
      <c r="AY129" s="3137">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4">
        <f t="shared" si="60"/>
        <v>0</v>
      </c>
    </row>
    <row r="130" spans="1:72">
      <c r="A130" s="3089"/>
      <c r="B130" s="3090"/>
      <c r="C130" s="3090"/>
      <c r="D130" s="3091"/>
      <c r="E130" s="3092">
        <f t="shared" si="61"/>
        <v>0</v>
      </c>
      <c r="F130" s="3093"/>
      <c r="G130" s="3094">
        <f t="shared" si="36"/>
        <v>0</v>
      </c>
      <c r="H130" s="3095">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2">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308">
        <f t="shared" si="62"/>
        <v>0</v>
      </c>
      <c r="AW130" s="1308">
        <f t="shared" si="63"/>
        <v>0</v>
      </c>
      <c r="AX130" s="1308">
        <f t="shared" si="64"/>
        <v>0</v>
      </c>
      <c r="AY130" s="3137">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4">
        <f t="shared" si="60"/>
        <v>0</v>
      </c>
    </row>
    <row r="131" spans="1:72">
      <c r="A131" s="3089"/>
      <c r="B131" s="3090"/>
      <c r="C131" s="3090"/>
      <c r="D131" s="3091"/>
      <c r="E131" s="3092">
        <f t="shared" si="61"/>
        <v>0</v>
      </c>
      <c r="F131" s="3093"/>
      <c r="G131" s="3094">
        <f t="shared" si="36"/>
        <v>0</v>
      </c>
      <c r="H131" s="3095">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2">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308">
        <f t="shared" si="62"/>
        <v>0</v>
      </c>
      <c r="AW131" s="1308">
        <f t="shared" si="63"/>
        <v>0</v>
      </c>
      <c r="AX131" s="1308">
        <f t="shared" si="64"/>
        <v>0</v>
      </c>
      <c r="AY131" s="3137">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4">
        <f t="shared" si="60"/>
        <v>0</v>
      </c>
    </row>
    <row r="132" spans="1:72">
      <c r="A132" s="3089"/>
      <c r="B132" s="3090"/>
      <c r="C132" s="3090"/>
      <c r="D132" s="3091"/>
      <c r="E132" s="3092">
        <f t="shared" si="61"/>
        <v>0</v>
      </c>
      <c r="F132" s="3093"/>
      <c r="G132" s="3094">
        <f t="shared" si="36"/>
        <v>0</v>
      </c>
      <c r="H132" s="3095">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2">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308">
        <f t="shared" si="62"/>
        <v>0</v>
      </c>
      <c r="AW132" s="1308">
        <f t="shared" si="63"/>
        <v>0</v>
      </c>
      <c r="AX132" s="1308">
        <f t="shared" si="64"/>
        <v>0</v>
      </c>
      <c r="AY132" s="3137">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4">
        <f t="shared" si="60"/>
        <v>0</v>
      </c>
    </row>
    <row r="133" spans="1:72">
      <c r="A133" s="3089"/>
      <c r="B133" s="3090"/>
      <c r="C133" s="3090"/>
      <c r="D133" s="3091"/>
      <c r="E133" s="3092">
        <f t="shared" si="61"/>
        <v>0</v>
      </c>
      <c r="F133" s="3093"/>
      <c r="G133" s="3094">
        <f t="shared" si="36"/>
        <v>0</v>
      </c>
      <c r="H133" s="3095">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2">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308">
        <f t="shared" si="62"/>
        <v>0</v>
      </c>
      <c r="AW133" s="1308">
        <f t="shared" si="63"/>
        <v>0</v>
      </c>
      <c r="AX133" s="1308">
        <f t="shared" si="64"/>
        <v>0</v>
      </c>
      <c r="AY133" s="3137">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4">
        <f t="shared" si="60"/>
        <v>0</v>
      </c>
    </row>
    <row r="134" spans="1:72">
      <c r="A134" s="3089"/>
      <c r="B134" s="3090"/>
      <c r="C134" s="3090"/>
      <c r="D134" s="3091"/>
      <c r="E134" s="3092">
        <f t="shared" si="61"/>
        <v>0</v>
      </c>
      <c r="F134" s="3093"/>
      <c r="G134" s="3094">
        <f t="shared" si="36"/>
        <v>0</v>
      </c>
      <c r="H134" s="3095">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2">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308">
        <f t="shared" si="62"/>
        <v>0</v>
      </c>
      <c r="AW134" s="1308">
        <f t="shared" si="63"/>
        <v>0</v>
      </c>
      <c r="AX134" s="1308">
        <f t="shared" si="64"/>
        <v>0</v>
      </c>
      <c r="AY134" s="3137">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4">
        <f t="shared" si="60"/>
        <v>0</v>
      </c>
    </row>
    <row r="135" spans="1:72">
      <c r="A135" s="3089"/>
      <c r="B135" s="3090"/>
      <c r="C135" s="3090"/>
      <c r="D135" s="3091"/>
      <c r="E135" s="3092">
        <f t="shared" si="61"/>
        <v>0</v>
      </c>
      <c r="F135" s="3093"/>
      <c r="G135" s="3094">
        <f t="shared" si="36"/>
        <v>0</v>
      </c>
      <c r="H135" s="3095">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2">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308">
        <f t="shared" si="62"/>
        <v>0</v>
      </c>
      <c r="AW135" s="1308">
        <f t="shared" si="63"/>
        <v>0</v>
      </c>
      <c r="AX135" s="1308">
        <f t="shared" si="64"/>
        <v>0</v>
      </c>
      <c r="AY135" s="3137">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4">
        <f t="shared" si="60"/>
        <v>0</v>
      </c>
    </row>
    <row r="136" spans="1:72">
      <c r="A136" s="3089"/>
      <c r="B136" s="3090"/>
      <c r="C136" s="3090"/>
      <c r="D136" s="3091"/>
      <c r="E136" s="3092">
        <f t="shared" si="61"/>
        <v>0</v>
      </c>
      <c r="F136" s="3093"/>
      <c r="G136" s="3094">
        <f t="shared" si="36"/>
        <v>0</v>
      </c>
      <c r="H136" s="3095">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2">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308">
        <f t="shared" si="62"/>
        <v>0</v>
      </c>
      <c r="AW136" s="1308">
        <f t="shared" si="63"/>
        <v>0</v>
      </c>
      <c r="AX136" s="1308">
        <f t="shared" si="64"/>
        <v>0</v>
      </c>
      <c r="AY136" s="3137">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4">
        <f t="shared" si="60"/>
        <v>0</v>
      </c>
    </row>
    <row r="137" spans="1:72">
      <c r="A137" s="3089"/>
      <c r="B137" s="3090"/>
      <c r="C137" s="3090"/>
      <c r="D137" s="3091"/>
      <c r="E137" s="3092">
        <f t="shared" si="61"/>
        <v>0</v>
      </c>
      <c r="F137" s="3093"/>
      <c r="G137" s="3094">
        <f t="shared" si="36"/>
        <v>0</v>
      </c>
      <c r="H137" s="3095">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2">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308">
        <f t="shared" si="62"/>
        <v>0</v>
      </c>
      <c r="AW137" s="1308">
        <f t="shared" si="63"/>
        <v>0</v>
      </c>
      <c r="AX137" s="1308">
        <f t="shared" si="64"/>
        <v>0</v>
      </c>
      <c r="AY137" s="3137">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4">
        <f t="shared" si="60"/>
        <v>0</v>
      </c>
    </row>
    <row r="138" spans="1:72">
      <c r="A138" s="3089"/>
      <c r="B138" s="3090"/>
      <c r="C138" s="3090"/>
      <c r="D138" s="3091"/>
      <c r="E138" s="3092">
        <f t="shared" si="61"/>
        <v>0</v>
      </c>
      <c r="F138" s="3093"/>
      <c r="G138" s="3094">
        <f t="shared" si="36"/>
        <v>0</v>
      </c>
      <c r="H138" s="3095">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2">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308">
        <f t="shared" si="62"/>
        <v>0</v>
      </c>
      <c r="AW138" s="1308">
        <f t="shared" si="63"/>
        <v>0</v>
      </c>
      <c r="AX138" s="1308">
        <f t="shared" si="64"/>
        <v>0</v>
      </c>
      <c r="AY138" s="3137">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4">
        <f t="shared" si="60"/>
        <v>0</v>
      </c>
    </row>
    <row r="139" spans="1:72">
      <c r="A139" s="3089"/>
      <c r="B139" s="3090"/>
      <c r="C139" s="3090"/>
      <c r="D139" s="3091"/>
      <c r="E139" s="3092">
        <f t="shared" si="61"/>
        <v>0</v>
      </c>
      <c r="F139" s="3093"/>
      <c r="G139" s="3094">
        <f t="shared" si="36"/>
        <v>0</v>
      </c>
      <c r="H139" s="3095">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2">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308">
        <f t="shared" si="62"/>
        <v>0</v>
      </c>
      <c r="AW139" s="1308">
        <f t="shared" si="63"/>
        <v>0</v>
      </c>
      <c r="AX139" s="1308">
        <f t="shared" si="64"/>
        <v>0</v>
      </c>
      <c r="AY139" s="3137">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4">
        <f t="shared" si="60"/>
        <v>0</v>
      </c>
    </row>
    <row r="140" spans="1:72">
      <c r="A140" s="3089"/>
      <c r="B140" s="3090"/>
      <c r="C140" s="3090"/>
      <c r="D140" s="3091"/>
      <c r="E140" s="3092">
        <f t="shared" si="61"/>
        <v>0</v>
      </c>
      <c r="F140" s="3093"/>
      <c r="G140" s="3094">
        <f t="shared" si="36"/>
        <v>0</v>
      </c>
      <c r="H140" s="3095">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2">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308">
        <f t="shared" si="62"/>
        <v>0</v>
      </c>
      <c r="AW140" s="1308">
        <f t="shared" si="63"/>
        <v>0</v>
      </c>
      <c r="AX140" s="1308">
        <f t="shared" si="64"/>
        <v>0</v>
      </c>
      <c r="AY140" s="3137">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4">
        <f t="shared" si="60"/>
        <v>0</v>
      </c>
    </row>
    <row r="141" spans="1:72">
      <c r="A141" s="3089"/>
      <c r="B141" s="3090"/>
      <c r="C141" s="3090"/>
      <c r="D141" s="3091"/>
      <c r="E141" s="3092">
        <f t="shared" si="61"/>
        <v>0</v>
      </c>
      <c r="F141" s="3093"/>
      <c r="G141" s="3094">
        <f t="shared" si="36"/>
        <v>0</v>
      </c>
      <c r="H141" s="3095">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2">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308">
        <f t="shared" si="62"/>
        <v>0</v>
      </c>
      <c r="AW141" s="1308">
        <f t="shared" si="63"/>
        <v>0</v>
      </c>
      <c r="AX141" s="1308">
        <f t="shared" si="64"/>
        <v>0</v>
      </c>
      <c r="AY141" s="3137">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4">
        <f t="shared" si="60"/>
        <v>0</v>
      </c>
    </row>
    <row r="142" spans="1:72">
      <c r="A142" s="3089"/>
      <c r="B142" s="3090"/>
      <c r="C142" s="3090"/>
      <c r="D142" s="3091"/>
      <c r="E142" s="3092">
        <f t="shared" si="61"/>
        <v>0</v>
      </c>
      <c r="F142" s="3093"/>
      <c r="G142" s="3094">
        <f t="shared" ref="G142:G173" si="65">H142+AC142+AT142</f>
        <v>0</v>
      </c>
      <c r="H142" s="3095">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2">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308">
        <f t="shared" si="62"/>
        <v>0</v>
      </c>
      <c r="AW142" s="1308">
        <f t="shared" si="63"/>
        <v>0</v>
      </c>
      <c r="AX142" s="1308">
        <f t="shared" si="64"/>
        <v>0</v>
      </c>
      <c r="AY142" s="3137">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4">
        <f t="shared" ref="BT142:BT173" si="89">IF($D142="是",AR142-AS142,0)</f>
        <v>0</v>
      </c>
    </row>
    <row r="143" spans="1:72">
      <c r="A143" s="3089"/>
      <c r="B143" s="3090"/>
      <c r="C143" s="3090"/>
      <c r="D143" s="3091"/>
      <c r="E143" s="3092">
        <f t="shared" si="61"/>
        <v>0</v>
      </c>
      <c r="F143" s="3093"/>
      <c r="G143" s="3094">
        <f t="shared" si="65"/>
        <v>0</v>
      </c>
      <c r="H143" s="3095">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2">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308">
        <f t="shared" si="62"/>
        <v>0</v>
      </c>
      <c r="AW143" s="1308">
        <f t="shared" si="63"/>
        <v>0</v>
      </c>
      <c r="AX143" s="1308">
        <f t="shared" si="64"/>
        <v>0</v>
      </c>
      <c r="AY143" s="3137">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4">
        <f t="shared" si="89"/>
        <v>0</v>
      </c>
    </row>
    <row r="144" spans="1:72">
      <c r="A144" s="3089"/>
      <c r="B144" s="3090"/>
      <c r="C144" s="3090"/>
      <c r="D144" s="3091"/>
      <c r="E144" s="3092">
        <f t="shared" si="61"/>
        <v>0</v>
      </c>
      <c r="F144" s="3093"/>
      <c r="G144" s="3094">
        <f t="shared" si="65"/>
        <v>0</v>
      </c>
      <c r="H144" s="3095">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2">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308">
        <f t="shared" si="62"/>
        <v>0</v>
      </c>
      <c r="AW144" s="1308">
        <f t="shared" si="63"/>
        <v>0</v>
      </c>
      <c r="AX144" s="1308">
        <f t="shared" si="64"/>
        <v>0</v>
      </c>
      <c r="AY144" s="3137">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4">
        <f t="shared" si="89"/>
        <v>0</v>
      </c>
    </row>
    <row r="145" spans="1:72">
      <c r="A145" s="3089"/>
      <c r="B145" s="3090"/>
      <c r="C145" s="3090"/>
      <c r="D145" s="3091"/>
      <c r="E145" s="3092">
        <f t="shared" ref="E145:E176" si="90">IF($C$3="是",ROUND($A$3*G145/$B$3,2),ROUND($A$3*(G145-AT145)/$B$3,2))</f>
        <v>0</v>
      </c>
      <c r="F145" s="3093"/>
      <c r="G145" s="3094">
        <f t="shared" si="65"/>
        <v>0</v>
      </c>
      <c r="H145" s="3095">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2">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308">
        <f t="shared" ref="AV145:AV176" si="91">A145</f>
        <v>0</v>
      </c>
      <c r="AW145" s="1308">
        <f t="shared" ref="AW145:AW176" si="92">B145</f>
        <v>0</v>
      </c>
      <c r="AX145" s="1308">
        <f t="shared" ref="AX145:AX176" si="93">C145</f>
        <v>0</v>
      </c>
      <c r="AY145" s="3137">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4">
        <f t="shared" si="89"/>
        <v>0</v>
      </c>
    </row>
    <row r="146" spans="1:72">
      <c r="A146" s="3089"/>
      <c r="B146" s="3090"/>
      <c r="C146" s="3090"/>
      <c r="D146" s="3091"/>
      <c r="E146" s="3092">
        <f t="shared" si="90"/>
        <v>0</v>
      </c>
      <c r="F146" s="3093"/>
      <c r="G146" s="3094">
        <f t="shared" si="65"/>
        <v>0</v>
      </c>
      <c r="H146" s="3095">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2">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308">
        <f t="shared" si="91"/>
        <v>0</v>
      </c>
      <c r="AW146" s="1308">
        <f t="shared" si="92"/>
        <v>0</v>
      </c>
      <c r="AX146" s="1308">
        <f t="shared" si="93"/>
        <v>0</v>
      </c>
      <c r="AY146" s="3137">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4">
        <f t="shared" si="89"/>
        <v>0</v>
      </c>
    </row>
    <row r="147" spans="1:72">
      <c r="A147" s="3089"/>
      <c r="B147" s="3090"/>
      <c r="C147" s="3090"/>
      <c r="D147" s="3091"/>
      <c r="E147" s="3092">
        <f t="shared" si="90"/>
        <v>0</v>
      </c>
      <c r="F147" s="3093"/>
      <c r="G147" s="3094">
        <f t="shared" si="65"/>
        <v>0</v>
      </c>
      <c r="H147" s="3095">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2">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308">
        <f t="shared" si="91"/>
        <v>0</v>
      </c>
      <c r="AW147" s="1308">
        <f t="shared" si="92"/>
        <v>0</v>
      </c>
      <c r="AX147" s="1308">
        <f t="shared" si="93"/>
        <v>0</v>
      </c>
      <c r="AY147" s="3137">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4">
        <f t="shared" si="89"/>
        <v>0</v>
      </c>
    </row>
    <row r="148" spans="1:72">
      <c r="A148" s="3089"/>
      <c r="B148" s="3090"/>
      <c r="C148" s="3090"/>
      <c r="D148" s="3091"/>
      <c r="E148" s="3092">
        <f t="shared" si="90"/>
        <v>0</v>
      </c>
      <c r="F148" s="3093"/>
      <c r="G148" s="3094">
        <f t="shared" si="65"/>
        <v>0</v>
      </c>
      <c r="H148" s="3095">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2">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308">
        <f t="shared" si="91"/>
        <v>0</v>
      </c>
      <c r="AW148" s="1308">
        <f t="shared" si="92"/>
        <v>0</v>
      </c>
      <c r="AX148" s="1308">
        <f t="shared" si="93"/>
        <v>0</v>
      </c>
      <c r="AY148" s="3137">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4">
        <f t="shared" si="89"/>
        <v>0</v>
      </c>
    </row>
    <row r="149" spans="1:72">
      <c r="A149" s="3089"/>
      <c r="B149" s="3090"/>
      <c r="C149" s="3090"/>
      <c r="D149" s="3091"/>
      <c r="E149" s="3092">
        <f t="shared" si="90"/>
        <v>0</v>
      </c>
      <c r="F149" s="3093"/>
      <c r="G149" s="3094">
        <f t="shared" si="65"/>
        <v>0</v>
      </c>
      <c r="H149" s="3095">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2">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308">
        <f t="shared" si="91"/>
        <v>0</v>
      </c>
      <c r="AW149" s="1308">
        <f t="shared" si="92"/>
        <v>0</v>
      </c>
      <c r="AX149" s="1308">
        <f t="shared" si="93"/>
        <v>0</v>
      </c>
      <c r="AY149" s="3137">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4">
        <f t="shared" si="89"/>
        <v>0</v>
      </c>
    </row>
    <row r="150" spans="1:72">
      <c r="A150" s="3089"/>
      <c r="B150" s="3090"/>
      <c r="C150" s="3090"/>
      <c r="D150" s="3091"/>
      <c r="E150" s="3092">
        <f t="shared" si="90"/>
        <v>0</v>
      </c>
      <c r="F150" s="3093"/>
      <c r="G150" s="3094">
        <f t="shared" si="65"/>
        <v>0</v>
      </c>
      <c r="H150" s="3095">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2">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308">
        <f t="shared" si="91"/>
        <v>0</v>
      </c>
      <c r="AW150" s="1308">
        <f t="shared" si="92"/>
        <v>0</v>
      </c>
      <c r="AX150" s="1308">
        <f t="shared" si="93"/>
        <v>0</v>
      </c>
      <c r="AY150" s="3137">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4">
        <f t="shared" si="89"/>
        <v>0</v>
      </c>
    </row>
    <row r="151" spans="1:72">
      <c r="A151" s="3089"/>
      <c r="B151" s="3090"/>
      <c r="C151" s="3090"/>
      <c r="D151" s="3091"/>
      <c r="E151" s="3092">
        <f t="shared" si="90"/>
        <v>0</v>
      </c>
      <c r="F151" s="3093"/>
      <c r="G151" s="3094">
        <f t="shared" si="65"/>
        <v>0</v>
      </c>
      <c r="H151" s="3095">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2">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308">
        <f t="shared" si="91"/>
        <v>0</v>
      </c>
      <c r="AW151" s="1308">
        <f t="shared" si="92"/>
        <v>0</v>
      </c>
      <c r="AX151" s="1308">
        <f t="shared" si="93"/>
        <v>0</v>
      </c>
      <c r="AY151" s="3137">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4">
        <f t="shared" si="89"/>
        <v>0</v>
      </c>
    </row>
    <row r="152" spans="1:72">
      <c r="A152" s="3089"/>
      <c r="B152" s="3090"/>
      <c r="C152" s="3090"/>
      <c r="D152" s="3091"/>
      <c r="E152" s="3092">
        <f t="shared" si="90"/>
        <v>0</v>
      </c>
      <c r="F152" s="3093"/>
      <c r="G152" s="3094">
        <f t="shared" si="65"/>
        <v>0</v>
      </c>
      <c r="H152" s="3095">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2">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308">
        <f t="shared" si="91"/>
        <v>0</v>
      </c>
      <c r="AW152" s="1308">
        <f t="shared" si="92"/>
        <v>0</v>
      </c>
      <c r="AX152" s="1308">
        <f t="shared" si="93"/>
        <v>0</v>
      </c>
      <c r="AY152" s="3137">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4">
        <f t="shared" si="89"/>
        <v>0</v>
      </c>
    </row>
    <row r="153" spans="1:72">
      <c r="A153" s="3089"/>
      <c r="B153" s="3090"/>
      <c r="C153" s="3090"/>
      <c r="D153" s="3091"/>
      <c r="E153" s="3092">
        <f t="shared" si="90"/>
        <v>0</v>
      </c>
      <c r="F153" s="3093"/>
      <c r="G153" s="3094">
        <f t="shared" si="65"/>
        <v>0</v>
      </c>
      <c r="H153" s="3095">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2">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308">
        <f t="shared" si="91"/>
        <v>0</v>
      </c>
      <c r="AW153" s="1308">
        <f t="shared" si="92"/>
        <v>0</v>
      </c>
      <c r="AX153" s="1308">
        <f t="shared" si="93"/>
        <v>0</v>
      </c>
      <c r="AY153" s="3137">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4">
        <f t="shared" si="89"/>
        <v>0</v>
      </c>
    </row>
    <row r="154" spans="1:72">
      <c r="A154" s="3089"/>
      <c r="B154" s="3090"/>
      <c r="C154" s="3090"/>
      <c r="D154" s="3091"/>
      <c r="E154" s="3092">
        <f t="shared" si="90"/>
        <v>0</v>
      </c>
      <c r="F154" s="3093"/>
      <c r="G154" s="3094">
        <f t="shared" si="65"/>
        <v>0</v>
      </c>
      <c r="H154" s="3095">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2">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308">
        <f t="shared" si="91"/>
        <v>0</v>
      </c>
      <c r="AW154" s="1308">
        <f t="shared" si="92"/>
        <v>0</v>
      </c>
      <c r="AX154" s="1308">
        <f t="shared" si="93"/>
        <v>0</v>
      </c>
      <c r="AY154" s="3137">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4">
        <f t="shared" si="89"/>
        <v>0</v>
      </c>
    </row>
    <row r="155" spans="1:72">
      <c r="A155" s="3089"/>
      <c r="B155" s="3090"/>
      <c r="C155" s="3090"/>
      <c r="D155" s="3091"/>
      <c r="E155" s="3092">
        <f t="shared" si="90"/>
        <v>0</v>
      </c>
      <c r="F155" s="3093"/>
      <c r="G155" s="3094">
        <f t="shared" si="65"/>
        <v>0</v>
      </c>
      <c r="H155" s="3095">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2">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308">
        <f t="shared" si="91"/>
        <v>0</v>
      </c>
      <c r="AW155" s="1308">
        <f t="shared" si="92"/>
        <v>0</v>
      </c>
      <c r="AX155" s="1308">
        <f t="shared" si="93"/>
        <v>0</v>
      </c>
      <c r="AY155" s="3137">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4">
        <f t="shared" si="89"/>
        <v>0</v>
      </c>
    </row>
    <row r="156" spans="1:72">
      <c r="A156" s="3089"/>
      <c r="B156" s="3090"/>
      <c r="C156" s="3090"/>
      <c r="D156" s="3091"/>
      <c r="E156" s="3092">
        <f t="shared" si="90"/>
        <v>0</v>
      </c>
      <c r="F156" s="3093"/>
      <c r="G156" s="3094">
        <f t="shared" si="65"/>
        <v>0</v>
      </c>
      <c r="H156" s="3095">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2">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308">
        <f t="shared" si="91"/>
        <v>0</v>
      </c>
      <c r="AW156" s="1308">
        <f t="shared" si="92"/>
        <v>0</v>
      </c>
      <c r="AX156" s="1308">
        <f t="shared" si="93"/>
        <v>0</v>
      </c>
      <c r="AY156" s="3137">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4">
        <f t="shared" si="89"/>
        <v>0</v>
      </c>
    </row>
    <row r="157" spans="1:72">
      <c r="A157" s="3089"/>
      <c r="B157" s="3090"/>
      <c r="C157" s="3090"/>
      <c r="D157" s="3091"/>
      <c r="E157" s="3092">
        <f t="shared" si="90"/>
        <v>0</v>
      </c>
      <c r="F157" s="3093"/>
      <c r="G157" s="3094">
        <f t="shared" si="65"/>
        <v>0</v>
      </c>
      <c r="H157" s="3095">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2">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308">
        <f t="shared" si="91"/>
        <v>0</v>
      </c>
      <c r="AW157" s="1308">
        <f t="shared" si="92"/>
        <v>0</v>
      </c>
      <c r="AX157" s="1308">
        <f t="shared" si="93"/>
        <v>0</v>
      </c>
      <c r="AY157" s="3137">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4">
        <f t="shared" si="89"/>
        <v>0</v>
      </c>
    </row>
    <row r="158" spans="1:72">
      <c r="A158" s="3089"/>
      <c r="B158" s="3090"/>
      <c r="C158" s="3090"/>
      <c r="D158" s="3091"/>
      <c r="E158" s="3092">
        <f t="shared" si="90"/>
        <v>0</v>
      </c>
      <c r="F158" s="3093"/>
      <c r="G158" s="3094">
        <f t="shared" si="65"/>
        <v>0</v>
      </c>
      <c r="H158" s="3095">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2">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308">
        <f t="shared" si="91"/>
        <v>0</v>
      </c>
      <c r="AW158" s="1308">
        <f t="shared" si="92"/>
        <v>0</v>
      </c>
      <c r="AX158" s="1308">
        <f t="shared" si="93"/>
        <v>0</v>
      </c>
      <c r="AY158" s="3137">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4">
        <f t="shared" si="89"/>
        <v>0</v>
      </c>
    </row>
    <row r="159" spans="1:72">
      <c r="A159" s="3089"/>
      <c r="B159" s="3090"/>
      <c r="C159" s="3090"/>
      <c r="D159" s="3091"/>
      <c r="E159" s="3092">
        <f t="shared" si="90"/>
        <v>0</v>
      </c>
      <c r="F159" s="3093"/>
      <c r="G159" s="3094">
        <f t="shared" si="65"/>
        <v>0</v>
      </c>
      <c r="H159" s="3095">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2">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308">
        <f t="shared" si="91"/>
        <v>0</v>
      </c>
      <c r="AW159" s="1308">
        <f t="shared" si="92"/>
        <v>0</v>
      </c>
      <c r="AX159" s="1308">
        <f t="shared" si="93"/>
        <v>0</v>
      </c>
      <c r="AY159" s="3137">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4">
        <f t="shared" si="89"/>
        <v>0</v>
      </c>
    </row>
    <row r="160" spans="1:72">
      <c r="A160" s="3089"/>
      <c r="B160" s="3090"/>
      <c r="C160" s="3090"/>
      <c r="D160" s="3091"/>
      <c r="E160" s="3092">
        <f t="shared" si="90"/>
        <v>0</v>
      </c>
      <c r="F160" s="3093"/>
      <c r="G160" s="3094">
        <f t="shared" si="65"/>
        <v>0</v>
      </c>
      <c r="H160" s="3095">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2">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308">
        <f t="shared" si="91"/>
        <v>0</v>
      </c>
      <c r="AW160" s="1308">
        <f t="shared" si="92"/>
        <v>0</v>
      </c>
      <c r="AX160" s="1308">
        <f t="shared" si="93"/>
        <v>0</v>
      </c>
      <c r="AY160" s="3137">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4">
        <f t="shared" si="89"/>
        <v>0</v>
      </c>
    </row>
    <row r="161" spans="1:72">
      <c r="A161" s="3089"/>
      <c r="B161" s="3090"/>
      <c r="C161" s="3090"/>
      <c r="D161" s="3091"/>
      <c r="E161" s="3092">
        <f t="shared" si="90"/>
        <v>0</v>
      </c>
      <c r="F161" s="3093"/>
      <c r="G161" s="3094">
        <f t="shared" si="65"/>
        <v>0</v>
      </c>
      <c r="H161" s="3095">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2">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308">
        <f t="shared" si="91"/>
        <v>0</v>
      </c>
      <c r="AW161" s="1308">
        <f t="shared" si="92"/>
        <v>0</v>
      </c>
      <c r="AX161" s="1308">
        <f t="shared" si="93"/>
        <v>0</v>
      </c>
      <c r="AY161" s="3137">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4">
        <f t="shared" si="89"/>
        <v>0</v>
      </c>
    </row>
    <row r="162" spans="1:72">
      <c r="A162" s="3089"/>
      <c r="B162" s="3090"/>
      <c r="C162" s="3090"/>
      <c r="D162" s="3091"/>
      <c r="E162" s="3092">
        <f t="shared" si="90"/>
        <v>0</v>
      </c>
      <c r="F162" s="3093"/>
      <c r="G162" s="3094">
        <f t="shared" si="65"/>
        <v>0</v>
      </c>
      <c r="H162" s="3095">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2">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308">
        <f t="shared" si="91"/>
        <v>0</v>
      </c>
      <c r="AW162" s="1308">
        <f t="shared" si="92"/>
        <v>0</v>
      </c>
      <c r="AX162" s="1308">
        <f t="shared" si="93"/>
        <v>0</v>
      </c>
      <c r="AY162" s="3137">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4">
        <f t="shared" si="89"/>
        <v>0</v>
      </c>
    </row>
    <row r="163" spans="1:72">
      <c r="A163" s="3089"/>
      <c r="B163" s="3090"/>
      <c r="C163" s="3090"/>
      <c r="D163" s="3091"/>
      <c r="E163" s="3092">
        <f t="shared" si="90"/>
        <v>0</v>
      </c>
      <c r="F163" s="3093"/>
      <c r="G163" s="3094">
        <f t="shared" si="65"/>
        <v>0</v>
      </c>
      <c r="H163" s="3095">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2">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308">
        <f t="shared" si="91"/>
        <v>0</v>
      </c>
      <c r="AW163" s="1308">
        <f t="shared" si="92"/>
        <v>0</v>
      </c>
      <c r="AX163" s="1308">
        <f t="shared" si="93"/>
        <v>0</v>
      </c>
      <c r="AY163" s="3137">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4">
        <f t="shared" si="89"/>
        <v>0</v>
      </c>
    </row>
    <row r="164" spans="1:72">
      <c r="A164" s="3089"/>
      <c r="B164" s="3090"/>
      <c r="C164" s="3090"/>
      <c r="D164" s="3091"/>
      <c r="E164" s="3092">
        <f t="shared" si="90"/>
        <v>0</v>
      </c>
      <c r="F164" s="3093"/>
      <c r="G164" s="3094">
        <f t="shared" si="65"/>
        <v>0</v>
      </c>
      <c r="H164" s="3095">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2">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308">
        <f t="shared" si="91"/>
        <v>0</v>
      </c>
      <c r="AW164" s="1308">
        <f t="shared" si="92"/>
        <v>0</v>
      </c>
      <c r="AX164" s="1308">
        <f t="shared" si="93"/>
        <v>0</v>
      </c>
      <c r="AY164" s="3137">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4">
        <f t="shared" si="89"/>
        <v>0</v>
      </c>
    </row>
    <row r="165" spans="1:72">
      <c r="A165" s="3089"/>
      <c r="B165" s="3090"/>
      <c r="C165" s="3090"/>
      <c r="D165" s="3091"/>
      <c r="E165" s="3092">
        <f t="shared" si="90"/>
        <v>0</v>
      </c>
      <c r="F165" s="3093"/>
      <c r="G165" s="3094">
        <f t="shared" si="65"/>
        <v>0</v>
      </c>
      <c r="H165" s="3095">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2">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308">
        <f t="shared" si="91"/>
        <v>0</v>
      </c>
      <c r="AW165" s="1308">
        <f t="shared" si="92"/>
        <v>0</v>
      </c>
      <c r="AX165" s="1308">
        <f t="shared" si="93"/>
        <v>0</v>
      </c>
      <c r="AY165" s="3137">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4">
        <f t="shared" si="89"/>
        <v>0</v>
      </c>
    </row>
    <row r="166" spans="1:72">
      <c r="A166" s="3089"/>
      <c r="B166" s="3090"/>
      <c r="C166" s="3090"/>
      <c r="D166" s="3091"/>
      <c r="E166" s="3092">
        <f t="shared" si="90"/>
        <v>0</v>
      </c>
      <c r="F166" s="3093"/>
      <c r="G166" s="3094">
        <f t="shared" si="65"/>
        <v>0</v>
      </c>
      <c r="H166" s="3095">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2">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308">
        <f t="shared" si="91"/>
        <v>0</v>
      </c>
      <c r="AW166" s="1308">
        <f t="shared" si="92"/>
        <v>0</v>
      </c>
      <c r="AX166" s="1308">
        <f t="shared" si="93"/>
        <v>0</v>
      </c>
      <c r="AY166" s="3137">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4">
        <f t="shared" si="89"/>
        <v>0</v>
      </c>
    </row>
    <row r="167" spans="1:72">
      <c r="A167" s="3089"/>
      <c r="B167" s="3090"/>
      <c r="C167" s="3090"/>
      <c r="D167" s="3091"/>
      <c r="E167" s="3092">
        <f t="shared" si="90"/>
        <v>0</v>
      </c>
      <c r="F167" s="3093"/>
      <c r="G167" s="3094">
        <f t="shared" si="65"/>
        <v>0</v>
      </c>
      <c r="H167" s="3095">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2">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308">
        <f t="shared" si="91"/>
        <v>0</v>
      </c>
      <c r="AW167" s="1308">
        <f t="shared" si="92"/>
        <v>0</v>
      </c>
      <c r="AX167" s="1308">
        <f t="shared" si="93"/>
        <v>0</v>
      </c>
      <c r="AY167" s="3137">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4">
        <f t="shared" si="89"/>
        <v>0</v>
      </c>
    </row>
    <row r="168" spans="1:72">
      <c r="A168" s="3089"/>
      <c r="B168" s="3090"/>
      <c r="C168" s="3090"/>
      <c r="D168" s="3091"/>
      <c r="E168" s="3092">
        <f t="shared" si="90"/>
        <v>0</v>
      </c>
      <c r="F168" s="3093"/>
      <c r="G168" s="3094">
        <f t="shared" si="65"/>
        <v>0</v>
      </c>
      <c r="H168" s="3095">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2">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308">
        <f t="shared" si="91"/>
        <v>0</v>
      </c>
      <c r="AW168" s="1308">
        <f t="shared" si="92"/>
        <v>0</v>
      </c>
      <c r="AX168" s="1308">
        <f t="shared" si="93"/>
        <v>0</v>
      </c>
      <c r="AY168" s="3137">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4">
        <f t="shared" si="89"/>
        <v>0</v>
      </c>
    </row>
    <row r="169" spans="1:72">
      <c r="A169" s="3089"/>
      <c r="B169" s="3090"/>
      <c r="C169" s="3090"/>
      <c r="D169" s="3091"/>
      <c r="E169" s="3092">
        <f t="shared" si="90"/>
        <v>0</v>
      </c>
      <c r="F169" s="3093"/>
      <c r="G169" s="3094">
        <f t="shared" si="65"/>
        <v>0</v>
      </c>
      <c r="H169" s="3095">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2">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308">
        <f t="shared" si="91"/>
        <v>0</v>
      </c>
      <c r="AW169" s="1308">
        <f t="shared" si="92"/>
        <v>0</v>
      </c>
      <c r="AX169" s="1308">
        <f t="shared" si="93"/>
        <v>0</v>
      </c>
      <c r="AY169" s="3137">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4">
        <f t="shared" si="89"/>
        <v>0</v>
      </c>
    </row>
    <row r="170" spans="1:72">
      <c r="A170" s="3089"/>
      <c r="B170" s="3090"/>
      <c r="C170" s="3090"/>
      <c r="D170" s="3091"/>
      <c r="E170" s="3092">
        <f t="shared" si="90"/>
        <v>0</v>
      </c>
      <c r="F170" s="3093"/>
      <c r="G170" s="3094">
        <f t="shared" si="65"/>
        <v>0</v>
      </c>
      <c r="H170" s="3095">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2">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308">
        <f t="shared" si="91"/>
        <v>0</v>
      </c>
      <c r="AW170" s="1308">
        <f t="shared" si="92"/>
        <v>0</v>
      </c>
      <c r="AX170" s="1308">
        <f t="shared" si="93"/>
        <v>0</v>
      </c>
      <c r="AY170" s="3137">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4">
        <f t="shared" si="89"/>
        <v>0</v>
      </c>
    </row>
    <row r="171" spans="1:72">
      <c r="A171" s="3089"/>
      <c r="B171" s="3090"/>
      <c r="C171" s="3090"/>
      <c r="D171" s="3091"/>
      <c r="E171" s="3092">
        <f t="shared" si="90"/>
        <v>0</v>
      </c>
      <c r="F171" s="3093"/>
      <c r="G171" s="3094">
        <f t="shared" si="65"/>
        <v>0</v>
      </c>
      <c r="H171" s="3095">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2">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308">
        <f t="shared" si="91"/>
        <v>0</v>
      </c>
      <c r="AW171" s="1308">
        <f t="shared" si="92"/>
        <v>0</v>
      </c>
      <c r="AX171" s="1308">
        <f t="shared" si="93"/>
        <v>0</v>
      </c>
      <c r="AY171" s="3137">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4">
        <f t="shared" si="89"/>
        <v>0</v>
      </c>
    </row>
    <row r="172" spans="1:72">
      <c r="A172" s="3089"/>
      <c r="B172" s="3090"/>
      <c r="C172" s="3090"/>
      <c r="D172" s="3091"/>
      <c r="E172" s="3092">
        <f t="shared" si="90"/>
        <v>0</v>
      </c>
      <c r="F172" s="3093"/>
      <c r="G172" s="3094">
        <f t="shared" si="65"/>
        <v>0</v>
      </c>
      <c r="H172" s="3095">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2">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308">
        <f t="shared" si="91"/>
        <v>0</v>
      </c>
      <c r="AW172" s="1308">
        <f t="shared" si="92"/>
        <v>0</v>
      </c>
      <c r="AX172" s="1308">
        <f t="shared" si="93"/>
        <v>0</v>
      </c>
      <c r="AY172" s="3137">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4">
        <f t="shared" si="89"/>
        <v>0</v>
      </c>
    </row>
    <row r="173" spans="1:72">
      <c r="A173" s="3089"/>
      <c r="B173" s="3090"/>
      <c r="C173" s="3090"/>
      <c r="D173" s="3091"/>
      <c r="E173" s="3092">
        <f t="shared" si="90"/>
        <v>0</v>
      </c>
      <c r="F173" s="3093"/>
      <c r="G173" s="3094">
        <f t="shared" si="65"/>
        <v>0</v>
      </c>
      <c r="H173" s="3095">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2">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308">
        <f t="shared" si="91"/>
        <v>0</v>
      </c>
      <c r="AW173" s="1308">
        <f t="shared" si="92"/>
        <v>0</v>
      </c>
      <c r="AX173" s="1308">
        <f t="shared" si="93"/>
        <v>0</v>
      </c>
      <c r="AY173" s="3137">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4">
        <f t="shared" si="89"/>
        <v>0</v>
      </c>
    </row>
    <row r="174" spans="1:72">
      <c r="A174" s="3089"/>
      <c r="B174" s="3090"/>
      <c r="C174" s="3090"/>
      <c r="D174" s="3091"/>
      <c r="E174" s="3092">
        <f t="shared" si="90"/>
        <v>0</v>
      </c>
      <c r="F174" s="3093"/>
      <c r="G174" s="3094">
        <f t="shared" ref="G174:G207" si="94">H174+AC174+AT174</f>
        <v>0</v>
      </c>
      <c r="H174" s="3095">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2">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308">
        <f t="shared" si="91"/>
        <v>0</v>
      </c>
      <c r="AW174" s="1308">
        <f t="shared" si="92"/>
        <v>0</v>
      </c>
      <c r="AX174" s="1308">
        <f t="shared" si="93"/>
        <v>0</v>
      </c>
      <c r="AY174" s="3137">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4">
        <f t="shared" ref="BT174:BT207" si="118">IF($D174="是",AR174-AS174,0)</f>
        <v>0</v>
      </c>
    </row>
    <row r="175" spans="1:72">
      <c r="A175" s="3089"/>
      <c r="B175" s="3090"/>
      <c r="C175" s="3090"/>
      <c r="D175" s="3091"/>
      <c r="E175" s="3092">
        <f t="shared" si="90"/>
        <v>0</v>
      </c>
      <c r="F175" s="3093"/>
      <c r="G175" s="3094">
        <f t="shared" si="94"/>
        <v>0</v>
      </c>
      <c r="H175" s="3095">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2">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308">
        <f t="shared" si="91"/>
        <v>0</v>
      </c>
      <c r="AW175" s="1308">
        <f t="shared" si="92"/>
        <v>0</v>
      </c>
      <c r="AX175" s="1308">
        <f t="shared" si="93"/>
        <v>0</v>
      </c>
      <c r="AY175" s="3137">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4">
        <f t="shared" si="118"/>
        <v>0</v>
      </c>
    </row>
    <row r="176" spans="1:72">
      <c r="A176" s="3089"/>
      <c r="B176" s="3090"/>
      <c r="C176" s="3090"/>
      <c r="D176" s="3091"/>
      <c r="E176" s="3092">
        <f t="shared" si="90"/>
        <v>0</v>
      </c>
      <c r="F176" s="3093"/>
      <c r="G176" s="3094">
        <f t="shared" si="94"/>
        <v>0</v>
      </c>
      <c r="H176" s="3095">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2">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308">
        <f t="shared" si="91"/>
        <v>0</v>
      </c>
      <c r="AW176" s="1308">
        <f t="shared" si="92"/>
        <v>0</v>
      </c>
      <c r="AX176" s="1308">
        <f t="shared" si="93"/>
        <v>0</v>
      </c>
      <c r="AY176" s="3137">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4">
        <f t="shared" si="118"/>
        <v>0</v>
      </c>
    </row>
    <row r="177" spans="1:72">
      <c r="A177" s="3089"/>
      <c r="B177" s="3090"/>
      <c r="C177" s="3090"/>
      <c r="D177" s="3091"/>
      <c r="E177" s="3092">
        <f t="shared" ref="E177:E207" si="119">IF($C$3="是",ROUND($A$3*G177/$B$3,2),ROUND($A$3*(G177-AT177)/$B$3,2))</f>
        <v>0</v>
      </c>
      <c r="F177" s="3093"/>
      <c r="G177" s="3094">
        <f t="shared" si="94"/>
        <v>0</v>
      </c>
      <c r="H177" s="3095">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2">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308">
        <f t="shared" ref="AV177:AV207" si="120">A177</f>
        <v>0</v>
      </c>
      <c r="AW177" s="1308">
        <f t="shared" ref="AW177:AW207" si="121">B177</f>
        <v>0</v>
      </c>
      <c r="AX177" s="1308">
        <f t="shared" ref="AX177:AX207" si="122">C177</f>
        <v>0</v>
      </c>
      <c r="AY177" s="3137">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4">
        <f t="shared" si="118"/>
        <v>0</v>
      </c>
    </row>
    <row r="178" spans="1:72">
      <c r="A178" s="3089"/>
      <c r="B178" s="3090"/>
      <c r="C178" s="3090"/>
      <c r="D178" s="3091"/>
      <c r="E178" s="3092">
        <f t="shared" si="119"/>
        <v>0</v>
      </c>
      <c r="F178" s="3093"/>
      <c r="G178" s="3094">
        <f t="shared" si="94"/>
        <v>0</v>
      </c>
      <c r="H178" s="3095">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2">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308">
        <f t="shared" si="120"/>
        <v>0</v>
      </c>
      <c r="AW178" s="1308">
        <f t="shared" si="121"/>
        <v>0</v>
      </c>
      <c r="AX178" s="1308">
        <f t="shared" si="122"/>
        <v>0</v>
      </c>
      <c r="AY178" s="3137">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4">
        <f t="shared" si="118"/>
        <v>0</v>
      </c>
    </row>
    <row r="179" spans="1:72">
      <c r="A179" s="3089"/>
      <c r="B179" s="3090"/>
      <c r="C179" s="3090"/>
      <c r="D179" s="3091"/>
      <c r="E179" s="3092">
        <f t="shared" si="119"/>
        <v>0</v>
      </c>
      <c r="F179" s="3093"/>
      <c r="G179" s="3094">
        <f t="shared" si="94"/>
        <v>0</v>
      </c>
      <c r="H179" s="3095">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2">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308">
        <f t="shared" si="120"/>
        <v>0</v>
      </c>
      <c r="AW179" s="1308">
        <f t="shared" si="121"/>
        <v>0</v>
      </c>
      <c r="AX179" s="1308">
        <f t="shared" si="122"/>
        <v>0</v>
      </c>
      <c r="AY179" s="3137">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4">
        <f t="shared" si="118"/>
        <v>0</v>
      </c>
    </row>
    <row r="180" spans="1:72">
      <c r="A180" s="3089"/>
      <c r="B180" s="3090"/>
      <c r="C180" s="3090"/>
      <c r="D180" s="3091"/>
      <c r="E180" s="3092">
        <f t="shared" si="119"/>
        <v>0</v>
      </c>
      <c r="F180" s="3093"/>
      <c r="G180" s="3094">
        <f t="shared" si="94"/>
        <v>0</v>
      </c>
      <c r="H180" s="3095">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2">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308">
        <f t="shared" si="120"/>
        <v>0</v>
      </c>
      <c r="AW180" s="1308">
        <f t="shared" si="121"/>
        <v>0</v>
      </c>
      <c r="AX180" s="1308">
        <f t="shared" si="122"/>
        <v>0</v>
      </c>
      <c r="AY180" s="3137">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4">
        <f t="shared" si="118"/>
        <v>0</v>
      </c>
    </row>
    <row r="181" spans="1:72">
      <c r="A181" s="3089"/>
      <c r="B181" s="3090"/>
      <c r="C181" s="3090"/>
      <c r="D181" s="3091"/>
      <c r="E181" s="3092">
        <f t="shared" si="119"/>
        <v>0</v>
      </c>
      <c r="F181" s="3093"/>
      <c r="G181" s="3094">
        <f t="shared" si="94"/>
        <v>0</v>
      </c>
      <c r="H181" s="3095">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2">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308">
        <f t="shared" si="120"/>
        <v>0</v>
      </c>
      <c r="AW181" s="1308">
        <f t="shared" si="121"/>
        <v>0</v>
      </c>
      <c r="AX181" s="1308">
        <f t="shared" si="122"/>
        <v>0</v>
      </c>
      <c r="AY181" s="3137">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4">
        <f t="shared" si="118"/>
        <v>0</v>
      </c>
    </row>
    <row r="182" spans="1:72">
      <c r="A182" s="3089"/>
      <c r="B182" s="3090"/>
      <c r="C182" s="3090"/>
      <c r="D182" s="3091"/>
      <c r="E182" s="3092">
        <f t="shared" si="119"/>
        <v>0</v>
      </c>
      <c r="F182" s="3093"/>
      <c r="G182" s="3094">
        <f t="shared" si="94"/>
        <v>0</v>
      </c>
      <c r="H182" s="3095">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2">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308">
        <f t="shared" si="120"/>
        <v>0</v>
      </c>
      <c r="AW182" s="1308">
        <f t="shared" si="121"/>
        <v>0</v>
      </c>
      <c r="AX182" s="1308">
        <f t="shared" si="122"/>
        <v>0</v>
      </c>
      <c r="AY182" s="3137">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4">
        <f t="shared" si="118"/>
        <v>0</v>
      </c>
    </row>
    <row r="183" spans="1:72">
      <c r="A183" s="3089"/>
      <c r="B183" s="3090"/>
      <c r="C183" s="3090"/>
      <c r="D183" s="3091"/>
      <c r="E183" s="3092">
        <f t="shared" si="119"/>
        <v>0</v>
      </c>
      <c r="F183" s="3093"/>
      <c r="G183" s="3094">
        <f t="shared" si="94"/>
        <v>0</v>
      </c>
      <c r="H183" s="3095">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2">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308">
        <f t="shared" si="120"/>
        <v>0</v>
      </c>
      <c r="AW183" s="1308">
        <f t="shared" si="121"/>
        <v>0</v>
      </c>
      <c r="AX183" s="1308">
        <f t="shared" si="122"/>
        <v>0</v>
      </c>
      <c r="AY183" s="3137">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4">
        <f t="shared" si="118"/>
        <v>0</v>
      </c>
    </row>
    <row r="184" spans="1:72">
      <c r="A184" s="3089"/>
      <c r="B184" s="3090"/>
      <c r="C184" s="3090"/>
      <c r="D184" s="3091"/>
      <c r="E184" s="3092">
        <f t="shared" si="119"/>
        <v>0</v>
      </c>
      <c r="F184" s="3093"/>
      <c r="G184" s="3094">
        <f t="shared" si="94"/>
        <v>0</v>
      </c>
      <c r="H184" s="3095">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2">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308">
        <f t="shared" si="120"/>
        <v>0</v>
      </c>
      <c r="AW184" s="1308">
        <f t="shared" si="121"/>
        <v>0</v>
      </c>
      <c r="AX184" s="1308">
        <f t="shared" si="122"/>
        <v>0</v>
      </c>
      <c r="AY184" s="3137">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4">
        <f t="shared" si="118"/>
        <v>0</v>
      </c>
    </row>
    <row r="185" spans="1:72">
      <c r="A185" s="3089"/>
      <c r="B185" s="3090"/>
      <c r="C185" s="3090"/>
      <c r="D185" s="3091"/>
      <c r="E185" s="3092">
        <f t="shared" si="119"/>
        <v>0</v>
      </c>
      <c r="F185" s="3093"/>
      <c r="G185" s="3094">
        <f t="shared" si="94"/>
        <v>0</v>
      </c>
      <c r="H185" s="3095">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2">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308">
        <f t="shared" si="120"/>
        <v>0</v>
      </c>
      <c r="AW185" s="1308">
        <f t="shared" si="121"/>
        <v>0</v>
      </c>
      <c r="AX185" s="1308">
        <f t="shared" si="122"/>
        <v>0</v>
      </c>
      <c r="AY185" s="3137">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4">
        <f t="shared" si="118"/>
        <v>0</v>
      </c>
    </row>
    <row r="186" spans="1:72">
      <c r="A186" s="3089"/>
      <c r="B186" s="3090"/>
      <c r="C186" s="3090"/>
      <c r="D186" s="3091"/>
      <c r="E186" s="3092">
        <f t="shared" si="119"/>
        <v>0</v>
      </c>
      <c r="F186" s="3093"/>
      <c r="G186" s="3094">
        <f t="shared" si="94"/>
        <v>0</v>
      </c>
      <c r="H186" s="3095">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2">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308">
        <f t="shared" si="120"/>
        <v>0</v>
      </c>
      <c r="AW186" s="1308">
        <f t="shared" si="121"/>
        <v>0</v>
      </c>
      <c r="AX186" s="1308">
        <f t="shared" si="122"/>
        <v>0</v>
      </c>
      <c r="AY186" s="3137">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4">
        <f t="shared" si="118"/>
        <v>0</v>
      </c>
    </row>
    <row r="187" spans="1:72">
      <c r="A187" s="3089"/>
      <c r="B187" s="3090"/>
      <c r="C187" s="3090"/>
      <c r="D187" s="3091"/>
      <c r="E187" s="3092">
        <f t="shared" si="119"/>
        <v>0</v>
      </c>
      <c r="F187" s="3093"/>
      <c r="G187" s="3094">
        <f t="shared" si="94"/>
        <v>0</v>
      </c>
      <c r="H187" s="3095">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2">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308">
        <f t="shared" si="120"/>
        <v>0</v>
      </c>
      <c r="AW187" s="1308">
        <f t="shared" si="121"/>
        <v>0</v>
      </c>
      <c r="AX187" s="1308">
        <f t="shared" si="122"/>
        <v>0</v>
      </c>
      <c r="AY187" s="3137">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4">
        <f t="shared" si="118"/>
        <v>0</v>
      </c>
    </row>
    <row r="188" spans="1:72">
      <c r="A188" s="3089"/>
      <c r="B188" s="3090"/>
      <c r="C188" s="3090"/>
      <c r="D188" s="3091"/>
      <c r="E188" s="3092">
        <f t="shared" si="119"/>
        <v>0</v>
      </c>
      <c r="F188" s="3093"/>
      <c r="G188" s="3094">
        <f t="shared" si="94"/>
        <v>0</v>
      </c>
      <c r="H188" s="3095">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2">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308">
        <f t="shared" si="120"/>
        <v>0</v>
      </c>
      <c r="AW188" s="1308">
        <f t="shared" si="121"/>
        <v>0</v>
      </c>
      <c r="AX188" s="1308">
        <f t="shared" si="122"/>
        <v>0</v>
      </c>
      <c r="AY188" s="3137">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4">
        <f t="shared" si="118"/>
        <v>0</v>
      </c>
    </row>
    <row r="189" spans="1:72">
      <c r="A189" s="3089"/>
      <c r="B189" s="3090"/>
      <c r="C189" s="3090"/>
      <c r="D189" s="3091"/>
      <c r="E189" s="3092">
        <f t="shared" si="119"/>
        <v>0</v>
      </c>
      <c r="F189" s="3093"/>
      <c r="G189" s="3094">
        <f t="shared" si="94"/>
        <v>0</v>
      </c>
      <c r="H189" s="3095">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2">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308">
        <f t="shared" si="120"/>
        <v>0</v>
      </c>
      <c r="AW189" s="1308">
        <f t="shared" si="121"/>
        <v>0</v>
      </c>
      <c r="AX189" s="1308">
        <f t="shared" si="122"/>
        <v>0</v>
      </c>
      <c r="AY189" s="3137">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4">
        <f t="shared" si="118"/>
        <v>0</v>
      </c>
    </row>
    <row r="190" spans="1:72">
      <c r="A190" s="3089"/>
      <c r="B190" s="3090"/>
      <c r="C190" s="3090"/>
      <c r="D190" s="3091"/>
      <c r="E190" s="3092">
        <f t="shared" si="119"/>
        <v>0</v>
      </c>
      <c r="F190" s="3093"/>
      <c r="G190" s="3094">
        <f t="shared" si="94"/>
        <v>0</v>
      </c>
      <c r="H190" s="3095">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2">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308">
        <f t="shared" si="120"/>
        <v>0</v>
      </c>
      <c r="AW190" s="1308">
        <f t="shared" si="121"/>
        <v>0</v>
      </c>
      <c r="AX190" s="1308">
        <f t="shared" si="122"/>
        <v>0</v>
      </c>
      <c r="AY190" s="3137">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4">
        <f t="shared" si="118"/>
        <v>0</v>
      </c>
    </row>
    <row r="191" spans="1:72">
      <c r="A191" s="3089"/>
      <c r="B191" s="3090"/>
      <c r="C191" s="3090"/>
      <c r="D191" s="3091"/>
      <c r="E191" s="3092">
        <f t="shared" si="119"/>
        <v>0</v>
      </c>
      <c r="F191" s="3093"/>
      <c r="G191" s="3094">
        <f t="shared" si="94"/>
        <v>0</v>
      </c>
      <c r="H191" s="3095">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2">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308">
        <f t="shared" si="120"/>
        <v>0</v>
      </c>
      <c r="AW191" s="1308">
        <f t="shared" si="121"/>
        <v>0</v>
      </c>
      <c r="AX191" s="1308">
        <f t="shared" si="122"/>
        <v>0</v>
      </c>
      <c r="AY191" s="3137">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4">
        <f t="shared" si="118"/>
        <v>0</v>
      </c>
    </row>
    <row r="192" spans="1:72">
      <c r="A192" s="3089"/>
      <c r="B192" s="3090"/>
      <c r="C192" s="3090"/>
      <c r="D192" s="3091"/>
      <c r="E192" s="3092">
        <f t="shared" si="119"/>
        <v>0</v>
      </c>
      <c r="F192" s="3093"/>
      <c r="G192" s="3094">
        <f t="shared" si="94"/>
        <v>0</v>
      </c>
      <c r="H192" s="3095">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2">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308">
        <f t="shared" si="120"/>
        <v>0</v>
      </c>
      <c r="AW192" s="1308">
        <f t="shared" si="121"/>
        <v>0</v>
      </c>
      <c r="AX192" s="1308">
        <f t="shared" si="122"/>
        <v>0</v>
      </c>
      <c r="AY192" s="3137">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4">
        <f t="shared" si="118"/>
        <v>0</v>
      </c>
    </row>
    <row r="193" spans="1:72">
      <c r="A193" s="3089"/>
      <c r="B193" s="3090"/>
      <c r="C193" s="3090"/>
      <c r="D193" s="3091"/>
      <c r="E193" s="3092">
        <f t="shared" si="119"/>
        <v>0</v>
      </c>
      <c r="F193" s="3093"/>
      <c r="G193" s="3094">
        <f t="shared" si="94"/>
        <v>0</v>
      </c>
      <c r="H193" s="3095">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2">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308">
        <f t="shared" si="120"/>
        <v>0</v>
      </c>
      <c r="AW193" s="1308">
        <f t="shared" si="121"/>
        <v>0</v>
      </c>
      <c r="AX193" s="1308">
        <f t="shared" si="122"/>
        <v>0</v>
      </c>
      <c r="AY193" s="3137">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4">
        <f t="shared" si="118"/>
        <v>0</v>
      </c>
    </row>
    <row r="194" spans="1:72">
      <c r="A194" s="3089"/>
      <c r="B194" s="3090"/>
      <c r="C194" s="3090"/>
      <c r="D194" s="3091"/>
      <c r="E194" s="3092">
        <f t="shared" si="119"/>
        <v>0</v>
      </c>
      <c r="F194" s="3093"/>
      <c r="G194" s="3094">
        <f t="shared" si="94"/>
        <v>0</v>
      </c>
      <c r="H194" s="3095">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2">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308">
        <f t="shared" si="120"/>
        <v>0</v>
      </c>
      <c r="AW194" s="1308">
        <f t="shared" si="121"/>
        <v>0</v>
      </c>
      <c r="AX194" s="1308">
        <f t="shared" si="122"/>
        <v>0</v>
      </c>
      <c r="AY194" s="3137">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4">
        <f t="shared" si="118"/>
        <v>0</v>
      </c>
    </row>
    <row r="195" spans="1:72">
      <c r="A195" s="3089"/>
      <c r="B195" s="3090"/>
      <c r="C195" s="3090"/>
      <c r="D195" s="3091"/>
      <c r="E195" s="3092">
        <f t="shared" si="119"/>
        <v>0</v>
      </c>
      <c r="F195" s="3093"/>
      <c r="G195" s="3094">
        <f t="shared" si="94"/>
        <v>0</v>
      </c>
      <c r="H195" s="3095">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2">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308">
        <f t="shared" si="120"/>
        <v>0</v>
      </c>
      <c r="AW195" s="1308">
        <f t="shared" si="121"/>
        <v>0</v>
      </c>
      <c r="AX195" s="1308">
        <f t="shared" si="122"/>
        <v>0</v>
      </c>
      <c r="AY195" s="3137">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4">
        <f t="shared" si="118"/>
        <v>0</v>
      </c>
    </row>
    <row r="196" spans="1:72">
      <c r="A196" s="3089"/>
      <c r="B196" s="3090"/>
      <c r="C196" s="3090"/>
      <c r="D196" s="3091"/>
      <c r="E196" s="3092">
        <f t="shared" si="119"/>
        <v>0</v>
      </c>
      <c r="F196" s="3093"/>
      <c r="G196" s="3094">
        <f t="shared" si="94"/>
        <v>0</v>
      </c>
      <c r="H196" s="3095">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2">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308">
        <f t="shared" si="120"/>
        <v>0</v>
      </c>
      <c r="AW196" s="1308">
        <f t="shared" si="121"/>
        <v>0</v>
      </c>
      <c r="AX196" s="1308">
        <f t="shared" si="122"/>
        <v>0</v>
      </c>
      <c r="AY196" s="3137">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4">
        <f t="shared" si="118"/>
        <v>0</v>
      </c>
    </row>
    <row r="197" spans="1:72">
      <c r="A197" s="3089"/>
      <c r="B197" s="3090"/>
      <c r="C197" s="3090"/>
      <c r="D197" s="3091"/>
      <c r="E197" s="3092">
        <f t="shared" si="119"/>
        <v>0</v>
      </c>
      <c r="F197" s="3093"/>
      <c r="G197" s="3094">
        <f t="shared" si="94"/>
        <v>0</v>
      </c>
      <c r="H197" s="3095">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2">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308">
        <f t="shared" si="120"/>
        <v>0</v>
      </c>
      <c r="AW197" s="1308">
        <f t="shared" si="121"/>
        <v>0</v>
      </c>
      <c r="AX197" s="1308">
        <f t="shared" si="122"/>
        <v>0</v>
      </c>
      <c r="AY197" s="3137">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4">
        <f t="shared" si="118"/>
        <v>0</v>
      </c>
    </row>
    <row r="198" spans="1:72">
      <c r="A198" s="3089"/>
      <c r="B198" s="3090"/>
      <c r="C198" s="3090"/>
      <c r="D198" s="3091"/>
      <c r="E198" s="3092">
        <f t="shared" si="119"/>
        <v>0</v>
      </c>
      <c r="F198" s="3093"/>
      <c r="G198" s="3094">
        <f t="shared" si="94"/>
        <v>0</v>
      </c>
      <c r="H198" s="3095">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2">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308">
        <f t="shared" si="120"/>
        <v>0</v>
      </c>
      <c r="AW198" s="1308">
        <f t="shared" si="121"/>
        <v>0</v>
      </c>
      <c r="AX198" s="1308">
        <f t="shared" si="122"/>
        <v>0</v>
      </c>
      <c r="AY198" s="3137">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4">
        <f t="shared" si="118"/>
        <v>0</v>
      </c>
    </row>
    <row r="199" spans="1:72">
      <c r="A199" s="3089"/>
      <c r="B199" s="3090"/>
      <c r="C199" s="3090"/>
      <c r="D199" s="3091"/>
      <c r="E199" s="3092">
        <f t="shared" si="119"/>
        <v>0</v>
      </c>
      <c r="F199" s="3093"/>
      <c r="G199" s="3094">
        <f t="shared" si="94"/>
        <v>0</v>
      </c>
      <c r="H199" s="3095">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2">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308">
        <f t="shared" si="120"/>
        <v>0</v>
      </c>
      <c r="AW199" s="1308">
        <f t="shared" si="121"/>
        <v>0</v>
      </c>
      <c r="AX199" s="1308">
        <f t="shared" si="122"/>
        <v>0</v>
      </c>
      <c r="AY199" s="3137">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4">
        <f t="shared" si="118"/>
        <v>0</v>
      </c>
    </row>
    <row r="200" spans="1:72">
      <c r="A200" s="3089"/>
      <c r="B200" s="3090"/>
      <c r="C200" s="3090"/>
      <c r="D200" s="3091"/>
      <c r="E200" s="3092">
        <f t="shared" si="119"/>
        <v>0</v>
      </c>
      <c r="F200" s="3093"/>
      <c r="G200" s="3094">
        <f t="shared" si="94"/>
        <v>0</v>
      </c>
      <c r="H200" s="3095">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2">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308">
        <f t="shared" si="120"/>
        <v>0</v>
      </c>
      <c r="AW200" s="1308">
        <f t="shared" si="121"/>
        <v>0</v>
      </c>
      <c r="AX200" s="1308">
        <f t="shared" si="122"/>
        <v>0</v>
      </c>
      <c r="AY200" s="3137">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4">
        <f t="shared" si="118"/>
        <v>0</v>
      </c>
    </row>
    <row r="201" spans="1:72">
      <c r="A201" s="3089"/>
      <c r="B201" s="3090"/>
      <c r="C201" s="3090"/>
      <c r="D201" s="3091"/>
      <c r="E201" s="3092">
        <f t="shared" si="119"/>
        <v>0</v>
      </c>
      <c r="F201" s="3093"/>
      <c r="G201" s="3094">
        <f t="shared" si="94"/>
        <v>0</v>
      </c>
      <c r="H201" s="3095">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2">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308">
        <f t="shared" si="120"/>
        <v>0</v>
      </c>
      <c r="AW201" s="1308">
        <f t="shared" si="121"/>
        <v>0</v>
      </c>
      <c r="AX201" s="1308">
        <f t="shared" si="122"/>
        <v>0</v>
      </c>
      <c r="AY201" s="3137">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4">
        <f t="shared" si="118"/>
        <v>0</v>
      </c>
    </row>
    <row r="202" spans="1:72">
      <c r="A202" s="3089"/>
      <c r="B202" s="3090"/>
      <c r="C202" s="3090"/>
      <c r="D202" s="3091"/>
      <c r="E202" s="3092">
        <f t="shared" si="119"/>
        <v>0</v>
      </c>
      <c r="F202" s="3093"/>
      <c r="G202" s="3094">
        <f t="shared" si="94"/>
        <v>0</v>
      </c>
      <c r="H202" s="3095">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2">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308">
        <f t="shared" si="120"/>
        <v>0</v>
      </c>
      <c r="AW202" s="1308">
        <f t="shared" si="121"/>
        <v>0</v>
      </c>
      <c r="AX202" s="1308">
        <f t="shared" si="122"/>
        <v>0</v>
      </c>
      <c r="AY202" s="3137">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4">
        <f t="shared" si="118"/>
        <v>0</v>
      </c>
    </row>
    <row r="203" spans="1:72">
      <c r="A203" s="3089"/>
      <c r="B203" s="3090"/>
      <c r="C203" s="3090"/>
      <c r="D203" s="3091"/>
      <c r="E203" s="3092">
        <f t="shared" si="119"/>
        <v>0</v>
      </c>
      <c r="F203" s="3093"/>
      <c r="G203" s="3094">
        <f t="shared" si="94"/>
        <v>0</v>
      </c>
      <c r="H203" s="3095">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2">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308">
        <f t="shared" si="120"/>
        <v>0</v>
      </c>
      <c r="AW203" s="1308">
        <f t="shared" si="121"/>
        <v>0</v>
      </c>
      <c r="AX203" s="1308">
        <f t="shared" si="122"/>
        <v>0</v>
      </c>
      <c r="AY203" s="3137">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4">
        <f t="shared" si="118"/>
        <v>0</v>
      </c>
    </row>
    <row r="204" spans="1:72">
      <c r="A204" s="3089"/>
      <c r="B204" s="3090"/>
      <c r="C204" s="3090"/>
      <c r="D204" s="3091"/>
      <c r="E204" s="3092">
        <f t="shared" si="119"/>
        <v>0</v>
      </c>
      <c r="F204" s="3093"/>
      <c r="G204" s="3094">
        <f t="shared" si="94"/>
        <v>0</v>
      </c>
      <c r="H204" s="3095">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2">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308">
        <f t="shared" si="120"/>
        <v>0</v>
      </c>
      <c r="AW204" s="1308">
        <f t="shared" si="121"/>
        <v>0</v>
      </c>
      <c r="AX204" s="1308">
        <f t="shared" si="122"/>
        <v>0</v>
      </c>
      <c r="AY204" s="3137">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4">
        <f t="shared" si="118"/>
        <v>0</v>
      </c>
    </row>
    <row r="205" spans="1:72">
      <c r="A205" s="3089"/>
      <c r="B205" s="3089"/>
      <c r="C205" s="3089"/>
      <c r="D205" s="3091"/>
      <c r="E205" s="3092">
        <f t="shared" si="119"/>
        <v>0</v>
      </c>
      <c r="F205" s="3145"/>
      <c r="G205" s="3094">
        <f t="shared" si="94"/>
        <v>0</v>
      </c>
      <c r="H205" s="3095">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2">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308">
        <f t="shared" si="120"/>
        <v>0</v>
      </c>
      <c r="AW205" s="1308">
        <f t="shared" si="121"/>
        <v>0</v>
      </c>
      <c r="AX205" s="1308">
        <f t="shared" si="122"/>
        <v>0</v>
      </c>
      <c r="AY205" s="3137">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4">
        <f t="shared" si="118"/>
        <v>0</v>
      </c>
    </row>
    <row r="206" spans="1:72">
      <c r="A206" s="3089"/>
      <c r="B206" s="3089"/>
      <c r="C206" s="3089"/>
      <c r="D206" s="3091"/>
      <c r="E206" s="3092">
        <f t="shared" si="119"/>
        <v>0</v>
      </c>
      <c r="F206" s="3145"/>
      <c r="G206" s="3094">
        <f t="shared" si="94"/>
        <v>0</v>
      </c>
      <c r="H206" s="3095">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2">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308">
        <f t="shared" si="120"/>
        <v>0</v>
      </c>
      <c r="AW206" s="1308">
        <f t="shared" si="121"/>
        <v>0</v>
      </c>
      <c r="AX206" s="1308">
        <f t="shared" si="122"/>
        <v>0</v>
      </c>
      <c r="AY206" s="3137">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4">
        <f t="shared" si="118"/>
        <v>0</v>
      </c>
    </row>
    <row r="207" spans="1:72">
      <c r="A207" s="3089"/>
      <c r="B207" s="3089"/>
      <c r="C207" s="3089"/>
      <c r="D207" s="3091"/>
      <c r="E207" s="3092">
        <f t="shared" si="119"/>
        <v>0</v>
      </c>
      <c r="F207" s="3145"/>
      <c r="G207" s="3094">
        <f t="shared" si="94"/>
        <v>0</v>
      </c>
      <c r="H207" s="3095">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2">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308">
        <f t="shared" si="120"/>
        <v>0</v>
      </c>
      <c r="AW207" s="1308">
        <f t="shared" si="121"/>
        <v>0</v>
      </c>
      <c r="AX207" s="1308">
        <f t="shared" si="122"/>
        <v>0</v>
      </c>
      <c r="AY207" s="3137">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4">
        <f t="shared" si="118"/>
        <v>0</v>
      </c>
    </row>
    <row r="208" spans="1:72">
      <c r="A208" s="3089"/>
      <c r="B208" s="3090"/>
      <c r="C208" s="3090"/>
      <c r="D208" s="3091"/>
      <c r="E208" s="3092">
        <f t="shared" ref="E208:E302" si="123">IF($C$3="是",ROUND($A$3*G208/$B$3,2),ROUND($A$3*(G208-AT208)/$B$3,2))</f>
        <v>0</v>
      </c>
      <c r="F208" s="3093"/>
      <c r="G208" s="3094">
        <f t="shared" ref="G208:G299" si="124">H208+AC208+AT208</f>
        <v>0</v>
      </c>
      <c r="H208" s="3095">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2">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308">
        <f t="shared" ref="AV208:AV302" si="127">A208</f>
        <v>0</v>
      </c>
      <c r="AW208" s="1308">
        <f t="shared" ref="AW208:AW302" si="128">B208</f>
        <v>0</v>
      </c>
      <c r="AX208" s="1308">
        <f t="shared" ref="AX208:AX302" si="129">C208</f>
        <v>0</v>
      </c>
      <c r="AY208" s="3137">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4">
        <f t="shared" ref="BT208:BT299" si="151">IF($D208="是",AR208-AS208,0)</f>
        <v>0</v>
      </c>
    </row>
    <row r="209" spans="1:72">
      <c r="A209" s="3089"/>
      <c r="B209" s="3090"/>
      <c r="C209" s="3090"/>
      <c r="D209" s="3091"/>
      <c r="E209" s="3092">
        <f t="shared" si="123"/>
        <v>0</v>
      </c>
      <c r="F209" s="3093"/>
      <c r="G209" s="3094">
        <f t="shared" si="124"/>
        <v>0</v>
      </c>
      <c r="H209" s="3095">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2">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308">
        <f t="shared" si="127"/>
        <v>0</v>
      </c>
      <c r="AW209" s="1308">
        <f t="shared" si="128"/>
        <v>0</v>
      </c>
      <c r="AX209" s="1308">
        <f t="shared" si="129"/>
        <v>0</v>
      </c>
      <c r="AY209" s="3137">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4">
        <f t="shared" si="151"/>
        <v>0</v>
      </c>
    </row>
    <row r="210" spans="1:72">
      <c r="A210" s="3089"/>
      <c r="B210" s="3090"/>
      <c r="C210" s="3090"/>
      <c r="D210" s="3091"/>
      <c r="E210" s="3092">
        <f t="shared" si="123"/>
        <v>0</v>
      </c>
      <c r="F210" s="3093"/>
      <c r="G210" s="3094">
        <f t="shared" si="124"/>
        <v>0</v>
      </c>
      <c r="H210" s="3095">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2">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308">
        <f t="shared" si="127"/>
        <v>0</v>
      </c>
      <c r="AW210" s="1308">
        <f t="shared" si="128"/>
        <v>0</v>
      </c>
      <c r="AX210" s="1308">
        <f t="shared" si="129"/>
        <v>0</v>
      </c>
      <c r="AY210" s="3137">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4">
        <f t="shared" si="151"/>
        <v>0</v>
      </c>
    </row>
    <row r="211" spans="1:72">
      <c r="A211" s="3089"/>
      <c r="B211" s="3090"/>
      <c r="C211" s="3090"/>
      <c r="D211" s="3091"/>
      <c r="E211" s="3092">
        <f t="shared" si="123"/>
        <v>0</v>
      </c>
      <c r="F211" s="3093"/>
      <c r="G211" s="3094">
        <f t="shared" si="124"/>
        <v>0</v>
      </c>
      <c r="H211" s="3095">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2">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308">
        <f t="shared" si="127"/>
        <v>0</v>
      </c>
      <c r="AW211" s="1308">
        <f t="shared" si="128"/>
        <v>0</v>
      </c>
      <c r="AX211" s="1308">
        <f t="shared" si="129"/>
        <v>0</v>
      </c>
      <c r="AY211" s="3137">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4">
        <f t="shared" si="151"/>
        <v>0</v>
      </c>
    </row>
    <row r="212" spans="1:72">
      <c r="A212" s="3089"/>
      <c r="B212" s="3090"/>
      <c r="C212" s="3090"/>
      <c r="D212" s="3091"/>
      <c r="E212" s="3092">
        <f t="shared" si="123"/>
        <v>0</v>
      </c>
      <c r="F212" s="3093"/>
      <c r="G212" s="3094">
        <f t="shared" si="124"/>
        <v>0</v>
      </c>
      <c r="H212" s="3095">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2">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308">
        <f t="shared" si="127"/>
        <v>0</v>
      </c>
      <c r="AW212" s="1308">
        <f t="shared" si="128"/>
        <v>0</v>
      </c>
      <c r="AX212" s="1308">
        <f t="shared" si="129"/>
        <v>0</v>
      </c>
      <c r="AY212" s="3137">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4">
        <f t="shared" si="151"/>
        <v>0</v>
      </c>
    </row>
    <row r="213" spans="1:72">
      <c r="A213" s="3089"/>
      <c r="B213" s="3090"/>
      <c r="C213" s="3090"/>
      <c r="D213" s="3091"/>
      <c r="E213" s="3092">
        <f t="shared" si="123"/>
        <v>0</v>
      </c>
      <c r="F213" s="3093"/>
      <c r="G213" s="3094">
        <f t="shared" si="124"/>
        <v>0</v>
      </c>
      <c r="H213" s="3095">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2">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308">
        <f t="shared" si="127"/>
        <v>0</v>
      </c>
      <c r="AW213" s="1308">
        <f t="shared" si="128"/>
        <v>0</v>
      </c>
      <c r="AX213" s="1308">
        <f t="shared" si="129"/>
        <v>0</v>
      </c>
      <c r="AY213" s="3137">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4">
        <f t="shared" si="151"/>
        <v>0</v>
      </c>
    </row>
    <row r="214" spans="1:72">
      <c r="A214" s="3089"/>
      <c r="B214" s="3090"/>
      <c r="C214" s="3090"/>
      <c r="D214" s="3091"/>
      <c r="E214" s="3092">
        <f t="shared" si="123"/>
        <v>0</v>
      </c>
      <c r="F214" s="3093"/>
      <c r="G214" s="3094">
        <f t="shared" si="124"/>
        <v>0</v>
      </c>
      <c r="H214" s="3095">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2">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308">
        <f t="shared" si="127"/>
        <v>0</v>
      </c>
      <c r="AW214" s="1308">
        <f t="shared" si="128"/>
        <v>0</v>
      </c>
      <c r="AX214" s="1308">
        <f t="shared" si="129"/>
        <v>0</v>
      </c>
      <c r="AY214" s="3137">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4">
        <f t="shared" si="151"/>
        <v>0</v>
      </c>
    </row>
    <row r="215" spans="1:72">
      <c r="A215" s="3089"/>
      <c r="B215" s="3090"/>
      <c r="C215" s="3090"/>
      <c r="D215" s="3091"/>
      <c r="E215" s="3092">
        <f t="shared" si="123"/>
        <v>0</v>
      </c>
      <c r="F215" s="3093"/>
      <c r="G215" s="3094">
        <f t="shared" si="124"/>
        <v>0</v>
      </c>
      <c r="H215" s="3095">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2">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308">
        <f t="shared" si="127"/>
        <v>0</v>
      </c>
      <c r="AW215" s="1308">
        <f t="shared" si="128"/>
        <v>0</v>
      </c>
      <c r="AX215" s="1308">
        <f t="shared" si="129"/>
        <v>0</v>
      </c>
      <c r="AY215" s="3137">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4">
        <f t="shared" si="151"/>
        <v>0</v>
      </c>
    </row>
    <row r="216" spans="1:72">
      <c r="A216" s="3089"/>
      <c r="B216" s="3090"/>
      <c r="C216" s="3090"/>
      <c r="D216" s="3091"/>
      <c r="E216" s="3092">
        <f t="shared" si="123"/>
        <v>0</v>
      </c>
      <c r="F216" s="3093"/>
      <c r="G216" s="3094">
        <f t="shared" si="124"/>
        <v>0</v>
      </c>
      <c r="H216" s="3095">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2">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308">
        <f t="shared" si="127"/>
        <v>0</v>
      </c>
      <c r="AW216" s="1308">
        <f t="shared" si="128"/>
        <v>0</v>
      </c>
      <c r="AX216" s="1308">
        <f t="shared" si="129"/>
        <v>0</v>
      </c>
      <c r="AY216" s="3137">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4">
        <f t="shared" si="151"/>
        <v>0</v>
      </c>
    </row>
    <row r="217" spans="1:72">
      <c r="A217" s="3089"/>
      <c r="B217" s="3090"/>
      <c r="C217" s="3090"/>
      <c r="D217" s="3091"/>
      <c r="E217" s="3092">
        <f t="shared" si="123"/>
        <v>0</v>
      </c>
      <c r="F217" s="3093"/>
      <c r="G217" s="3094">
        <f t="shared" si="124"/>
        <v>0</v>
      </c>
      <c r="H217" s="3095">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2">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308">
        <f t="shared" si="127"/>
        <v>0</v>
      </c>
      <c r="AW217" s="1308">
        <f t="shared" si="128"/>
        <v>0</v>
      </c>
      <c r="AX217" s="1308">
        <f t="shared" si="129"/>
        <v>0</v>
      </c>
      <c r="AY217" s="3137">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4">
        <f t="shared" si="151"/>
        <v>0</v>
      </c>
    </row>
    <row r="218" spans="1:72">
      <c r="A218" s="3089"/>
      <c r="B218" s="3090"/>
      <c r="C218" s="3090"/>
      <c r="D218" s="3091"/>
      <c r="E218" s="3092">
        <f t="shared" si="123"/>
        <v>0</v>
      </c>
      <c r="F218" s="3093"/>
      <c r="G218" s="3094">
        <f t="shared" si="124"/>
        <v>0</v>
      </c>
      <c r="H218" s="3095">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2">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308">
        <f t="shared" si="127"/>
        <v>0</v>
      </c>
      <c r="AW218" s="1308">
        <f t="shared" si="128"/>
        <v>0</v>
      </c>
      <c r="AX218" s="1308">
        <f t="shared" si="129"/>
        <v>0</v>
      </c>
      <c r="AY218" s="3137">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4">
        <f t="shared" si="151"/>
        <v>0</v>
      </c>
    </row>
    <row r="219" spans="1:72">
      <c r="A219" s="3089"/>
      <c r="B219" s="3090"/>
      <c r="C219" s="3090"/>
      <c r="D219" s="3091"/>
      <c r="E219" s="3092">
        <f t="shared" si="123"/>
        <v>0</v>
      </c>
      <c r="F219" s="3093"/>
      <c r="G219" s="3094">
        <f t="shared" si="124"/>
        <v>0</v>
      </c>
      <c r="H219" s="3095">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2">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308">
        <f t="shared" si="127"/>
        <v>0</v>
      </c>
      <c r="AW219" s="1308">
        <f t="shared" si="128"/>
        <v>0</v>
      </c>
      <c r="AX219" s="1308">
        <f t="shared" si="129"/>
        <v>0</v>
      </c>
      <c r="AY219" s="3137">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4">
        <f t="shared" si="151"/>
        <v>0</v>
      </c>
    </row>
    <row r="220" spans="1:72">
      <c r="A220" s="3089"/>
      <c r="B220" s="3090"/>
      <c r="C220" s="3090"/>
      <c r="D220" s="3091"/>
      <c r="E220" s="3092">
        <f t="shared" si="123"/>
        <v>0</v>
      </c>
      <c r="F220" s="3093"/>
      <c r="G220" s="3094">
        <f t="shared" si="124"/>
        <v>0</v>
      </c>
      <c r="H220" s="3095">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2">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308">
        <f t="shared" si="127"/>
        <v>0</v>
      </c>
      <c r="AW220" s="1308">
        <f t="shared" si="128"/>
        <v>0</v>
      </c>
      <c r="AX220" s="1308">
        <f t="shared" si="129"/>
        <v>0</v>
      </c>
      <c r="AY220" s="3137">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4">
        <f t="shared" si="151"/>
        <v>0</v>
      </c>
    </row>
    <row r="221" spans="1:72">
      <c r="A221" s="3089"/>
      <c r="B221" s="3090"/>
      <c r="C221" s="3090"/>
      <c r="D221" s="3091"/>
      <c r="E221" s="3092">
        <f t="shared" si="123"/>
        <v>0</v>
      </c>
      <c r="F221" s="3093"/>
      <c r="G221" s="3094">
        <f t="shared" si="124"/>
        <v>0</v>
      </c>
      <c r="H221" s="3095">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2">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308">
        <f t="shared" si="127"/>
        <v>0</v>
      </c>
      <c r="AW221" s="1308">
        <f t="shared" si="128"/>
        <v>0</v>
      </c>
      <c r="AX221" s="1308">
        <f t="shared" si="129"/>
        <v>0</v>
      </c>
      <c r="AY221" s="3137">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4">
        <f t="shared" si="151"/>
        <v>0</v>
      </c>
    </row>
    <row r="222" spans="1:72">
      <c r="A222" s="3089"/>
      <c r="B222" s="3090"/>
      <c r="C222" s="3090"/>
      <c r="D222" s="3091"/>
      <c r="E222" s="3092">
        <f t="shared" si="123"/>
        <v>0</v>
      </c>
      <c r="F222" s="3093"/>
      <c r="G222" s="3094">
        <f t="shared" si="124"/>
        <v>0</v>
      </c>
      <c r="H222" s="3095">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2">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308">
        <f t="shared" si="127"/>
        <v>0</v>
      </c>
      <c r="AW222" s="1308">
        <f t="shared" si="128"/>
        <v>0</v>
      </c>
      <c r="AX222" s="1308">
        <f t="shared" si="129"/>
        <v>0</v>
      </c>
      <c r="AY222" s="3137">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4">
        <f t="shared" si="151"/>
        <v>0</v>
      </c>
    </row>
    <row r="223" spans="1:72">
      <c r="A223" s="3089"/>
      <c r="B223" s="3090"/>
      <c r="C223" s="3090"/>
      <c r="D223" s="3091"/>
      <c r="E223" s="3092">
        <f t="shared" si="123"/>
        <v>0</v>
      </c>
      <c r="F223" s="3093"/>
      <c r="G223" s="3094">
        <f t="shared" si="124"/>
        <v>0</v>
      </c>
      <c r="H223" s="3095">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2">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308">
        <f t="shared" si="127"/>
        <v>0</v>
      </c>
      <c r="AW223" s="1308">
        <f t="shared" si="128"/>
        <v>0</v>
      </c>
      <c r="AX223" s="1308">
        <f t="shared" si="129"/>
        <v>0</v>
      </c>
      <c r="AY223" s="3137">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4">
        <f t="shared" si="151"/>
        <v>0</v>
      </c>
    </row>
    <row r="224" spans="1:72">
      <c r="A224" s="3089"/>
      <c r="B224" s="3090"/>
      <c r="C224" s="3090"/>
      <c r="D224" s="3091"/>
      <c r="E224" s="3092">
        <f t="shared" si="123"/>
        <v>0</v>
      </c>
      <c r="F224" s="3093"/>
      <c r="G224" s="3094">
        <f t="shared" si="124"/>
        <v>0</v>
      </c>
      <c r="H224" s="3095">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2">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308">
        <f t="shared" si="127"/>
        <v>0</v>
      </c>
      <c r="AW224" s="1308">
        <f t="shared" si="128"/>
        <v>0</v>
      </c>
      <c r="AX224" s="1308">
        <f t="shared" si="129"/>
        <v>0</v>
      </c>
      <c r="AY224" s="3137">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4">
        <f t="shared" si="151"/>
        <v>0</v>
      </c>
    </row>
    <row r="225" spans="1:72">
      <c r="A225" s="3089"/>
      <c r="B225" s="3090"/>
      <c r="C225" s="3090"/>
      <c r="D225" s="3091"/>
      <c r="E225" s="3092">
        <f t="shared" si="123"/>
        <v>0</v>
      </c>
      <c r="F225" s="3093"/>
      <c r="G225" s="3094">
        <f t="shared" si="124"/>
        <v>0</v>
      </c>
      <c r="H225" s="3095">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2">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308">
        <f t="shared" si="127"/>
        <v>0</v>
      </c>
      <c r="AW225" s="1308">
        <f t="shared" si="128"/>
        <v>0</v>
      </c>
      <c r="AX225" s="1308">
        <f t="shared" si="129"/>
        <v>0</v>
      </c>
      <c r="AY225" s="3137">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4">
        <f t="shared" si="151"/>
        <v>0</v>
      </c>
    </row>
    <row r="226" spans="1:72">
      <c r="A226" s="3089"/>
      <c r="B226" s="3090"/>
      <c r="C226" s="3090"/>
      <c r="D226" s="3091"/>
      <c r="E226" s="3092">
        <f t="shared" si="123"/>
        <v>0</v>
      </c>
      <c r="F226" s="3093"/>
      <c r="G226" s="3094">
        <f t="shared" si="124"/>
        <v>0</v>
      </c>
      <c r="H226" s="3095">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2">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308">
        <f t="shared" si="127"/>
        <v>0</v>
      </c>
      <c r="AW226" s="1308">
        <f t="shared" si="128"/>
        <v>0</v>
      </c>
      <c r="AX226" s="1308">
        <f t="shared" si="129"/>
        <v>0</v>
      </c>
      <c r="AY226" s="3137">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4">
        <f t="shared" si="151"/>
        <v>0</v>
      </c>
    </row>
    <row r="227" spans="1:72">
      <c r="A227" s="3089"/>
      <c r="B227" s="3090"/>
      <c r="C227" s="3090"/>
      <c r="D227" s="3091"/>
      <c r="E227" s="3092">
        <f t="shared" si="123"/>
        <v>0</v>
      </c>
      <c r="F227" s="3093"/>
      <c r="G227" s="3094">
        <f t="shared" si="124"/>
        <v>0</v>
      </c>
      <c r="H227" s="3095">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2">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308">
        <f t="shared" si="127"/>
        <v>0</v>
      </c>
      <c r="AW227" s="1308">
        <f t="shared" si="128"/>
        <v>0</v>
      </c>
      <c r="AX227" s="1308">
        <f t="shared" si="129"/>
        <v>0</v>
      </c>
      <c r="AY227" s="3137">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4">
        <f t="shared" si="151"/>
        <v>0</v>
      </c>
    </row>
    <row r="228" spans="1:72">
      <c r="A228" s="3089"/>
      <c r="B228" s="3090"/>
      <c r="C228" s="3090"/>
      <c r="D228" s="3091"/>
      <c r="E228" s="3092">
        <f t="shared" si="123"/>
        <v>0</v>
      </c>
      <c r="F228" s="3093"/>
      <c r="G228" s="3094">
        <f t="shared" si="124"/>
        <v>0</v>
      </c>
      <c r="H228" s="3095">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2">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308">
        <f t="shared" si="127"/>
        <v>0</v>
      </c>
      <c r="AW228" s="1308">
        <f t="shared" si="128"/>
        <v>0</v>
      </c>
      <c r="AX228" s="1308">
        <f t="shared" si="129"/>
        <v>0</v>
      </c>
      <c r="AY228" s="3137">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4">
        <f t="shared" si="151"/>
        <v>0</v>
      </c>
    </row>
    <row r="229" spans="1:72">
      <c r="A229" s="3089"/>
      <c r="B229" s="3090"/>
      <c r="C229" s="3090"/>
      <c r="D229" s="3091"/>
      <c r="E229" s="3092">
        <f t="shared" si="123"/>
        <v>0</v>
      </c>
      <c r="F229" s="3093"/>
      <c r="G229" s="3094">
        <f t="shared" si="124"/>
        <v>0</v>
      </c>
      <c r="H229" s="3095">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2">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308">
        <f t="shared" si="127"/>
        <v>0</v>
      </c>
      <c r="AW229" s="1308">
        <f t="shared" si="128"/>
        <v>0</v>
      </c>
      <c r="AX229" s="1308">
        <f t="shared" si="129"/>
        <v>0</v>
      </c>
      <c r="AY229" s="3137">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4">
        <f t="shared" si="151"/>
        <v>0</v>
      </c>
    </row>
    <row r="230" spans="1:72">
      <c r="A230" s="3089"/>
      <c r="B230" s="3090"/>
      <c r="C230" s="3090"/>
      <c r="D230" s="3091"/>
      <c r="E230" s="3092">
        <f t="shared" si="123"/>
        <v>0</v>
      </c>
      <c r="F230" s="3093"/>
      <c r="G230" s="3094">
        <f t="shared" si="124"/>
        <v>0</v>
      </c>
      <c r="H230" s="3095">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2">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308">
        <f t="shared" si="127"/>
        <v>0</v>
      </c>
      <c r="AW230" s="1308">
        <f t="shared" si="128"/>
        <v>0</v>
      </c>
      <c r="AX230" s="1308">
        <f t="shared" si="129"/>
        <v>0</v>
      </c>
      <c r="AY230" s="3137">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4">
        <f t="shared" si="151"/>
        <v>0</v>
      </c>
    </row>
    <row r="231" spans="1:72">
      <c r="A231" s="3089"/>
      <c r="B231" s="3090"/>
      <c r="C231" s="3090"/>
      <c r="D231" s="3091"/>
      <c r="E231" s="3092">
        <f t="shared" si="123"/>
        <v>0</v>
      </c>
      <c r="F231" s="3093"/>
      <c r="G231" s="3094">
        <f t="shared" si="124"/>
        <v>0</v>
      </c>
      <c r="H231" s="3095">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2">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308">
        <f t="shared" si="127"/>
        <v>0</v>
      </c>
      <c r="AW231" s="1308">
        <f t="shared" si="128"/>
        <v>0</v>
      </c>
      <c r="AX231" s="1308">
        <f t="shared" si="129"/>
        <v>0</v>
      </c>
      <c r="AY231" s="3137">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4">
        <f t="shared" si="151"/>
        <v>0</v>
      </c>
    </row>
    <row r="232" spans="1:72">
      <c r="A232" s="3089"/>
      <c r="B232" s="3090"/>
      <c r="C232" s="3090"/>
      <c r="D232" s="3091"/>
      <c r="E232" s="3092">
        <f t="shared" si="123"/>
        <v>0</v>
      </c>
      <c r="F232" s="3093"/>
      <c r="G232" s="3094">
        <f t="shared" si="124"/>
        <v>0</v>
      </c>
      <c r="H232" s="3095">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2">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308">
        <f t="shared" si="127"/>
        <v>0</v>
      </c>
      <c r="AW232" s="1308">
        <f t="shared" si="128"/>
        <v>0</v>
      </c>
      <c r="AX232" s="1308">
        <f t="shared" si="129"/>
        <v>0</v>
      </c>
      <c r="AY232" s="3137">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4">
        <f t="shared" si="151"/>
        <v>0</v>
      </c>
    </row>
    <row r="233" spans="1:72">
      <c r="A233" s="3089"/>
      <c r="B233" s="3090"/>
      <c r="C233" s="3090"/>
      <c r="D233" s="3091"/>
      <c r="E233" s="3092">
        <f t="shared" si="123"/>
        <v>0</v>
      </c>
      <c r="F233" s="3093"/>
      <c r="G233" s="3094">
        <f t="shared" si="124"/>
        <v>0</v>
      </c>
      <c r="H233" s="3095">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2">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308">
        <f t="shared" si="127"/>
        <v>0</v>
      </c>
      <c r="AW233" s="1308">
        <f t="shared" si="128"/>
        <v>0</v>
      </c>
      <c r="AX233" s="1308">
        <f t="shared" si="129"/>
        <v>0</v>
      </c>
      <c r="AY233" s="3137">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4">
        <f t="shared" si="151"/>
        <v>0</v>
      </c>
    </row>
    <row r="234" spans="1:72">
      <c r="A234" s="3089"/>
      <c r="B234" s="3090"/>
      <c r="C234" s="3090"/>
      <c r="D234" s="3091"/>
      <c r="E234" s="3092">
        <f t="shared" si="123"/>
        <v>0</v>
      </c>
      <c r="F234" s="3093"/>
      <c r="G234" s="3094">
        <f t="shared" si="124"/>
        <v>0</v>
      </c>
      <c r="H234" s="3095">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2">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308">
        <f t="shared" si="127"/>
        <v>0</v>
      </c>
      <c r="AW234" s="1308">
        <f t="shared" si="128"/>
        <v>0</v>
      </c>
      <c r="AX234" s="1308">
        <f t="shared" si="129"/>
        <v>0</v>
      </c>
      <c r="AY234" s="3137">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4">
        <f t="shared" si="151"/>
        <v>0</v>
      </c>
    </row>
    <row r="235" spans="1:72">
      <c r="A235" s="3089"/>
      <c r="B235" s="3090"/>
      <c r="C235" s="3090"/>
      <c r="D235" s="3091"/>
      <c r="E235" s="3092">
        <f t="shared" si="123"/>
        <v>0</v>
      </c>
      <c r="F235" s="3093"/>
      <c r="G235" s="3094">
        <f t="shared" si="124"/>
        <v>0</v>
      </c>
      <c r="H235" s="3095">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2">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308">
        <f t="shared" si="127"/>
        <v>0</v>
      </c>
      <c r="AW235" s="1308">
        <f t="shared" si="128"/>
        <v>0</v>
      </c>
      <c r="AX235" s="1308">
        <f t="shared" si="129"/>
        <v>0</v>
      </c>
      <c r="AY235" s="3137">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4">
        <f t="shared" si="151"/>
        <v>0</v>
      </c>
    </row>
    <row r="236" spans="1:72">
      <c r="A236" s="3089"/>
      <c r="B236" s="3090"/>
      <c r="C236" s="3090"/>
      <c r="D236" s="3091"/>
      <c r="E236" s="3092">
        <f t="shared" si="123"/>
        <v>0</v>
      </c>
      <c r="F236" s="3093"/>
      <c r="G236" s="3094">
        <f t="shared" si="124"/>
        <v>0</v>
      </c>
      <c r="H236" s="3095">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2">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308">
        <f t="shared" si="127"/>
        <v>0</v>
      </c>
      <c r="AW236" s="1308">
        <f t="shared" si="128"/>
        <v>0</v>
      </c>
      <c r="AX236" s="1308">
        <f t="shared" si="129"/>
        <v>0</v>
      </c>
      <c r="AY236" s="3137">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4">
        <f t="shared" si="151"/>
        <v>0</v>
      </c>
    </row>
    <row r="237" spans="1:72">
      <c r="A237" s="3089"/>
      <c r="B237" s="3090"/>
      <c r="C237" s="3090"/>
      <c r="D237" s="3091"/>
      <c r="E237" s="3092">
        <f t="shared" si="123"/>
        <v>0</v>
      </c>
      <c r="F237" s="3093"/>
      <c r="G237" s="3094">
        <f t="shared" si="124"/>
        <v>0</v>
      </c>
      <c r="H237" s="3095">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2">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308">
        <f t="shared" si="127"/>
        <v>0</v>
      </c>
      <c r="AW237" s="1308">
        <f t="shared" si="128"/>
        <v>0</v>
      </c>
      <c r="AX237" s="1308">
        <f t="shared" si="129"/>
        <v>0</v>
      </c>
      <c r="AY237" s="3137">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4">
        <f t="shared" si="151"/>
        <v>0</v>
      </c>
    </row>
    <row r="238" spans="1:72">
      <c r="A238" s="3089"/>
      <c r="B238" s="3090"/>
      <c r="C238" s="3090"/>
      <c r="D238" s="3091"/>
      <c r="E238" s="3092">
        <f t="shared" si="123"/>
        <v>0</v>
      </c>
      <c r="F238" s="3093"/>
      <c r="G238" s="3094">
        <f t="shared" si="124"/>
        <v>0</v>
      </c>
      <c r="H238" s="3095">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2">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308">
        <f t="shared" si="127"/>
        <v>0</v>
      </c>
      <c r="AW238" s="1308">
        <f t="shared" si="128"/>
        <v>0</v>
      </c>
      <c r="AX238" s="1308">
        <f t="shared" si="129"/>
        <v>0</v>
      </c>
      <c r="AY238" s="3137">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4">
        <f t="shared" si="151"/>
        <v>0</v>
      </c>
    </row>
    <row r="239" spans="1:72">
      <c r="A239" s="3089"/>
      <c r="B239" s="3090"/>
      <c r="C239" s="3090"/>
      <c r="D239" s="3091"/>
      <c r="E239" s="3092">
        <f t="shared" si="123"/>
        <v>0</v>
      </c>
      <c r="F239" s="3093"/>
      <c r="G239" s="3094">
        <f t="shared" si="124"/>
        <v>0</v>
      </c>
      <c r="H239" s="3095">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2">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308">
        <f t="shared" si="127"/>
        <v>0</v>
      </c>
      <c r="AW239" s="1308">
        <f t="shared" si="128"/>
        <v>0</v>
      </c>
      <c r="AX239" s="1308">
        <f t="shared" si="129"/>
        <v>0</v>
      </c>
      <c r="AY239" s="3137">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4">
        <f t="shared" si="151"/>
        <v>0</v>
      </c>
    </row>
    <row r="240" spans="1:72">
      <c r="A240" s="3089"/>
      <c r="B240" s="3090"/>
      <c r="C240" s="3090"/>
      <c r="D240" s="3091"/>
      <c r="E240" s="3092">
        <f t="shared" si="123"/>
        <v>0</v>
      </c>
      <c r="F240" s="3093"/>
      <c r="G240" s="3094">
        <f t="shared" si="124"/>
        <v>0</v>
      </c>
      <c r="H240" s="3095">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2">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308">
        <f t="shared" si="127"/>
        <v>0</v>
      </c>
      <c r="AW240" s="1308">
        <f t="shared" si="128"/>
        <v>0</v>
      </c>
      <c r="AX240" s="1308">
        <f t="shared" si="129"/>
        <v>0</v>
      </c>
      <c r="AY240" s="3137">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4">
        <f t="shared" si="151"/>
        <v>0</v>
      </c>
    </row>
    <row r="241" spans="1:72">
      <c r="A241" s="3089"/>
      <c r="B241" s="3090"/>
      <c r="C241" s="3090"/>
      <c r="D241" s="3091"/>
      <c r="E241" s="3092">
        <f t="shared" si="123"/>
        <v>0</v>
      </c>
      <c r="F241" s="3093"/>
      <c r="G241" s="3094">
        <f t="shared" si="124"/>
        <v>0</v>
      </c>
      <c r="H241" s="3095">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2">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308">
        <f t="shared" si="127"/>
        <v>0</v>
      </c>
      <c r="AW241" s="1308">
        <f t="shared" si="128"/>
        <v>0</v>
      </c>
      <c r="AX241" s="1308">
        <f t="shared" si="129"/>
        <v>0</v>
      </c>
      <c r="AY241" s="3137">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4">
        <f t="shared" si="151"/>
        <v>0</v>
      </c>
    </row>
    <row r="242" spans="1:72">
      <c r="A242" s="3089"/>
      <c r="B242" s="3090"/>
      <c r="C242" s="3090"/>
      <c r="D242" s="3091"/>
      <c r="E242" s="3092">
        <f t="shared" si="123"/>
        <v>0</v>
      </c>
      <c r="F242" s="3093"/>
      <c r="G242" s="3094">
        <f t="shared" si="124"/>
        <v>0</v>
      </c>
      <c r="H242" s="3095">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2">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308">
        <f t="shared" si="127"/>
        <v>0</v>
      </c>
      <c r="AW242" s="1308">
        <f t="shared" si="128"/>
        <v>0</v>
      </c>
      <c r="AX242" s="1308">
        <f t="shared" si="129"/>
        <v>0</v>
      </c>
      <c r="AY242" s="3137">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4">
        <f t="shared" si="151"/>
        <v>0</v>
      </c>
    </row>
    <row r="243" spans="1:72">
      <c r="A243" s="3089"/>
      <c r="B243" s="3090"/>
      <c r="C243" s="3090"/>
      <c r="D243" s="3091"/>
      <c r="E243" s="3092">
        <f t="shared" si="123"/>
        <v>0</v>
      </c>
      <c r="F243" s="3093"/>
      <c r="G243" s="3094">
        <f t="shared" si="124"/>
        <v>0</v>
      </c>
      <c r="H243" s="3095">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2">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308">
        <f t="shared" si="127"/>
        <v>0</v>
      </c>
      <c r="AW243" s="1308">
        <f t="shared" si="128"/>
        <v>0</v>
      </c>
      <c r="AX243" s="1308">
        <f t="shared" si="129"/>
        <v>0</v>
      </c>
      <c r="AY243" s="3137">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4">
        <f t="shared" si="151"/>
        <v>0</v>
      </c>
    </row>
    <row r="244" spans="1:72">
      <c r="A244" s="3089"/>
      <c r="B244" s="3090"/>
      <c r="C244" s="3090"/>
      <c r="D244" s="3091"/>
      <c r="E244" s="3092">
        <f t="shared" si="123"/>
        <v>0</v>
      </c>
      <c r="F244" s="3093"/>
      <c r="G244" s="3094">
        <f t="shared" si="124"/>
        <v>0</v>
      </c>
      <c r="H244" s="3095">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2">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308">
        <f t="shared" si="127"/>
        <v>0</v>
      </c>
      <c r="AW244" s="1308">
        <f t="shared" si="128"/>
        <v>0</v>
      </c>
      <c r="AX244" s="1308">
        <f t="shared" si="129"/>
        <v>0</v>
      </c>
      <c r="AY244" s="3137">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4">
        <f t="shared" si="151"/>
        <v>0</v>
      </c>
    </row>
    <row r="245" spans="1:72">
      <c r="A245" s="3089"/>
      <c r="B245" s="3090"/>
      <c r="C245" s="3090"/>
      <c r="D245" s="3091"/>
      <c r="E245" s="3092">
        <f t="shared" si="123"/>
        <v>0</v>
      </c>
      <c r="F245" s="3093"/>
      <c r="G245" s="3094">
        <f t="shared" si="124"/>
        <v>0</v>
      </c>
      <c r="H245" s="3095">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2">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308">
        <f t="shared" si="127"/>
        <v>0</v>
      </c>
      <c r="AW245" s="1308">
        <f t="shared" si="128"/>
        <v>0</v>
      </c>
      <c r="AX245" s="1308">
        <f t="shared" si="129"/>
        <v>0</v>
      </c>
      <c r="AY245" s="3137">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4">
        <f t="shared" si="151"/>
        <v>0</v>
      </c>
    </row>
    <row r="246" spans="1:72">
      <c r="A246" s="3089"/>
      <c r="B246" s="3090"/>
      <c r="C246" s="3090"/>
      <c r="D246" s="3091"/>
      <c r="E246" s="3092">
        <f t="shared" si="123"/>
        <v>0</v>
      </c>
      <c r="F246" s="3093"/>
      <c r="G246" s="3094">
        <f t="shared" si="124"/>
        <v>0</v>
      </c>
      <c r="H246" s="3095">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2">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308">
        <f t="shared" si="127"/>
        <v>0</v>
      </c>
      <c r="AW246" s="1308">
        <f t="shared" si="128"/>
        <v>0</v>
      </c>
      <c r="AX246" s="1308">
        <f t="shared" si="129"/>
        <v>0</v>
      </c>
      <c r="AY246" s="3137">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4">
        <f t="shared" si="151"/>
        <v>0</v>
      </c>
    </row>
    <row r="247" spans="1:72">
      <c r="A247" s="3089"/>
      <c r="B247" s="3090"/>
      <c r="C247" s="3090"/>
      <c r="D247" s="3091"/>
      <c r="E247" s="3092">
        <f t="shared" si="123"/>
        <v>0</v>
      </c>
      <c r="F247" s="3093"/>
      <c r="G247" s="3094">
        <f t="shared" si="124"/>
        <v>0</v>
      </c>
      <c r="H247" s="3095">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2">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308">
        <f t="shared" si="127"/>
        <v>0</v>
      </c>
      <c r="AW247" s="1308">
        <f t="shared" si="128"/>
        <v>0</v>
      </c>
      <c r="AX247" s="1308">
        <f t="shared" si="129"/>
        <v>0</v>
      </c>
      <c r="AY247" s="3137">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4">
        <f t="shared" si="151"/>
        <v>0</v>
      </c>
    </row>
    <row r="248" spans="1:72">
      <c r="A248" s="3089"/>
      <c r="B248" s="3090"/>
      <c r="C248" s="3090"/>
      <c r="D248" s="3091"/>
      <c r="E248" s="3092">
        <f t="shared" si="123"/>
        <v>0</v>
      </c>
      <c r="F248" s="3093"/>
      <c r="G248" s="3094">
        <f t="shared" si="124"/>
        <v>0</v>
      </c>
      <c r="H248" s="3095">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2">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308">
        <f t="shared" si="127"/>
        <v>0</v>
      </c>
      <c r="AW248" s="1308">
        <f t="shared" si="128"/>
        <v>0</v>
      </c>
      <c r="AX248" s="1308">
        <f t="shared" si="129"/>
        <v>0</v>
      </c>
      <c r="AY248" s="3137">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4">
        <f t="shared" si="151"/>
        <v>0</v>
      </c>
    </row>
    <row r="249" spans="1:72">
      <c r="A249" s="3089"/>
      <c r="B249" s="3090"/>
      <c r="C249" s="3090"/>
      <c r="D249" s="3091"/>
      <c r="E249" s="3092">
        <f t="shared" si="123"/>
        <v>0</v>
      </c>
      <c r="F249" s="3093"/>
      <c r="G249" s="3094">
        <f t="shared" si="124"/>
        <v>0</v>
      </c>
      <c r="H249" s="3095">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2">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308">
        <f t="shared" si="127"/>
        <v>0</v>
      </c>
      <c r="AW249" s="1308">
        <f t="shared" si="128"/>
        <v>0</v>
      </c>
      <c r="AX249" s="1308">
        <f t="shared" si="129"/>
        <v>0</v>
      </c>
      <c r="AY249" s="3137">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4">
        <f t="shared" si="151"/>
        <v>0</v>
      </c>
    </row>
    <row r="250" spans="1:72">
      <c r="A250" s="3089"/>
      <c r="B250" s="3090"/>
      <c r="C250" s="3090"/>
      <c r="D250" s="3091"/>
      <c r="E250" s="3092">
        <f t="shared" si="123"/>
        <v>0</v>
      </c>
      <c r="F250" s="3093"/>
      <c r="G250" s="3094">
        <f t="shared" si="124"/>
        <v>0</v>
      </c>
      <c r="H250" s="3095">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2">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308">
        <f t="shared" si="127"/>
        <v>0</v>
      </c>
      <c r="AW250" s="1308">
        <f t="shared" si="128"/>
        <v>0</v>
      </c>
      <c r="AX250" s="1308">
        <f t="shared" si="129"/>
        <v>0</v>
      </c>
      <c r="AY250" s="3137">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4">
        <f t="shared" si="151"/>
        <v>0</v>
      </c>
    </row>
    <row r="251" spans="1:72">
      <c r="A251" s="3089"/>
      <c r="B251" s="3090"/>
      <c r="C251" s="3090"/>
      <c r="D251" s="3091"/>
      <c r="E251" s="3092">
        <f t="shared" si="123"/>
        <v>0</v>
      </c>
      <c r="F251" s="3093"/>
      <c r="G251" s="3094">
        <f t="shared" si="124"/>
        <v>0</v>
      </c>
      <c r="H251" s="3095">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2">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308">
        <f t="shared" si="127"/>
        <v>0</v>
      </c>
      <c r="AW251" s="1308">
        <f t="shared" si="128"/>
        <v>0</v>
      </c>
      <c r="AX251" s="1308">
        <f t="shared" si="129"/>
        <v>0</v>
      </c>
      <c r="AY251" s="3137">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4">
        <f t="shared" si="151"/>
        <v>0</v>
      </c>
    </row>
    <row r="252" spans="1:72">
      <c r="A252" s="3089"/>
      <c r="B252" s="3090"/>
      <c r="C252" s="3090"/>
      <c r="D252" s="3091"/>
      <c r="E252" s="3092">
        <f t="shared" si="123"/>
        <v>0</v>
      </c>
      <c r="F252" s="3093"/>
      <c r="G252" s="3094">
        <f t="shared" si="124"/>
        <v>0</v>
      </c>
      <c r="H252" s="3095">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2">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308">
        <f t="shared" si="127"/>
        <v>0</v>
      </c>
      <c r="AW252" s="1308">
        <f t="shared" si="128"/>
        <v>0</v>
      </c>
      <c r="AX252" s="1308">
        <f t="shared" si="129"/>
        <v>0</v>
      </c>
      <c r="AY252" s="3137">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4">
        <f t="shared" si="151"/>
        <v>0</v>
      </c>
    </row>
    <row r="253" spans="1:72">
      <c r="A253" s="3089"/>
      <c r="B253" s="3090"/>
      <c r="C253" s="3090"/>
      <c r="D253" s="3091"/>
      <c r="E253" s="3092">
        <f t="shared" si="123"/>
        <v>0</v>
      </c>
      <c r="F253" s="3093"/>
      <c r="G253" s="3094">
        <f t="shared" si="124"/>
        <v>0</v>
      </c>
      <c r="H253" s="3095">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2">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308">
        <f t="shared" si="127"/>
        <v>0</v>
      </c>
      <c r="AW253" s="1308">
        <f t="shared" si="128"/>
        <v>0</v>
      </c>
      <c r="AX253" s="1308">
        <f t="shared" si="129"/>
        <v>0</v>
      </c>
      <c r="AY253" s="3137">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4">
        <f t="shared" si="151"/>
        <v>0</v>
      </c>
    </row>
    <row r="254" spans="1:72">
      <c r="A254" s="3089"/>
      <c r="B254" s="3090"/>
      <c r="C254" s="3090"/>
      <c r="D254" s="3091"/>
      <c r="E254" s="3092">
        <f t="shared" si="123"/>
        <v>0</v>
      </c>
      <c r="F254" s="3093"/>
      <c r="G254" s="3094">
        <f t="shared" si="124"/>
        <v>0</v>
      </c>
      <c r="H254" s="3095">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2">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308">
        <f t="shared" si="127"/>
        <v>0</v>
      </c>
      <c r="AW254" s="1308">
        <f t="shared" si="128"/>
        <v>0</v>
      </c>
      <c r="AX254" s="1308">
        <f t="shared" si="129"/>
        <v>0</v>
      </c>
      <c r="AY254" s="3137">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4">
        <f t="shared" si="151"/>
        <v>0</v>
      </c>
    </row>
    <row r="255" spans="1:72">
      <c r="A255" s="3089"/>
      <c r="B255" s="3090"/>
      <c r="C255" s="3090"/>
      <c r="D255" s="3091"/>
      <c r="E255" s="3092">
        <f t="shared" si="123"/>
        <v>0</v>
      </c>
      <c r="F255" s="3093"/>
      <c r="G255" s="3094">
        <f t="shared" si="124"/>
        <v>0</v>
      </c>
      <c r="H255" s="3095">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2">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308">
        <f t="shared" si="127"/>
        <v>0</v>
      </c>
      <c r="AW255" s="1308">
        <f t="shared" si="128"/>
        <v>0</v>
      </c>
      <c r="AX255" s="1308">
        <f t="shared" si="129"/>
        <v>0</v>
      </c>
      <c r="AY255" s="3137">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4">
        <f t="shared" si="151"/>
        <v>0</v>
      </c>
    </row>
    <row r="256" spans="1:72">
      <c r="A256" s="3089"/>
      <c r="B256" s="3090"/>
      <c r="C256" s="3090"/>
      <c r="D256" s="3091"/>
      <c r="E256" s="3092">
        <f t="shared" si="123"/>
        <v>0</v>
      </c>
      <c r="F256" s="3093"/>
      <c r="G256" s="3094">
        <f t="shared" si="124"/>
        <v>0</v>
      </c>
      <c r="H256" s="3095">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2">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308">
        <f t="shared" si="127"/>
        <v>0</v>
      </c>
      <c r="AW256" s="1308">
        <f t="shared" si="128"/>
        <v>0</v>
      </c>
      <c r="AX256" s="1308">
        <f t="shared" si="129"/>
        <v>0</v>
      </c>
      <c r="AY256" s="3137">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4">
        <f t="shared" si="151"/>
        <v>0</v>
      </c>
    </row>
    <row r="257" spans="1:72">
      <c r="A257" s="3089"/>
      <c r="B257" s="3090"/>
      <c r="C257" s="3090"/>
      <c r="D257" s="3091"/>
      <c r="E257" s="3092">
        <f t="shared" si="123"/>
        <v>0</v>
      </c>
      <c r="F257" s="3093"/>
      <c r="G257" s="3094">
        <f t="shared" si="124"/>
        <v>0</v>
      </c>
      <c r="H257" s="3095">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2">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308">
        <f t="shared" si="127"/>
        <v>0</v>
      </c>
      <c r="AW257" s="1308">
        <f t="shared" si="128"/>
        <v>0</v>
      </c>
      <c r="AX257" s="1308">
        <f t="shared" si="129"/>
        <v>0</v>
      </c>
      <c r="AY257" s="3137">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4">
        <f t="shared" si="151"/>
        <v>0</v>
      </c>
    </row>
    <row r="258" spans="1:72">
      <c r="A258" s="3089"/>
      <c r="B258" s="3090"/>
      <c r="C258" s="3090"/>
      <c r="D258" s="3091"/>
      <c r="E258" s="3092">
        <f t="shared" si="123"/>
        <v>0</v>
      </c>
      <c r="F258" s="3093"/>
      <c r="G258" s="3094">
        <f t="shared" si="124"/>
        <v>0</v>
      </c>
      <c r="H258" s="3095">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2">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308">
        <f t="shared" si="127"/>
        <v>0</v>
      </c>
      <c r="AW258" s="1308">
        <f t="shared" si="128"/>
        <v>0</v>
      </c>
      <c r="AX258" s="1308">
        <f t="shared" si="129"/>
        <v>0</v>
      </c>
      <c r="AY258" s="3137">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4">
        <f t="shared" si="151"/>
        <v>0</v>
      </c>
    </row>
    <row r="259" spans="1:72">
      <c r="A259" s="3089"/>
      <c r="B259" s="3090"/>
      <c r="C259" s="3090"/>
      <c r="D259" s="3091"/>
      <c r="E259" s="3092">
        <f t="shared" si="123"/>
        <v>0</v>
      </c>
      <c r="F259" s="3093"/>
      <c r="G259" s="3094">
        <f t="shared" si="124"/>
        <v>0</v>
      </c>
      <c r="H259" s="3095">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2">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308">
        <f t="shared" si="127"/>
        <v>0</v>
      </c>
      <c r="AW259" s="1308">
        <f t="shared" si="128"/>
        <v>0</v>
      </c>
      <c r="AX259" s="1308">
        <f t="shared" si="129"/>
        <v>0</v>
      </c>
      <c r="AY259" s="3137">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4">
        <f t="shared" si="151"/>
        <v>0</v>
      </c>
    </row>
    <row r="260" spans="1:72">
      <c r="A260" s="3089"/>
      <c r="B260" s="3090"/>
      <c r="C260" s="3090"/>
      <c r="D260" s="3091"/>
      <c r="E260" s="3092">
        <f t="shared" si="123"/>
        <v>0</v>
      </c>
      <c r="F260" s="3093"/>
      <c r="G260" s="3094">
        <f t="shared" si="124"/>
        <v>0</v>
      </c>
      <c r="H260" s="3095">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2">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308">
        <f t="shared" si="127"/>
        <v>0</v>
      </c>
      <c r="AW260" s="1308">
        <f t="shared" si="128"/>
        <v>0</v>
      </c>
      <c r="AX260" s="1308">
        <f t="shared" si="129"/>
        <v>0</v>
      </c>
      <c r="AY260" s="3137">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4">
        <f t="shared" si="151"/>
        <v>0</v>
      </c>
    </row>
    <row r="261" spans="1:72">
      <c r="A261" s="3089"/>
      <c r="B261" s="3090"/>
      <c r="C261" s="3090"/>
      <c r="D261" s="3091"/>
      <c r="E261" s="3092">
        <f t="shared" si="123"/>
        <v>0</v>
      </c>
      <c r="F261" s="3093"/>
      <c r="G261" s="3094">
        <f t="shared" si="124"/>
        <v>0</v>
      </c>
      <c r="H261" s="3095">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2">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308">
        <f t="shared" si="127"/>
        <v>0</v>
      </c>
      <c r="AW261" s="1308">
        <f t="shared" si="128"/>
        <v>0</v>
      </c>
      <c r="AX261" s="1308">
        <f t="shared" si="129"/>
        <v>0</v>
      </c>
      <c r="AY261" s="3137">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4">
        <f t="shared" si="151"/>
        <v>0</v>
      </c>
    </row>
    <row r="262" spans="1:72">
      <c r="A262" s="3089"/>
      <c r="B262" s="3090"/>
      <c r="C262" s="3090"/>
      <c r="D262" s="3091"/>
      <c r="E262" s="3092">
        <f t="shared" si="123"/>
        <v>0</v>
      </c>
      <c r="F262" s="3093"/>
      <c r="G262" s="3094">
        <f t="shared" si="124"/>
        <v>0</v>
      </c>
      <c r="H262" s="3095">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2">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308">
        <f t="shared" si="127"/>
        <v>0</v>
      </c>
      <c r="AW262" s="1308">
        <f t="shared" si="128"/>
        <v>0</v>
      </c>
      <c r="AX262" s="1308">
        <f t="shared" si="129"/>
        <v>0</v>
      </c>
      <c r="AY262" s="3137">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4">
        <f t="shared" si="151"/>
        <v>0</v>
      </c>
    </row>
    <row r="263" spans="1:72">
      <c r="A263" s="3089"/>
      <c r="B263" s="3090"/>
      <c r="C263" s="3090"/>
      <c r="D263" s="3091"/>
      <c r="E263" s="3092">
        <f t="shared" si="123"/>
        <v>0</v>
      </c>
      <c r="F263" s="3093"/>
      <c r="G263" s="3094">
        <f t="shared" si="124"/>
        <v>0</v>
      </c>
      <c r="H263" s="3095">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2">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308">
        <f t="shared" si="127"/>
        <v>0</v>
      </c>
      <c r="AW263" s="1308">
        <f t="shared" si="128"/>
        <v>0</v>
      </c>
      <c r="AX263" s="1308">
        <f t="shared" si="129"/>
        <v>0</v>
      </c>
      <c r="AY263" s="3137">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4">
        <f t="shared" si="151"/>
        <v>0</v>
      </c>
    </row>
    <row r="264" spans="1:72">
      <c r="A264" s="3089"/>
      <c r="B264" s="3090"/>
      <c r="C264" s="3090"/>
      <c r="D264" s="3091"/>
      <c r="E264" s="3092">
        <f t="shared" si="123"/>
        <v>0</v>
      </c>
      <c r="F264" s="3093"/>
      <c r="G264" s="3094">
        <f t="shared" si="124"/>
        <v>0</v>
      </c>
      <c r="H264" s="3095">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2">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308">
        <f t="shared" si="127"/>
        <v>0</v>
      </c>
      <c r="AW264" s="1308">
        <f t="shared" si="128"/>
        <v>0</v>
      </c>
      <c r="AX264" s="1308">
        <f t="shared" si="129"/>
        <v>0</v>
      </c>
      <c r="AY264" s="3137">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4">
        <f t="shared" si="151"/>
        <v>0</v>
      </c>
    </row>
    <row r="265" spans="1:72">
      <c r="A265" s="3089"/>
      <c r="B265" s="3090"/>
      <c r="C265" s="3090"/>
      <c r="D265" s="3091"/>
      <c r="E265" s="3092">
        <f t="shared" si="123"/>
        <v>0</v>
      </c>
      <c r="F265" s="3093"/>
      <c r="G265" s="3094">
        <f t="shared" si="124"/>
        <v>0</v>
      </c>
      <c r="H265" s="3095">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2">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308">
        <f t="shared" si="127"/>
        <v>0</v>
      </c>
      <c r="AW265" s="1308">
        <f t="shared" si="128"/>
        <v>0</v>
      </c>
      <c r="AX265" s="1308">
        <f t="shared" si="129"/>
        <v>0</v>
      </c>
      <c r="AY265" s="3137">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4">
        <f t="shared" si="151"/>
        <v>0</v>
      </c>
    </row>
    <row r="266" spans="1:72">
      <c r="A266" s="3089"/>
      <c r="B266" s="3090"/>
      <c r="C266" s="3090"/>
      <c r="D266" s="3091"/>
      <c r="E266" s="3092">
        <f t="shared" si="123"/>
        <v>0</v>
      </c>
      <c r="F266" s="3093"/>
      <c r="G266" s="3094">
        <f t="shared" si="124"/>
        <v>0</v>
      </c>
      <c r="H266" s="3095">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2">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308">
        <f t="shared" si="127"/>
        <v>0</v>
      </c>
      <c r="AW266" s="1308">
        <f t="shared" si="128"/>
        <v>0</v>
      </c>
      <c r="AX266" s="1308">
        <f t="shared" si="129"/>
        <v>0</v>
      </c>
      <c r="AY266" s="3137">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4">
        <f t="shared" si="151"/>
        <v>0</v>
      </c>
    </row>
    <row r="267" spans="1:72">
      <c r="A267" s="3089"/>
      <c r="B267" s="3090"/>
      <c r="C267" s="3090"/>
      <c r="D267" s="3091"/>
      <c r="E267" s="3092">
        <f t="shared" si="123"/>
        <v>0</v>
      </c>
      <c r="F267" s="3093"/>
      <c r="G267" s="3094">
        <f t="shared" si="124"/>
        <v>0</v>
      </c>
      <c r="H267" s="3095">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2">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308">
        <f t="shared" si="127"/>
        <v>0</v>
      </c>
      <c r="AW267" s="1308">
        <f t="shared" si="128"/>
        <v>0</v>
      </c>
      <c r="AX267" s="1308">
        <f t="shared" si="129"/>
        <v>0</v>
      </c>
      <c r="AY267" s="3137">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4">
        <f t="shared" si="151"/>
        <v>0</v>
      </c>
    </row>
    <row r="268" spans="1:72">
      <c r="A268" s="3089"/>
      <c r="B268" s="3090"/>
      <c r="C268" s="3090"/>
      <c r="D268" s="3091"/>
      <c r="E268" s="3092">
        <f t="shared" si="123"/>
        <v>0</v>
      </c>
      <c r="F268" s="3093"/>
      <c r="G268" s="3094">
        <f t="shared" si="124"/>
        <v>0</v>
      </c>
      <c r="H268" s="3095">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2">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308">
        <f t="shared" si="127"/>
        <v>0</v>
      </c>
      <c r="AW268" s="1308">
        <f t="shared" si="128"/>
        <v>0</v>
      </c>
      <c r="AX268" s="1308">
        <f t="shared" si="129"/>
        <v>0</v>
      </c>
      <c r="AY268" s="3137">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4">
        <f t="shared" si="151"/>
        <v>0</v>
      </c>
    </row>
    <row r="269" spans="1:72">
      <c r="A269" s="3089"/>
      <c r="B269" s="3090"/>
      <c r="C269" s="3090"/>
      <c r="D269" s="3091"/>
      <c r="E269" s="3092">
        <f t="shared" si="123"/>
        <v>0</v>
      </c>
      <c r="F269" s="3093"/>
      <c r="G269" s="3094">
        <f t="shared" si="124"/>
        <v>0</v>
      </c>
      <c r="H269" s="3095">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2">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308">
        <f t="shared" si="127"/>
        <v>0</v>
      </c>
      <c r="AW269" s="1308">
        <f t="shared" si="128"/>
        <v>0</v>
      </c>
      <c r="AX269" s="1308">
        <f t="shared" si="129"/>
        <v>0</v>
      </c>
      <c r="AY269" s="3137">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4">
        <f t="shared" si="151"/>
        <v>0</v>
      </c>
    </row>
    <row r="270" spans="1:72">
      <c r="A270" s="3089"/>
      <c r="B270" s="3090"/>
      <c r="C270" s="3090"/>
      <c r="D270" s="3091"/>
      <c r="E270" s="3092">
        <f t="shared" si="123"/>
        <v>0</v>
      </c>
      <c r="F270" s="3093"/>
      <c r="G270" s="3094">
        <f t="shared" si="124"/>
        <v>0</v>
      </c>
      <c r="H270" s="3095">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2">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308">
        <f t="shared" si="127"/>
        <v>0</v>
      </c>
      <c r="AW270" s="1308">
        <f t="shared" si="128"/>
        <v>0</v>
      </c>
      <c r="AX270" s="1308">
        <f t="shared" si="129"/>
        <v>0</v>
      </c>
      <c r="AY270" s="3137">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4">
        <f t="shared" si="151"/>
        <v>0</v>
      </c>
    </row>
    <row r="271" spans="1:72">
      <c r="A271" s="3089"/>
      <c r="B271" s="3090"/>
      <c r="C271" s="3090"/>
      <c r="D271" s="3091"/>
      <c r="E271" s="3092">
        <f t="shared" si="123"/>
        <v>0</v>
      </c>
      <c r="F271" s="3093"/>
      <c r="G271" s="3094">
        <f t="shared" si="124"/>
        <v>0</v>
      </c>
      <c r="H271" s="3095">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2">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308">
        <f t="shared" si="127"/>
        <v>0</v>
      </c>
      <c r="AW271" s="1308">
        <f t="shared" si="128"/>
        <v>0</v>
      </c>
      <c r="AX271" s="1308">
        <f t="shared" si="129"/>
        <v>0</v>
      </c>
      <c r="AY271" s="3137">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4">
        <f t="shared" si="151"/>
        <v>0</v>
      </c>
    </row>
    <row r="272" spans="1:72">
      <c r="A272" s="3089"/>
      <c r="B272" s="3090"/>
      <c r="C272" s="3090"/>
      <c r="D272" s="3091"/>
      <c r="E272" s="3092">
        <f t="shared" si="123"/>
        <v>0</v>
      </c>
      <c r="F272" s="3093"/>
      <c r="G272" s="3094">
        <f t="shared" si="124"/>
        <v>0</v>
      </c>
      <c r="H272" s="3095">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2">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308">
        <f t="shared" si="127"/>
        <v>0</v>
      </c>
      <c r="AW272" s="1308">
        <f t="shared" si="128"/>
        <v>0</v>
      </c>
      <c r="AX272" s="1308">
        <f t="shared" si="129"/>
        <v>0</v>
      </c>
      <c r="AY272" s="3137">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4">
        <f t="shared" si="151"/>
        <v>0</v>
      </c>
    </row>
    <row r="273" spans="1:72">
      <c r="A273" s="3089"/>
      <c r="B273" s="3090"/>
      <c r="C273" s="3090"/>
      <c r="D273" s="3091"/>
      <c r="E273" s="3092">
        <f t="shared" si="123"/>
        <v>0</v>
      </c>
      <c r="F273" s="3093"/>
      <c r="G273" s="3094">
        <f t="shared" si="124"/>
        <v>0</v>
      </c>
      <c r="H273" s="3095">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2">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308">
        <f t="shared" si="127"/>
        <v>0</v>
      </c>
      <c r="AW273" s="1308">
        <f t="shared" si="128"/>
        <v>0</v>
      </c>
      <c r="AX273" s="1308">
        <f t="shared" si="129"/>
        <v>0</v>
      </c>
      <c r="AY273" s="3137">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4">
        <f t="shared" si="151"/>
        <v>0</v>
      </c>
    </row>
    <row r="274" spans="1:72">
      <c r="A274" s="3089"/>
      <c r="B274" s="3090"/>
      <c r="C274" s="3090"/>
      <c r="D274" s="3091"/>
      <c r="E274" s="3092">
        <f t="shared" si="123"/>
        <v>0</v>
      </c>
      <c r="F274" s="3093"/>
      <c r="G274" s="3094">
        <f t="shared" si="124"/>
        <v>0</v>
      </c>
      <c r="H274" s="3095">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2">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308">
        <f t="shared" si="127"/>
        <v>0</v>
      </c>
      <c r="AW274" s="1308">
        <f t="shared" si="128"/>
        <v>0</v>
      </c>
      <c r="AX274" s="1308">
        <f t="shared" si="129"/>
        <v>0</v>
      </c>
      <c r="AY274" s="3137">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4">
        <f t="shared" si="151"/>
        <v>0</v>
      </c>
    </row>
    <row r="275" spans="1:72">
      <c r="A275" s="3089"/>
      <c r="B275" s="3090"/>
      <c r="C275" s="3090"/>
      <c r="D275" s="3091"/>
      <c r="E275" s="3092">
        <f t="shared" si="123"/>
        <v>0</v>
      </c>
      <c r="F275" s="3093"/>
      <c r="G275" s="3094">
        <f t="shared" si="124"/>
        <v>0</v>
      </c>
      <c r="H275" s="3095">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2">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308">
        <f t="shared" si="127"/>
        <v>0</v>
      </c>
      <c r="AW275" s="1308">
        <f t="shared" si="128"/>
        <v>0</v>
      </c>
      <c r="AX275" s="1308">
        <f t="shared" si="129"/>
        <v>0</v>
      </c>
      <c r="AY275" s="3137">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4">
        <f t="shared" si="151"/>
        <v>0</v>
      </c>
    </row>
    <row r="276" spans="1:72">
      <c r="A276" s="3089"/>
      <c r="B276" s="3090"/>
      <c r="C276" s="3090"/>
      <c r="D276" s="3091"/>
      <c r="E276" s="3092">
        <f t="shared" si="123"/>
        <v>0</v>
      </c>
      <c r="F276" s="3093"/>
      <c r="G276" s="3094">
        <f t="shared" si="124"/>
        <v>0</v>
      </c>
      <c r="H276" s="3095">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2">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308">
        <f t="shared" si="127"/>
        <v>0</v>
      </c>
      <c r="AW276" s="1308">
        <f t="shared" si="128"/>
        <v>0</v>
      </c>
      <c r="AX276" s="1308">
        <f t="shared" si="129"/>
        <v>0</v>
      </c>
      <c r="AY276" s="3137">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4">
        <f t="shared" si="151"/>
        <v>0</v>
      </c>
    </row>
    <row r="277" spans="1:72">
      <c r="A277" s="3089"/>
      <c r="B277" s="3090"/>
      <c r="C277" s="3090"/>
      <c r="D277" s="3091"/>
      <c r="E277" s="3092">
        <f t="shared" si="123"/>
        <v>0</v>
      </c>
      <c r="F277" s="3093"/>
      <c r="G277" s="3094">
        <f t="shared" si="124"/>
        <v>0</v>
      </c>
      <c r="H277" s="3095">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2">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308">
        <f t="shared" si="127"/>
        <v>0</v>
      </c>
      <c r="AW277" s="1308">
        <f t="shared" si="128"/>
        <v>0</v>
      </c>
      <c r="AX277" s="1308">
        <f t="shared" si="129"/>
        <v>0</v>
      </c>
      <c r="AY277" s="3137">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4">
        <f t="shared" si="151"/>
        <v>0</v>
      </c>
    </row>
    <row r="278" spans="1:72">
      <c r="A278" s="3089"/>
      <c r="B278" s="3090"/>
      <c r="C278" s="3090"/>
      <c r="D278" s="3091"/>
      <c r="E278" s="3092">
        <f t="shared" si="123"/>
        <v>0</v>
      </c>
      <c r="F278" s="3093"/>
      <c r="G278" s="3094">
        <f t="shared" si="124"/>
        <v>0</v>
      </c>
      <c r="H278" s="3095">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2">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308">
        <f t="shared" si="127"/>
        <v>0</v>
      </c>
      <c r="AW278" s="1308">
        <f t="shared" si="128"/>
        <v>0</v>
      </c>
      <c r="AX278" s="1308">
        <f t="shared" si="129"/>
        <v>0</v>
      </c>
      <c r="AY278" s="3137">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4">
        <f t="shared" si="151"/>
        <v>0</v>
      </c>
    </row>
    <row r="279" spans="1:72">
      <c r="A279" s="3089"/>
      <c r="B279" s="3090"/>
      <c r="C279" s="3090"/>
      <c r="D279" s="3091"/>
      <c r="E279" s="3092">
        <f t="shared" si="123"/>
        <v>0</v>
      </c>
      <c r="F279" s="3093"/>
      <c r="G279" s="3094">
        <f t="shared" si="124"/>
        <v>0</v>
      </c>
      <c r="H279" s="3095">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2">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308">
        <f t="shared" si="127"/>
        <v>0</v>
      </c>
      <c r="AW279" s="1308">
        <f t="shared" si="128"/>
        <v>0</v>
      </c>
      <c r="AX279" s="1308">
        <f t="shared" si="129"/>
        <v>0</v>
      </c>
      <c r="AY279" s="3137">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4">
        <f t="shared" si="151"/>
        <v>0</v>
      </c>
    </row>
    <row r="280" spans="1:72">
      <c r="A280" s="3089"/>
      <c r="B280" s="3090"/>
      <c r="C280" s="3090"/>
      <c r="D280" s="3091"/>
      <c r="E280" s="3092">
        <f t="shared" si="123"/>
        <v>0</v>
      </c>
      <c r="F280" s="3093"/>
      <c r="G280" s="3094">
        <f t="shared" si="124"/>
        <v>0</v>
      </c>
      <c r="H280" s="3095">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2">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308">
        <f t="shared" si="127"/>
        <v>0</v>
      </c>
      <c r="AW280" s="1308">
        <f t="shared" si="128"/>
        <v>0</v>
      </c>
      <c r="AX280" s="1308">
        <f t="shared" si="129"/>
        <v>0</v>
      </c>
      <c r="AY280" s="3137">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4">
        <f t="shared" si="151"/>
        <v>0</v>
      </c>
    </row>
    <row r="281" spans="1:72">
      <c r="A281" s="3089"/>
      <c r="B281" s="3090"/>
      <c r="C281" s="3090"/>
      <c r="D281" s="3091"/>
      <c r="E281" s="3092">
        <f t="shared" si="123"/>
        <v>0</v>
      </c>
      <c r="F281" s="3093"/>
      <c r="G281" s="3094">
        <f t="shared" si="124"/>
        <v>0</v>
      </c>
      <c r="H281" s="3095">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2">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308">
        <f t="shared" si="127"/>
        <v>0</v>
      </c>
      <c r="AW281" s="1308">
        <f t="shared" si="128"/>
        <v>0</v>
      </c>
      <c r="AX281" s="1308">
        <f t="shared" si="129"/>
        <v>0</v>
      </c>
      <c r="AY281" s="3137">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4">
        <f t="shared" si="151"/>
        <v>0</v>
      </c>
    </row>
    <row r="282" spans="1:72">
      <c r="A282" s="3089"/>
      <c r="B282" s="3090"/>
      <c r="C282" s="3090"/>
      <c r="D282" s="3091"/>
      <c r="E282" s="3092">
        <f t="shared" si="123"/>
        <v>0</v>
      </c>
      <c r="F282" s="3093"/>
      <c r="G282" s="3094">
        <f t="shared" si="124"/>
        <v>0</v>
      </c>
      <c r="H282" s="3095">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2">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308">
        <f t="shared" si="127"/>
        <v>0</v>
      </c>
      <c r="AW282" s="1308">
        <f t="shared" si="128"/>
        <v>0</v>
      </c>
      <c r="AX282" s="1308">
        <f t="shared" si="129"/>
        <v>0</v>
      </c>
      <c r="AY282" s="3137">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4">
        <f t="shared" si="151"/>
        <v>0</v>
      </c>
    </row>
    <row r="283" spans="1:72">
      <c r="A283" s="3089"/>
      <c r="B283" s="3090"/>
      <c r="C283" s="3090"/>
      <c r="D283" s="3091"/>
      <c r="E283" s="3092">
        <f t="shared" si="123"/>
        <v>0</v>
      </c>
      <c r="F283" s="3093"/>
      <c r="G283" s="3094">
        <f t="shared" si="124"/>
        <v>0</v>
      </c>
      <c r="H283" s="3095">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2">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308">
        <f t="shared" si="127"/>
        <v>0</v>
      </c>
      <c r="AW283" s="1308">
        <f t="shared" si="128"/>
        <v>0</v>
      </c>
      <c r="AX283" s="1308">
        <f t="shared" si="129"/>
        <v>0</v>
      </c>
      <c r="AY283" s="3137">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4">
        <f t="shared" si="151"/>
        <v>0</v>
      </c>
    </row>
    <row r="284" spans="1:72">
      <c r="A284" s="3089"/>
      <c r="B284" s="3090"/>
      <c r="C284" s="3090"/>
      <c r="D284" s="3091"/>
      <c r="E284" s="3092">
        <f t="shared" si="123"/>
        <v>0</v>
      </c>
      <c r="F284" s="3093"/>
      <c r="G284" s="3094">
        <f t="shared" si="124"/>
        <v>0</v>
      </c>
      <c r="H284" s="3095">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2">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308">
        <f t="shared" si="127"/>
        <v>0</v>
      </c>
      <c r="AW284" s="1308">
        <f t="shared" si="128"/>
        <v>0</v>
      </c>
      <c r="AX284" s="1308">
        <f t="shared" si="129"/>
        <v>0</v>
      </c>
      <c r="AY284" s="3137">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4">
        <f t="shared" si="151"/>
        <v>0</v>
      </c>
    </row>
    <row r="285" spans="1:72">
      <c r="A285" s="3089"/>
      <c r="B285" s="3090"/>
      <c r="C285" s="3090"/>
      <c r="D285" s="3091"/>
      <c r="E285" s="3092">
        <f t="shared" si="123"/>
        <v>0</v>
      </c>
      <c r="F285" s="3093"/>
      <c r="G285" s="3094">
        <f t="shared" si="124"/>
        <v>0</v>
      </c>
      <c r="H285" s="3095">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2">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308">
        <f t="shared" si="127"/>
        <v>0</v>
      </c>
      <c r="AW285" s="1308">
        <f t="shared" si="128"/>
        <v>0</v>
      </c>
      <c r="AX285" s="1308">
        <f t="shared" si="129"/>
        <v>0</v>
      </c>
      <c r="AY285" s="3137">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4">
        <f t="shared" si="151"/>
        <v>0</v>
      </c>
    </row>
    <row r="286" spans="1:72">
      <c r="A286" s="3089"/>
      <c r="B286" s="3090"/>
      <c r="C286" s="3090"/>
      <c r="D286" s="3091"/>
      <c r="E286" s="3092">
        <f t="shared" si="123"/>
        <v>0</v>
      </c>
      <c r="F286" s="3093"/>
      <c r="G286" s="3094">
        <f t="shared" si="124"/>
        <v>0</v>
      </c>
      <c r="H286" s="3095">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2">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308">
        <f t="shared" si="127"/>
        <v>0</v>
      </c>
      <c r="AW286" s="1308">
        <f t="shared" si="128"/>
        <v>0</v>
      </c>
      <c r="AX286" s="1308">
        <f t="shared" si="129"/>
        <v>0</v>
      </c>
      <c r="AY286" s="3137">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4">
        <f t="shared" si="151"/>
        <v>0</v>
      </c>
    </row>
    <row r="287" spans="1:72">
      <c r="A287" s="3089"/>
      <c r="B287" s="3090"/>
      <c r="C287" s="3090"/>
      <c r="D287" s="3091"/>
      <c r="E287" s="3092">
        <f t="shared" si="123"/>
        <v>0</v>
      </c>
      <c r="F287" s="3093"/>
      <c r="G287" s="3094">
        <f t="shared" si="124"/>
        <v>0</v>
      </c>
      <c r="H287" s="3095">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2">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308">
        <f t="shared" si="127"/>
        <v>0</v>
      </c>
      <c r="AW287" s="1308">
        <f t="shared" si="128"/>
        <v>0</v>
      </c>
      <c r="AX287" s="1308">
        <f t="shared" si="129"/>
        <v>0</v>
      </c>
      <c r="AY287" s="3137">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4">
        <f t="shared" si="151"/>
        <v>0</v>
      </c>
    </row>
    <row r="288" spans="1:72">
      <c r="A288" s="3089"/>
      <c r="B288" s="3090"/>
      <c r="C288" s="3090"/>
      <c r="D288" s="3091"/>
      <c r="E288" s="3092">
        <f t="shared" si="123"/>
        <v>0</v>
      </c>
      <c r="F288" s="3093"/>
      <c r="G288" s="3094">
        <f t="shared" si="124"/>
        <v>0</v>
      </c>
      <c r="H288" s="3095">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2">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308">
        <f t="shared" si="127"/>
        <v>0</v>
      </c>
      <c r="AW288" s="1308">
        <f t="shared" si="128"/>
        <v>0</v>
      </c>
      <c r="AX288" s="1308">
        <f t="shared" si="129"/>
        <v>0</v>
      </c>
      <c r="AY288" s="3137">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4">
        <f t="shared" si="151"/>
        <v>0</v>
      </c>
    </row>
    <row r="289" spans="1:72">
      <c r="A289" s="3089"/>
      <c r="B289" s="3090"/>
      <c r="C289" s="3090"/>
      <c r="D289" s="3091"/>
      <c r="E289" s="3092">
        <f t="shared" si="123"/>
        <v>0</v>
      </c>
      <c r="F289" s="3093"/>
      <c r="G289" s="3094">
        <f t="shared" si="124"/>
        <v>0</v>
      </c>
      <c r="H289" s="3095">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2">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308">
        <f t="shared" si="127"/>
        <v>0</v>
      </c>
      <c r="AW289" s="1308">
        <f t="shared" si="128"/>
        <v>0</v>
      </c>
      <c r="AX289" s="1308">
        <f t="shared" si="129"/>
        <v>0</v>
      </c>
      <c r="AY289" s="3137">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4">
        <f t="shared" si="151"/>
        <v>0</v>
      </c>
    </row>
    <row r="290" spans="1:72">
      <c r="A290" s="3089"/>
      <c r="B290" s="3090"/>
      <c r="C290" s="3090"/>
      <c r="D290" s="3091"/>
      <c r="E290" s="3092">
        <f t="shared" si="123"/>
        <v>0</v>
      </c>
      <c r="F290" s="3093"/>
      <c r="G290" s="3094">
        <f t="shared" si="124"/>
        <v>0</v>
      </c>
      <c r="H290" s="3095">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2">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308">
        <f t="shared" si="127"/>
        <v>0</v>
      </c>
      <c r="AW290" s="1308">
        <f t="shared" si="128"/>
        <v>0</v>
      </c>
      <c r="AX290" s="1308">
        <f t="shared" si="129"/>
        <v>0</v>
      </c>
      <c r="AY290" s="3137">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4">
        <f t="shared" si="151"/>
        <v>0</v>
      </c>
    </row>
    <row r="291" spans="1:72">
      <c r="A291" s="3089"/>
      <c r="B291" s="3090"/>
      <c r="C291" s="3090"/>
      <c r="D291" s="3091"/>
      <c r="E291" s="3092">
        <f t="shared" si="123"/>
        <v>0</v>
      </c>
      <c r="F291" s="3093"/>
      <c r="G291" s="3094">
        <f t="shared" si="124"/>
        <v>0</v>
      </c>
      <c r="H291" s="3095">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2">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308">
        <f t="shared" si="127"/>
        <v>0</v>
      </c>
      <c r="AW291" s="1308">
        <f t="shared" si="128"/>
        <v>0</v>
      </c>
      <c r="AX291" s="1308">
        <f t="shared" si="129"/>
        <v>0</v>
      </c>
      <c r="AY291" s="3137">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4">
        <f t="shared" si="151"/>
        <v>0</v>
      </c>
    </row>
    <row r="292" spans="1:72">
      <c r="A292" s="3089"/>
      <c r="B292" s="3090"/>
      <c r="C292" s="3090"/>
      <c r="D292" s="3091"/>
      <c r="E292" s="3092">
        <f t="shared" si="123"/>
        <v>0</v>
      </c>
      <c r="F292" s="3093"/>
      <c r="G292" s="3094">
        <f t="shared" si="124"/>
        <v>0</v>
      </c>
      <c r="H292" s="3095">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2">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308">
        <f t="shared" si="127"/>
        <v>0</v>
      </c>
      <c r="AW292" s="1308">
        <f t="shared" si="128"/>
        <v>0</v>
      </c>
      <c r="AX292" s="1308">
        <f t="shared" si="129"/>
        <v>0</v>
      </c>
      <c r="AY292" s="3137">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4">
        <f t="shared" si="151"/>
        <v>0</v>
      </c>
    </row>
    <row r="293" spans="1:72">
      <c r="A293" s="3089"/>
      <c r="B293" s="3090"/>
      <c r="C293" s="3090"/>
      <c r="D293" s="3091"/>
      <c r="E293" s="3092">
        <f t="shared" si="123"/>
        <v>0</v>
      </c>
      <c r="F293" s="3093"/>
      <c r="G293" s="3094">
        <f t="shared" si="124"/>
        <v>0</v>
      </c>
      <c r="H293" s="3095">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2">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308">
        <f t="shared" si="127"/>
        <v>0</v>
      </c>
      <c r="AW293" s="1308">
        <f t="shared" si="128"/>
        <v>0</v>
      </c>
      <c r="AX293" s="1308">
        <f t="shared" si="129"/>
        <v>0</v>
      </c>
      <c r="AY293" s="3137">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4">
        <f t="shared" si="151"/>
        <v>0</v>
      </c>
    </row>
    <row r="294" spans="1:72">
      <c r="A294" s="3089"/>
      <c r="B294" s="3090"/>
      <c r="C294" s="3090"/>
      <c r="D294" s="3091"/>
      <c r="E294" s="3092">
        <f t="shared" si="123"/>
        <v>0</v>
      </c>
      <c r="F294" s="3093"/>
      <c r="G294" s="3094">
        <f t="shared" si="124"/>
        <v>0</v>
      </c>
      <c r="H294" s="3095">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2">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308">
        <f t="shared" si="127"/>
        <v>0</v>
      </c>
      <c r="AW294" s="1308">
        <f t="shared" si="128"/>
        <v>0</v>
      </c>
      <c r="AX294" s="1308">
        <f t="shared" si="129"/>
        <v>0</v>
      </c>
      <c r="AY294" s="3137">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4">
        <f t="shared" si="151"/>
        <v>0</v>
      </c>
    </row>
    <row r="295" spans="1:72">
      <c r="A295" s="3089"/>
      <c r="B295" s="3090"/>
      <c r="C295" s="3090"/>
      <c r="D295" s="3091"/>
      <c r="E295" s="3092">
        <f t="shared" si="123"/>
        <v>0</v>
      </c>
      <c r="F295" s="3093"/>
      <c r="G295" s="3094">
        <f t="shared" si="124"/>
        <v>0</v>
      </c>
      <c r="H295" s="3095">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2">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308">
        <f t="shared" si="127"/>
        <v>0</v>
      </c>
      <c r="AW295" s="1308">
        <f t="shared" si="128"/>
        <v>0</v>
      </c>
      <c r="AX295" s="1308">
        <f t="shared" si="129"/>
        <v>0</v>
      </c>
      <c r="AY295" s="3137">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4">
        <f t="shared" si="151"/>
        <v>0</v>
      </c>
    </row>
    <row r="296" spans="1:72">
      <c r="A296" s="3089"/>
      <c r="B296" s="3090"/>
      <c r="C296" s="3090"/>
      <c r="D296" s="3091"/>
      <c r="E296" s="3092">
        <f t="shared" si="123"/>
        <v>0</v>
      </c>
      <c r="F296" s="3093"/>
      <c r="G296" s="3094">
        <f t="shared" si="124"/>
        <v>0</v>
      </c>
      <c r="H296" s="3095">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2">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308">
        <f t="shared" si="127"/>
        <v>0</v>
      </c>
      <c r="AW296" s="1308">
        <f t="shared" si="128"/>
        <v>0</v>
      </c>
      <c r="AX296" s="1308">
        <f t="shared" si="129"/>
        <v>0</v>
      </c>
      <c r="AY296" s="3137">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4">
        <f t="shared" si="151"/>
        <v>0</v>
      </c>
    </row>
    <row r="297" spans="1:72">
      <c r="A297" s="3089"/>
      <c r="B297" s="3090"/>
      <c r="C297" s="3090"/>
      <c r="D297" s="3091"/>
      <c r="E297" s="3092">
        <f t="shared" si="123"/>
        <v>0</v>
      </c>
      <c r="F297" s="3093"/>
      <c r="G297" s="3094">
        <f t="shared" si="124"/>
        <v>0</v>
      </c>
      <c r="H297" s="3095">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2">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308">
        <f t="shared" si="127"/>
        <v>0</v>
      </c>
      <c r="AW297" s="1308">
        <f t="shared" si="128"/>
        <v>0</v>
      </c>
      <c r="AX297" s="1308">
        <f t="shared" si="129"/>
        <v>0</v>
      </c>
      <c r="AY297" s="3137">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4">
        <f t="shared" si="151"/>
        <v>0</v>
      </c>
    </row>
    <row r="298" spans="1:72">
      <c r="A298" s="3089"/>
      <c r="B298" s="3090"/>
      <c r="C298" s="3090"/>
      <c r="D298" s="3091"/>
      <c r="E298" s="3092">
        <f t="shared" si="123"/>
        <v>0</v>
      </c>
      <c r="F298" s="3093"/>
      <c r="G298" s="3094">
        <f t="shared" si="124"/>
        <v>0</v>
      </c>
      <c r="H298" s="3095">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2">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308">
        <f t="shared" si="127"/>
        <v>0</v>
      </c>
      <c r="AW298" s="1308">
        <f t="shared" si="128"/>
        <v>0</v>
      </c>
      <c r="AX298" s="1308">
        <f t="shared" si="129"/>
        <v>0</v>
      </c>
      <c r="AY298" s="3137">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4">
        <f t="shared" si="151"/>
        <v>0</v>
      </c>
    </row>
    <row r="299" spans="1:72">
      <c r="A299" s="3089"/>
      <c r="B299" s="3090"/>
      <c r="C299" s="3090"/>
      <c r="D299" s="3091"/>
      <c r="E299" s="3092">
        <f t="shared" si="123"/>
        <v>0</v>
      </c>
      <c r="F299" s="3093"/>
      <c r="G299" s="3094">
        <f t="shared" si="124"/>
        <v>0</v>
      </c>
      <c r="H299" s="3095">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2">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308">
        <f t="shared" si="127"/>
        <v>0</v>
      </c>
      <c r="AW299" s="1308">
        <f t="shared" si="128"/>
        <v>0</v>
      </c>
      <c r="AX299" s="1308">
        <f t="shared" si="129"/>
        <v>0</v>
      </c>
      <c r="AY299" s="3137">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4">
        <f t="shared" si="151"/>
        <v>0</v>
      </c>
    </row>
    <row r="300" spans="1:72">
      <c r="A300" s="3089"/>
      <c r="B300" s="3089"/>
      <c r="C300" s="3089"/>
      <c r="D300" s="3091"/>
      <c r="E300" s="3092">
        <f t="shared" si="123"/>
        <v>0</v>
      </c>
      <c r="F300" s="3145"/>
      <c r="G300" s="3094">
        <f t="shared" ref="G300:G331" si="152">H300+AC300+AT300</f>
        <v>0</v>
      </c>
      <c r="H300" s="3095">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2">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308">
        <f t="shared" si="127"/>
        <v>0</v>
      </c>
      <c r="AW300" s="1308">
        <f t="shared" si="128"/>
        <v>0</v>
      </c>
      <c r="AX300" s="1308">
        <f t="shared" si="129"/>
        <v>0</v>
      </c>
      <c r="AY300" s="3137">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4">
        <f t="shared" ref="BT300:BT331" si="176">IF($D300="是",AR300-AS300,0)</f>
        <v>0</v>
      </c>
    </row>
    <row r="301" spans="1:72">
      <c r="A301" s="3089"/>
      <c r="B301" s="3089"/>
      <c r="C301" s="3089"/>
      <c r="D301" s="3091"/>
      <c r="E301" s="3092">
        <f t="shared" si="123"/>
        <v>0</v>
      </c>
      <c r="F301" s="3145"/>
      <c r="G301" s="3094">
        <f t="shared" si="152"/>
        <v>0</v>
      </c>
      <c r="H301" s="3095">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2">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308">
        <f t="shared" si="127"/>
        <v>0</v>
      </c>
      <c r="AW301" s="1308">
        <f t="shared" si="128"/>
        <v>0</v>
      </c>
      <c r="AX301" s="1308">
        <f t="shared" si="129"/>
        <v>0</v>
      </c>
      <c r="AY301" s="3137">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4">
        <f t="shared" si="176"/>
        <v>0</v>
      </c>
    </row>
    <row r="302" spans="1:72">
      <c r="A302" s="3089"/>
      <c r="B302" s="3089"/>
      <c r="C302" s="3089"/>
      <c r="D302" s="3091"/>
      <c r="E302" s="3092">
        <f t="shared" si="123"/>
        <v>0</v>
      </c>
      <c r="F302" s="3145"/>
      <c r="G302" s="3094">
        <f t="shared" si="152"/>
        <v>0</v>
      </c>
      <c r="H302" s="3095">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2">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308">
        <f t="shared" si="127"/>
        <v>0</v>
      </c>
      <c r="AW302" s="1308">
        <f t="shared" si="128"/>
        <v>0</v>
      </c>
      <c r="AX302" s="1308">
        <f t="shared" si="129"/>
        <v>0</v>
      </c>
      <c r="AY302" s="3137">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4">
        <f t="shared" si="176"/>
        <v>0</v>
      </c>
    </row>
    <row r="303" spans="1:72">
      <c r="A303" s="3089"/>
      <c r="B303" s="3090"/>
      <c r="C303" s="3090"/>
      <c r="D303" s="3091"/>
      <c r="E303" s="3092">
        <f t="shared" ref="E303:E334" si="177">IF($C$3="是",ROUND($A$3*G303/$B$3,2),ROUND($A$3*(G303-AT303)/$B$3,2))</f>
        <v>0</v>
      </c>
      <c r="F303" s="3093"/>
      <c r="G303" s="3094">
        <f t="shared" si="152"/>
        <v>0</v>
      </c>
      <c r="H303" s="3095">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2">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308">
        <f t="shared" ref="AV303:AV334" si="178">A303</f>
        <v>0</v>
      </c>
      <c r="AW303" s="1308">
        <f t="shared" ref="AW303:AW334" si="179">B303</f>
        <v>0</v>
      </c>
      <c r="AX303" s="1308">
        <f t="shared" ref="AX303:AX334" si="180">C303</f>
        <v>0</v>
      </c>
      <c r="AY303" s="3137">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4">
        <f t="shared" si="176"/>
        <v>0</v>
      </c>
    </row>
    <row r="304" spans="1:72">
      <c r="A304" s="3089"/>
      <c r="B304" s="3090"/>
      <c r="C304" s="3090"/>
      <c r="D304" s="3091"/>
      <c r="E304" s="3092">
        <f t="shared" si="177"/>
        <v>0</v>
      </c>
      <c r="F304" s="3093"/>
      <c r="G304" s="3094">
        <f t="shared" si="152"/>
        <v>0</v>
      </c>
      <c r="H304" s="3095">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2">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308">
        <f t="shared" si="178"/>
        <v>0</v>
      </c>
      <c r="AW304" s="1308">
        <f t="shared" si="179"/>
        <v>0</v>
      </c>
      <c r="AX304" s="1308">
        <f t="shared" si="180"/>
        <v>0</v>
      </c>
      <c r="AY304" s="3137">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4">
        <f t="shared" si="176"/>
        <v>0</v>
      </c>
    </row>
    <row r="305" spans="1:72">
      <c r="A305" s="3089"/>
      <c r="B305" s="3090"/>
      <c r="C305" s="3090"/>
      <c r="D305" s="3091"/>
      <c r="E305" s="3092">
        <f t="shared" si="177"/>
        <v>0</v>
      </c>
      <c r="F305" s="3093"/>
      <c r="G305" s="3094">
        <f t="shared" si="152"/>
        <v>0</v>
      </c>
      <c r="H305" s="3095">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2">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308">
        <f t="shared" si="178"/>
        <v>0</v>
      </c>
      <c r="AW305" s="1308">
        <f t="shared" si="179"/>
        <v>0</v>
      </c>
      <c r="AX305" s="1308">
        <f t="shared" si="180"/>
        <v>0</v>
      </c>
      <c r="AY305" s="3137">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4">
        <f t="shared" si="176"/>
        <v>0</v>
      </c>
    </row>
    <row r="306" spans="1:72">
      <c r="A306" s="3089"/>
      <c r="B306" s="3090"/>
      <c r="C306" s="3090"/>
      <c r="D306" s="3091"/>
      <c r="E306" s="3092">
        <f t="shared" si="177"/>
        <v>0</v>
      </c>
      <c r="F306" s="3093"/>
      <c r="G306" s="3094">
        <f t="shared" si="152"/>
        <v>0</v>
      </c>
      <c r="H306" s="3095">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2">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308">
        <f t="shared" si="178"/>
        <v>0</v>
      </c>
      <c r="AW306" s="1308">
        <f t="shared" si="179"/>
        <v>0</v>
      </c>
      <c r="AX306" s="1308">
        <f t="shared" si="180"/>
        <v>0</v>
      </c>
      <c r="AY306" s="3137">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4">
        <f t="shared" si="176"/>
        <v>0</v>
      </c>
    </row>
    <row r="307" spans="1:72">
      <c r="A307" s="3089"/>
      <c r="B307" s="3090"/>
      <c r="C307" s="3090"/>
      <c r="D307" s="3091"/>
      <c r="E307" s="3092">
        <f t="shared" si="177"/>
        <v>0</v>
      </c>
      <c r="F307" s="3093"/>
      <c r="G307" s="3094">
        <f t="shared" si="152"/>
        <v>0</v>
      </c>
      <c r="H307" s="3095">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2">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308">
        <f t="shared" si="178"/>
        <v>0</v>
      </c>
      <c r="AW307" s="1308">
        <f t="shared" si="179"/>
        <v>0</v>
      </c>
      <c r="AX307" s="1308">
        <f t="shared" si="180"/>
        <v>0</v>
      </c>
      <c r="AY307" s="3137">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4">
        <f t="shared" si="176"/>
        <v>0</v>
      </c>
    </row>
    <row r="308" spans="1:72">
      <c r="A308" s="3089"/>
      <c r="B308" s="3090"/>
      <c r="C308" s="3090"/>
      <c r="D308" s="3091"/>
      <c r="E308" s="3092">
        <f t="shared" si="177"/>
        <v>0</v>
      </c>
      <c r="F308" s="3093"/>
      <c r="G308" s="3094">
        <f t="shared" si="152"/>
        <v>0</v>
      </c>
      <c r="H308" s="3095">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2">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308">
        <f t="shared" si="178"/>
        <v>0</v>
      </c>
      <c r="AW308" s="1308">
        <f t="shared" si="179"/>
        <v>0</v>
      </c>
      <c r="AX308" s="1308">
        <f t="shared" si="180"/>
        <v>0</v>
      </c>
      <c r="AY308" s="3137">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4">
        <f t="shared" si="176"/>
        <v>0</v>
      </c>
    </row>
    <row r="309" spans="1:72">
      <c r="A309" s="3089"/>
      <c r="B309" s="3090"/>
      <c r="C309" s="3090"/>
      <c r="D309" s="3091"/>
      <c r="E309" s="3092">
        <f t="shared" si="177"/>
        <v>0</v>
      </c>
      <c r="F309" s="3093"/>
      <c r="G309" s="3094">
        <f t="shared" si="152"/>
        <v>0</v>
      </c>
      <c r="H309" s="3095">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2">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308">
        <f t="shared" si="178"/>
        <v>0</v>
      </c>
      <c r="AW309" s="1308">
        <f t="shared" si="179"/>
        <v>0</v>
      </c>
      <c r="AX309" s="1308">
        <f t="shared" si="180"/>
        <v>0</v>
      </c>
      <c r="AY309" s="3137">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4">
        <f t="shared" si="176"/>
        <v>0</v>
      </c>
    </row>
    <row r="310" spans="1:72">
      <c r="A310" s="3089"/>
      <c r="B310" s="3090"/>
      <c r="C310" s="3090"/>
      <c r="D310" s="3091"/>
      <c r="E310" s="3092">
        <f t="shared" si="177"/>
        <v>0</v>
      </c>
      <c r="F310" s="3093"/>
      <c r="G310" s="3094">
        <f t="shared" si="152"/>
        <v>0</v>
      </c>
      <c r="H310" s="3095">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2">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308">
        <f t="shared" si="178"/>
        <v>0</v>
      </c>
      <c r="AW310" s="1308">
        <f t="shared" si="179"/>
        <v>0</v>
      </c>
      <c r="AX310" s="1308">
        <f t="shared" si="180"/>
        <v>0</v>
      </c>
      <c r="AY310" s="3137">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4">
        <f t="shared" si="176"/>
        <v>0</v>
      </c>
    </row>
    <row r="311" spans="1:72">
      <c r="A311" s="3089"/>
      <c r="B311" s="3090"/>
      <c r="C311" s="3090"/>
      <c r="D311" s="3091"/>
      <c r="E311" s="3092">
        <f t="shared" si="177"/>
        <v>0</v>
      </c>
      <c r="F311" s="3093"/>
      <c r="G311" s="3094">
        <f t="shared" si="152"/>
        <v>0</v>
      </c>
      <c r="H311" s="3095">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2">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308">
        <f t="shared" si="178"/>
        <v>0</v>
      </c>
      <c r="AW311" s="1308">
        <f t="shared" si="179"/>
        <v>0</v>
      </c>
      <c r="AX311" s="1308">
        <f t="shared" si="180"/>
        <v>0</v>
      </c>
      <c r="AY311" s="3137">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4">
        <f t="shared" si="176"/>
        <v>0</v>
      </c>
    </row>
    <row r="312" spans="1:72">
      <c r="A312" s="3089"/>
      <c r="B312" s="3090"/>
      <c r="C312" s="3090"/>
      <c r="D312" s="3091"/>
      <c r="E312" s="3092">
        <f t="shared" si="177"/>
        <v>0</v>
      </c>
      <c r="F312" s="3093"/>
      <c r="G312" s="3094">
        <f t="shared" si="152"/>
        <v>0</v>
      </c>
      <c r="H312" s="3095">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2">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308">
        <f t="shared" si="178"/>
        <v>0</v>
      </c>
      <c r="AW312" s="1308">
        <f t="shared" si="179"/>
        <v>0</v>
      </c>
      <c r="AX312" s="1308">
        <f t="shared" si="180"/>
        <v>0</v>
      </c>
      <c r="AY312" s="3137">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4">
        <f t="shared" si="176"/>
        <v>0</v>
      </c>
    </row>
    <row r="313" spans="1:72">
      <c r="A313" s="3089"/>
      <c r="B313" s="3090"/>
      <c r="C313" s="3090"/>
      <c r="D313" s="3091"/>
      <c r="E313" s="3092">
        <f t="shared" si="177"/>
        <v>0</v>
      </c>
      <c r="F313" s="3093"/>
      <c r="G313" s="3094">
        <f t="shared" si="152"/>
        <v>0</v>
      </c>
      <c r="H313" s="3095">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2">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308">
        <f t="shared" si="178"/>
        <v>0</v>
      </c>
      <c r="AW313" s="1308">
        <f t="shared" si="179"/>
        <v>0</v>
      </c>
      <c r="AX313" s="1308">
        <f t="shared" si="180"/>
        <v>0</v>
      </c>
      <c r="AY313" s="3137">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4">
        <f t="shared" si="176"/>
        <v>0</v>
      </c>
    </row>
    <row r="314" spans="1:72">
      <c r="A314" s="3089"/>
      <c r="B314" s="3090"/>
      <c r="C314" s="3090"/>
      <c r="D314" s="3091"/>
      <c r="E314" s="3092">
        <f t="shared" si="177"/>
        <v>0</v>
      </c>
      <c r="F314" s="3093"/>
      <c r="G314" s="3094">
        <f t="shared" si="152"/>
        <v>0</v>
      </c>
      <c r="H314" s="3095">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2">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308">
        <f t="shared" si="178"/>
        <v>0</v>
      </c>
      <c r="AW314" s="1308">
        <f t="shared" si="179"/>
        <v>0</v>
      </c>
      <c r="AX314" s="1308">
        <f t="shared" si="180"/>
        <v>0</v>
      </c>
      <c r="AY314" s="3137">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4">
        <f t="shared" si="176"/>
        <v>0</v>
      </c>
    </row>
    <row r="315" spans="1:72">
      <c r="A315" s="3089"/>
      <c r="B315" s="3090"/>
      <c r="C315" s="3090"/>
      <c r="D315" s="3091"/>
      <c r="E315" s="3092">
        <f t="shared" si="177"/>
        <v>0</v>
      </c>
      <c r="F315" s="3093"/>
      <c r="G315" s="3094">
        <f t="shared" si="152"/>
        <v>0</v>
      </c>
      <c r="H315" s="3095">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2">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308">
        <f t="shared" si="178"/>
        <v>0</v>
      </c>
      <c r="AW315" s="1308">
        <f t="shared" si="179"/>
        <v>0</v>
      </c>
      <c r="AX315" s="1308">
        <f t="shared" si="180"/>
        <v>0</v>
      </c>
      <c r="AY315" s="3137">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4">
        <f t="shared" si="176"/>
        <v>0</v>
      </c>
    </row>
    <row r="316" spans="1:72">
      <c r="A316" s="3089"/>
      <c r="B316" s="3090"/>
      <c r="C316" s="3090"/>
      <c r="D316" s="3091"/>
      <c r="E316" s="3092">
        <f t="shared" si="177"/>
        <v>0</v>
      </c>
      <c r="F316" s="3093"/>
      <c r="G316" s="3094">
        <f t="shared" si="152"/>
        <v>0</v>
      </c>
      <c r="H316" s="3095">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2">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308">
        <f t="shared" si="178"/>
        <v>0</v>
      </c>
      <c r="AW316" s="1308">
        <f t="shared" si="179"/>
        <v>0</v>
      </c>
      <c r="AX316" s="1308">
        <f t="shared" si="180"/>
        <v>0</v>
      </c>
      <c r="AY316" s="3137">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4">
        <f t="shared" si="176"/>
        <v>0</v>
      </c>
    </row>
    <row r="317" spans="1:72">
      <c r="A317" s="3089"/>
      <c r="B317" s="3090"/>
      <c r="C317" s="3090"/>
      <c r="D317" s="3091"/>
      <c r="E317" s="3092">
        <f t="shared" si="177"/>
        <v>0</v>
      </c>
      <c r="F317" s="3093"/>
      <c r="G317" s="3094">
        <f t="shared" si="152"/>
        <v>0</v>
      </c>
      <c r="H317" s="3095">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2">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308">
        <f t="shared" si="178"/>
        <v>0</v>
      </c>
      <c r="AW317" s="1308">
        <f t="shared" si="179"/>
        <v>0</v>
      </c>
      <c r="AX317" s="1308">
        <f t="shared" si="180"/>
        <v>0</v>
      </c>
      <c r="AY317" s="3137">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4">
        <f t="shared" si="176"/>
        <v>0</v>
      </c>
    </row>
    <row r="318" spans="1:72">
      <c r="A318" s="3089"/>
      <c r="B318" s="3090"/>
      <c r="C318" s="3090"/>
      <c r="D318" s="3091"/>
      <c r="E318" s="3092">
        <f t="shared" si="177"/>
        <v>0</v>
      </c>
      <c r="F318" s="3093"/>
      <c r="G318" s="3094">
        <f t="shared" si="152"/>
        <v>0</v>
      </c>
      <c r="H318" s="3095">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2">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308">
        <f t="shared" si="178"/>
        <v>0</v>
      </c>
      <c r="AW318" s="1308">
        <f t="shared" si="179"/>
        <v>0</v>
      </c>
      <c r="AX318" s="1308">
        <f t="shared" si="180"/>
        <v>0</v>
      </c>
      <c r="AY318" s="3137">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4">
        <f t="shared" si="176"/>
        <v>0</v>
      </c>
    </row>
    <row r="319" spans="1:72">
      <c r="A319" s="3089"/>
      <c r="B319" s="3090"/>
      <c r="C319" s="3090"/>
      <c r="D319" s="3091"/>
      <c r="E319" s="3092">
        <f t="shared" si="177"/>
        <v>0</v>
      </c>
      <c r="F319" s="3093"/>
      <c r="G319" s="3094">
        <f t="shared" si="152"/>
        <v>0</v>
      </c>
      <c r="H319" s="3095">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2">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308">
        <f t="shared" si="178"/>
        <v>0</v>
      </c>
      <c r="AW319" s="1308">
        <f t="shared" si="179"/>
        <v>0</v>
      </c>
      <c r="AX319" s="1308">
        <f t="shared" si="180"/>
        <v>0</v>
      </c>
      <c r="AY319" s="3137">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4">
        <f t="shared" si="176"/>
        <v>0</v>
      </c>
    </row>
    <row r="320" spans="1:72">
      <c r="A320" s="3089"/>
      <c r="B320" s="3090"/>
      <c r="C320" s="3090"/>
      <c r="D320" s="3091"/>
      <c r="E320" s="3092">
        <f t="shared" si="177"/>
        <v>0</v>
      </c>
      <c r="F320" s="3093"/>
      <c r="G320" s="3094">
        <f t="shared" si="152"/>
        <v>0</v>
      </c>
      <c r="H320" s="3095">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2">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308">
        <f t="shared" si="178"/>
        <v>0</v>
      </c>
      <c r="AW320" s="1308">
        <f t="shared" si="179"/>
        <v>0</v>
      </c>
      <c r="AX320" s="1308">
        <f t="shared" si="180"/>
        <v>0</v>
      </c>
      <c r="AY320" s="3137">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4">
        <f t="shared" si="176"/>
        <v>0</v>
      </c>
    </row>
    <row r="321" spans="1:72">
      <c r="A321" s="3089"/>
      <c r="B321" s="3090"/>
      <c r="C321" s="3090"/>
      <c r="D321" s="3091"/>
      <c r="E321" s="3092">
        <f t="shared" si="177"/>
        <v>0</v>
      </c>
      <c r="F321" s="3093"/>
      <c r="G321" s="3094">
        <f t="shared" si="152"/>
        <v>0</v>
      </c>
      <c r="H321" s="3095">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2">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308">
        <f t="shared" si="178"/>
        <v>0</v>
      </c>
      <c r="AW321" s="1308">
        <f t="shared" si="179"/>
        <v>0</v>
      </c>
      <c r="AX321" s="1308">
        <f t="shared" si="180"/>
        <v>0</v>
      </c>
      <c r="AY321" s="3137">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4">
        <f t="shared" si="176"/>
        <v>0</v>
      </c>
    </row>
    <row r="322" spans="1:72">
      <c r="A322" s="3089"/>
      <c r="B322" s="3090"/>
      <c r="C322" s="3090"/>
      <c r="D322" s="3091"/>
      <c r="E322" s="3092">
        <f t="shared" si="177"/>
        <v>0</v>
      </c>
      <c r="F322" s="3093"/>
      <c r="G322" s="3094">
        <f t="shared" si="152"/>
        <v>0</v>
      </c>
      <c r="H322" s="3095">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2">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308">
        <f t="shared" si="178"/>
        <v>0</v>
      </c>
      <c r="AW322" s="1308">
        <f t="shared" si="179"/>
        <v>0</v>
      </c>
      <c r="AX322" s="1308">
        <f t="shared" si="180"/>
        <v>0</v>
      </c>
      <c r="AY322" s="3137">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4">
        <f t="shared" si="176"/>
        <v>0</v>
      </c>
    </row>
    <row r="323" spans="1:72">
      <c r="A323" s="3089"/>
      <c r="B323" s="3090"/>
      <c r="C323" s="3090"/>
      <c r="D323" s="3091"/>
      <c r="E323" s="3092">
        <f t="shared" si="177"/>
        <v>0</v>
      </c>
      <c r="F323" s="3093"/>
      <c r="G323" s="3094">
        <f t="shared" si="152"/>
        <v>0</v>
      </c>
      <c r="H323" s="3095">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2">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308">
        <f t="shared" si="178"/>
        <v>0</v>
      </c>
      <c r="AW323" s="1308">
        <f t="shared" si="179"/>
        <v>0</v>
      </c>
      <c r="AX323" s="1308">
        <f t="shared" si="180"/>
        <v>0</v>
      </c>
      <c r="AY323" s="3137">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4">
        <f t="shared" si="176"/>
        <v>0</v>
      </c>
    </row>
    <row r="324" spans="1:72">
      <c r="A324" s="3089"/>
      <c r="B324" s="3090"/>
      <c r="C324" s="3090"/>
      <c r="D324" s="3091"/>
      <c r="E324" s="3092">
        <f t="shared" si="177"/>
        <v>0</v>
      </c>
      <c r="F324" s="3093"/>
      <c r="G324" s="3094">
        <f t="shared" si="152"/>
        <v>0</v>
      </c>
      <c r="H324" s="3095">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2">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308">
        <f t="shared" si="178"/>
        <v>0</v>
      </c>
      <c r="AW324" s="1308">
        <f t="shared" si="179"/>
        <v>0</v>
      </c>
      <c r="AX324" s="1308">
        <f t="shared" si="180"/>
        <v>0</v>
      </c>
      <c r="AY324" s="3137">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4">
        <f t="shared" si="176"/>
        <v>0</v>
      </c>
    </row>
    <row r="325" spans="1:72">
      <c r="A325" s="3089"/>
      <c r="B325" s="3090"/>
      <c r="C325" s="3090"/>
      <c r="D325" s="3091"/>
      <c r="E325" s="3092">
        <f t="shared" si="177"/>
        <v>0</v>
      </c>
      <c r="F325" s="3093"/>
      <c r="G325" s="3094">
        <f t="shared" si="152"/>
        <v>0</v>
      </c>
      <c r="H325" s="3095">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2">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308">
        <f t="shared" si="178"/>
        <v>0</v>
      </c>
      <c r="AW325" s="1308">
        <f t="shared" si="179"/>
        <v>0</v>
      </c>
      <c r="AX325" s="1308">
        <f t="shared" si="180"/>
        <v>0</v>
      </c>
      <c r="AY325" s="3137">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4">
        <f t="shared" si="176"/>
        <v>0</v>
      </c>
    </row>
    <row r="326" spans="1:72">
      <c r="A326" s="3089"/>
      <c r="B326" s="3090"/>
      <c r="C326" s="3090"/>
      <c r="D326" s="3091"/>
      <c r="E326" s="3092">
        <f t="shared" si="177"/>
        <v>0</v>
      </c>
      <c r="F326" s="3093"/>
      <c r="G326" s="3094">
        <f t="shared" si="152"/>
        <v>0</v>
      </c>
      <c r="H326" s="3095">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2">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308">
        <f t="shared" si="178"/>
        <v>0</v>
      </c>
      <c r="AW326" s="1308">
        <f t="shared" si="179"/>
        <v>0</v>
      </c>
      <c r="AX326" s="1308">
        <f t="shared" si="180"/>
        <v>0</v>
      </c>
      <c r="AY326" s="3137">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4">
        <f t="shared" si="176"/>
        <v>0</v>
      </c>
    </row>
    <row r="327" spans="1:72">
      <c r="A327" s="3089"/>
      <c r="B327" s="3090"/>
      <c r="C327" s="3090"/>
      <c r="D327" s="3091"/>
      <c r="E327" s="3092">
        <f t="shared" si="177"/>
        <v>0</v>
      </c>
      <c r="F327" s="3093"/>
      <c r="G327" s="3094">
        <f t="shared" si="152"/>
        <v>0</v>
      </c>
      <c r="H327" s="3095">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2">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308">
        <f t="shared" si="178"/>
        <v>0</v>
      </c>
      <c r="AW327" s="1308">
        <f t="shared" si="179"/>
        <v>0</v>
      </c>
      <c r="AX327" s="1308">
        <f t="shared" si="180"/>
        <v>0</v>
      </c>
      <c r="AY327" s="3137">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4">
        <f t="shared" si="176"/>
        <v>0</v>
      </c>
    </row>
    <row r="328" spans="1:72">
      <c r="A328" s="3089"/>
      <c r="B328" s="3090"/>
      <c r="C328" s="3090"/>
      <c r="D328" s="3091"/>
      <c r="E328" s="3092">
        <f t="shared" si="177"/>
        <v>0</v>
      </c>
      <c r="F328" s="3093"/>
      <c r="G328" s="3094">
        <f t="shared" si="152"/>
        <v>0</v>
      </c>
      <c r="H328" s="3095">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2">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308">
        <f t="shared" si="178"/>
        <v>0</v>
      </c>
      <c r="AW328" s="1308">
        <f t="shared" si="179"/>
        <v>0</v>
      </c>
      <c r="AX328" s="1308">
        <f t="shared" si="180"/>
        <v>0</v>
      </c>
      <c r="AY328" s="3137">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4">
        <f t="shared" si="176"/>
        <v>0</v>
      </c>
    </row>
    <row r="329" spans="1:72">
      <c r="A329" s="3089"/>
      <c r="B329" s="3090"/>
      <c r="C329" s="3090"/>
      <c r="D329" s="3091"/>
      <c r="E329" s="3092">
        <f t="shared" si="177"/>
        <v>0</v>
      </c>
      <c r="F329" s="3093"/>
      <c r="G329" s="3094">
        <f t="shared" si="152"/>
        <v>0</v>
      </c>
      <c r="H329" s="3095">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2">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308">
        <f t="shared" si="178"/>
        <v>0</v>
      </c>
      <c r="AW329" s="1308">
        <f t="shared" si="179"/>
        <v>0</v>
      </c>
      <c r="AX329" s="1308">
        <f t="shared" si="180"/>
        <v>0</v>
      </c>
      <c r="AY329" s="3137">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4">
        <f t="shared" si="176"/>
        <v>0</v>
      </c>
    </row>
    <row r="330" spans="1:72">
      <c r="A330" s="3089"/>
      <c r="B330" s="3090"/>
      <c r="C330" s="3090"/>
      <c r="D330" s="3091"/>
      <c r="E330" s="3092">
        <f t="shared" si="177"/>
        <v>0</v>
      </c>
      <c r="F330" s="3093"/>
      <c r="G330" s="3094">
        <f t="shared" si="152"/>
        <v>0</v>
      </c>
      <c r="H330" s="3095">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2">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308">
        <f t="shared" si="178"/>
        <v>0</v>
      </c>
      <c r="AW330" s="1308">
        <f t="shared" si="179"/>
        <v>0</v>
      </c>
      <c r="AX330" s="1308">
        <f t="shared" si="180"/>
        <v>0</v>
      </c>
      <c r="AY330" s="3137">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4">
        <f t="shared" si="176"/>
        <v>0</v>
      </c>
    </row>
    <row r="331" spans="1:72">
      <c r="A331" s="3089"/>
      <c r="B331" s="3090"/>
      <c r="C331" s="3090"/>
      <c r="D331" s="3091"/>
      <c r="E331" s="3092">
        <f t="shared" si="177"/>
        <v>0</v>
      </c>
      <c r="F331" s="3093"/>
      <c r="G331" s="3094">
        <f t="shared" si="152"/>
        <v>0</v>
      </c>
      <c r="H331" s="3095">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2">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308">
        <f t="shared" si="178"/>
        <v>0</v>
      </c>
      <c r="AW331" s="1308">
        <f t="shared" si="179"/>
        <v>0</v>
      </c>
      <c r="AX331" s="1308">
        <f t="shared" si="180"/>
        <v>0</v>
      </c>
      <c r="AY331" s="3137">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4">
        <f t="shared" si="176"/>
        <v>0</v>
      </c>
    </row>
    <row r="332" spans="1:72">
      <c r="A332" s="3089"/>
      <c r="B332" s="3090"/>
      <c r="C332" s="3090"/>
      <c r="D332" s="3091"/>
      <c r="E332" s="3092">
        <f t="shared" si="177"/>
        <v>0</v>
      </c>
      <c r="F332" s="3093"/>
      <c r="G332" s="3094">
        <f t="shared" ref="G332:G363" si="181">H332+AC332+AT332</f>
        <v>0</v>
      </c>
      <c r="H332" s="3095">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2">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308">
        <f t="shared" si="178"/>
        <v>0</v>
      </c>
      <c r="AW332" s="1308">
        <f t="shared" si="179"/>
        <v>0</v>
      </c>
      <c r="AX332" s="1308">
        <f t="shared" si="180"/>
        <v>0</v>
      </c>
      <c r="AY332" s="3137">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4">
        <f t="shared" ref="BT332:BT363" si="205">IF($D332="是",AR332-AS332,0)</f>
        <v>0</v>
      </c>
    </row>
    <row r="333" spans="1:72">
      <c r="A333" s="3089"/>
      <c r="B333" s="3090"/>
      <c r="C333" s="3090"/>
      <c r="D333" s="3091"/>
      <c r="E333" s="3092">
        <f t="shared" si="177"/>
        <v>0</v>
      </c>
      <c r="F333" s="3093"/>
      <c r="G333" s="3094">
        <f t="shared" si="181"/>
        <v>0</v>
      </c>
      <c r="H333" s="3095">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2">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308">
        <f t="shared" si="178"/>
        <v>0</v>
      </c>
      <c r="AW333" s="1308">
        <f t="shared" si="179"/>
        <v>0</v>
      </c>
      <c r="AX333" s="1308">
        <f t="shared" si="180"/>
        <v>0</v>
      </c>
      <c r="AY333" s="3137">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4">
        <f t="shared" si="205"/>
        <v>0</v>
      </c>
    </row>
    <row r="334" spans="1:72">
      <c r="A334" s="3089"/>
      <c r="B334" s="3090"/>
      <c r="C334" s="3090"/>
      <c r="D334" s="3091"/>
      <c r="E334" s="3092">
        <f t="shared" si="177"/>
        <v>0</v>
      </c>
      <c r="F334" s="3093"/>
      <c r="G334" s="3094">
        <f t="shared" si="181"/>
        <v>0</v>
      </c>
      <c r="H334" s="3095">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2">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308">
        <f t="shared" si="178"/>
        <v>0</v>
      </c>
      <c r="AW334" s="1308">
        <f t="shared" si="179"/>
        <v>0</v>
      </c>
      <c r="AX334" s="1308">
        <f t="shared" si="180"/>
        <v>0</v>
      </c>
      <c r="AY334" s="3137">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4">
        <f t="shared" si="205"/>
        <v>0</v>
      </c>
    </row>
    <row r="335" spans="1:72">
      <c r="A335" s="3089"/>
      <c r="B335" s="3090"/>
      <c r="C335" s="3090"/>
      <c r="D335" s="3091"/>
      <c r="E335" s="3092">
        <f t="shared" ref="E335:E366" si="206">IF($C$3="是",ROUND($A$3*G335/$B$3,2),ROUND($A$3*(G335-AT335)/$B$3,2))</f>
        <v>0</v>
      </c>
      <c r="F335" s="3093"/>
      <c r="G335" s="3094">
        <f t="shared" si="181"/>
        <v>0</v>
      </c>
      <c r="H335" s="3095">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2">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308">
        <f t="shared" ref="AV335:AV366" si="207">A335</f>
        <v>0</v>
      </c>
      <c r="AW335" s="1308">
        <f t="shared" ref="AW335:AW366" si="208">B335</f>
        <v>0</v>
      </c>
      <c r="AX335" s="1308">
        <f t="shared" ref="AX335:AX366" si="209">C335</f>
        <v>0</v>
      </c>
      <c r="AY335" s="3137">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4">
        <f t="shared" si="205"/>
        <v>0</v>
      </c>
    </row>
    <row r="336" spans="1:72">
      <c r="A336" s="3089"/>
      <c r="B336" s="3090"/>
      <c r="C336" s="3090"/>
      <c r="D336" s="3091"/>
      <c r="E336" s="3092">
        <f t="shared" si="206"/>
        <v>0</v>
      </c>
      <c r="F336" s="3093"/>
      <c r="G336" s="3094">
        <f t="shared" si="181"/>
        <v>0</v>
      </c>
      <c r="H336" s="3095">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2">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308">
        <f t="shared" si="207"/>
        <v>0</v>
      </c>
      <c r="AW336" s="1308">
        <f t="shared" si="208"/>
        <v>0</v>
      </c>
      <c r="AX336" s="1308">
        <f t="shared" si="209"/>
        <v>0</v>
      </c>
      <c r="AY336" s="3137">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4">
        <f t="shared" si="205"/>
        <v>0</v>
      </c>
    </row>
    <row r="337" spans="1:72">
      <c r="A337" s="3089"/>
      <c r="B337" s="3090"/>
      <c r="C337" s="3090"/>
      <c r="D337" s="3091"/>
      <c r="E337" s="3092">
        <f t="shared" si="206"/>
        <v>0</v>
      </c>
      <c r="F337" s="3093"/>
      <c r="G337" s="3094">
        <f t="shared" si="181"/>
        <v>0</v>
      </c>
      <c r="H337" s="3095">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2">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308">
        <f t="shared" si="207"/>
        <v>0</v>
      </c>
      <c r="AW337" s="1308">
        <f t="shared" si="208"/>
        <v>0</v>
      </c>
      <c r="AX337" s="1308">
        <f t="shared" si="209"/>
        <v>0</v>
      </c>
      <c r="AY337" s="3137">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4">
        <f t="shared" si="205"/>
        <v>0</v>
      </c>
    </row>
    <row r="338" spans="1:72">
      <c r="A338" s="3089"/>
      <c r="B338" s="3090"/>
      <c r="C338" s="3090"/>
      <c r="D338" s="3091"/>
      <c r="E338" s="3092">
        <f t="shared" si="206"/>
        <v>0</v>
      </c>
      <c r="F338" s="3093"/>
      <c r="G338" s="3094">
        <f t="shared" si="181"/>
        <v>0</v>
      </c>
      <c r="H338" s="3095">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2">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308">
        <f t="shared" si="207"/>
        <v>0</v>
      </c>
      <c r="AW338" s="1308">
        <f t="shared" si="208"/>
        <v>0</v>
      </c>
      <c r="AX338" s="1308">
        <f t="shared" si="209"/>
        <v>0</v>
      </c>
      <c r="AY338" s="3137">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4">
        <f t="shared" si="205"/>
        <v>0</v>
      </c>
    </row>
    <row r="339" spans="1:72">
      <c r="A339" s="3089"/>
      <c r="B339" s="3090"/>
      <c r="C339" s="3090"/>
      <c r="D339" s="3091"/>
      <c r="E339" s="3092">
        <f t="shared" si="206"/>
        <v>0</v>
      </c>
      <c r="F339" s="3093"/>
      <c r="G339" s="3094">
        <f t="shared" si="181"/>
        <v>0</v>
      </c>
      <c r="H339" s="3095">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2">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308">
        <f t="shared" si="207"/>
        <v>0</v>
      </c>
      <c r="AW339" s="1308">
        <f t="shared" si="208"/>
        <v>0</v>
      </c>
      <c r="AX339" s="1308">
        <f t="shared" si="209"/>
        <v>0</v>
      </c>
      <c r="AY339" s="3137">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4">
        <f t="shared" si="205"/>
        <v>0</v>
      </c>
    </row>
    <row r="340" spans="1:72">
      <c r="A340" s="3089"/>
      <c r="B340" s="3090"/>
      <c r="C340" s="3090"/>
      <c r="D340" s="3091"/>
      <c r="E340" s="3092">
        <f t="shared" si="206"/>
        <v>0</v>
      </c>
      <c r="F340" s="3093"/>
      <c r="G340" s="3094">
        <f t="shared" si="181"/>
        <v>0</v>
      </c>
      <c r="H340" s="3095">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2">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308">
        <f t="shared" si="207"/>
        <v>0</v>
      </c>
      <c r="AW340" s="1308">
        <f t="shared" si="208"/>
        <v>0</v>
      </c>
      <c r="AX340" s="1308">
        <f t="shared" si="209"/>
        <v>0</v>
      </c>
      <c r="AY340" s="3137">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4">
        <f t="shared" si="205"/>
        <v>0</v>
      </c>
    </row>
    <row r="341" spans="1:72">
      <c r="A341" s="3089"/>
      <c r="B341" s="3090"/>
      <c r="C341" s="3090"/>
      <c r="D341" s="3091"/>
      <c r="E341" s="3092">
        <f t="shared" si="206"/>
        <v>0</v>
      </c>
      <c r="F341" s="3093"/>
      <c r="G341" s="3094">
        <f t="shared" si="181"/>
        <v>0</v>
      </c>
      <c r="H341" s="3095">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2">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308">
        <f t="shared" si="207"/>
        <v>0</v>
      </c>
      <c r="AW341" s="1308">
        <f t="shared" si="208"/>
        <v>0</v>
      </c>
      <c r="AX341" s="1308">
        <f t="shared" si="209"/>
        <v>0</v>
      </c>
      <c r="AY341" s="3137">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4">
        <f t="shared" si="205"/>
        <v>0</v>
      </c>
    </row>
    <row r="342" spans="1:72">
      <c r="A342" s="3089"/>
      <c r="B342" s="3090"/>
      <c r="C342" s="3090"/>
      <c r="D342" s="3091"/>
      <c r="E342" s="3092">
        <f t="shared" si="206"/>
        <v>0</v>
      </c>
      <c r="F342" s="3093"/>
      <c r="G342" s="3094">
        <f t="shared" si="181"/>
        <v>0</v>
      </c>
      <c r="H342" s="3095">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2">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308">
        <f t="shared" si="207"/>
        <v>0</v>
      </c>
      <c r="AW342" s="1308">
        <f t="shared" si="208"/>
        <v>0</v>
      </c>
      <c r="AX342" s="1308">
        <f t="shared" si="209"/>
        <v>0</v>
      </c>
      <c r="AY342" s="3137">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4">
        <f t="shared" si="205"/>
        <v>0</v>
      </c>
    </row>
    <row r="343" spans="1:72">
      <c r="A343" s="3089"/>
      <c r="B343" s="3090"/>
      <c r="C343" s="3090"/>
      <c r="D343" s="3091"/>
      <c r="E343" s="3092">
        <f t="shared" si="206"/>
        <v>0</v>
      </c>
      <c r="F343" s="3093"/>
      <c r="G343" s="3094">
        <f t="shared" si="181"/>
        <v>0</v>
      </c>
      <c r="H343" s="3095">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2">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308">
        <f t="shared" si="207"/>
        <v>0</v>
      </c>
      <c r="AW343" s="1308">
        <f t="shared" si="208"/>
        <v>0</v>
      </c>
      <c r="AX343" s="1308">
        <f t="shared" si="209"/>
        <v>0</v>
      </c>
      <c r="AY343" s="3137">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4">
        <f t="shared" si="205"/>
        <v>0</v>
      </c>
    </row>
    <row r="344" spans="1:72">
      <c r="A344" s="3089"/>
      <c r="B344" s="3090"/>
      <c r="C344" s="3090"/>
      <c r="D344" s="3091"/>
      <c r="E344" s="3092">
        <f t="shared" si="206"/>
        <v>0</v>
      </c>
      <c r="F344" s="3093"/>
      <c r="G344" s="3094">
        <f t="shared" si="181"/>
        <v>0</v>
      </c>
      <c r="H344" s="3095">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2">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308">
        <f t="shared" si="207"/>
        <v>0</v>
      </c>
      <c r="AW344" s="1308">
        <f t="shared" si="208"/>
        <v>0</v>
      </c>
      <c r="AX344" s="1308">
        <f t="shared" si="209"/>
        <v>0</v>
      </c>
      <c r="AY344" s="3137">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4">
        <f t="shared" si="205"/>
        <v>0</v>
      </c>
    </row>
    <row r="345" spans="1:72">
      <c r="A345" s="3089"/>
      <c r="B345" s="3090"/>
      <c r="C345" s="3090"/>
      <c r="D345" s="3091"/>
      <c r="E345" s="3092">
        <f t="shared" si="206"/>
        <v>0</v>
      </c>
      <c r="F345" s="3093"/>
      <c r="G345" s="3094">
        <f t="shared" si="181"/>
        <v>0</v>
      </c>
      <c r="H345" s="3095">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2">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308">
        <f t="shared" si="207"/>
        <v>0</v>
      </c>
      <c r="AW345" s="1308">
        <f t="shared" si="208"/>
        <v>0</v>
      </c>
      <c r="AX345" s="1308">
        <f t="shared" si="209"/>
        <v>0</v>
      </c>
      <c r="AY345" s="3137">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4">
        <f t="shared" si="205"/>
        <v>0</v>
      </c>
    </row>
    <row r="346" spans="1:72">
      <c r="A346" s="3089"/>
      <c r="B346" s="3090"/>
      <c r="C346" s="3090"/>
      <c r="D346" s="3091"/>
      <c r="E346" s="3092">
        <f t="shared" si="206"/>
        <v>0</v>
      </c>
      <c r="F346" s="3093"/>
      <c r="G346" s="3094">
        <f t="shared" si="181"/>
        <v>0</v>
      </c>
      <c r="H346" s="3095">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2">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308">
        <f t="shared" si="207"/>
        <v>0</v>
      </c>
      <c r="AW346" s="1308">
        <f t="shared" si="208"/>
        <v>0</v>
      </c>
      <c r="AX346" s="1308">
        <f t="shared" si="209"/>
        <v>0</v>
      </c>
      <c r="AY346" s="3137">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4">
        <f t="shared" si="205"/>
        <v>0</v>
      </c>
    </row>
    <row r="347" spans="1:72">
      <c r="A347" s="3089"/>
      <c r="B347" s="3090"/>
      <c r="C347" s="3090"/>
      <c r="D347" s="3091"/>
      <c r="E347" s="3092">
        <f t="shared" si="206"/>
        <v>0</v>
      </c>
      <c r="F347" s="3093"/>
      <c r="G347" s="3094">
        <f t="shared" si="181"/>
        <v>0</v>
      </c>
      <c r="H347" s="3095">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2">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308">
        <f t="shared" si="207"/>
        <v>0</v>
      </c>
      <c r="AW347" s="1308">
        <f t="shared" si="208"/>
        <v>0</v>
      </c>
      <c r="AX347" s="1308">
        <f t="shared" si="209"/>
        <v>0</v>
      </c>
      <c r="AY347" s="3137">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4">
        <f t="shared" si="205"/>
        <v>0</v>
      </c>
    </row>
    <row r="348" spans="1:72">
      <c r="A348" s="3089"/>
      <c r="B348" s="3090"/>
      <c r="C348" s="3090"/>
      <c r="D348" s="3091"/>
      <c r="E348" s="3092">
        <f t="shared" si="206"/>
        <v>0</v>
      </c>
      <c r="F348" s="3093"/>
      <c r="G348" s="3094">
        <f t="shared" si="181"/>
        <v>0</v>
      </c>
      <c r="H348" s="3095">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2">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308">
        <f t="shared" si="207"/>
        <v>0</v>
      </c>
      <c r="AW348" s="1308">
        <f t="shared" si="208"/>
        <v>0</v>
      </c>
      <c r="AX348" s="1308">
        <f t="shared" si="209"/>
        <v>0</v>
      </c>
      <c r="AY348" s="3137">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4">
        <f t="shared" si="205"/>
        <v>0</v>
      </c>
    </row>
    <row r="349" spans="1:72">
      <c r="A349" s="3089"/>
      <c r="B349" s="3090"/>
      <c r="C349" s="3090"/>
      <c r="D349" s="3091"/>
      <c r="E349" s="3092">
        <f t="shared" si="206"/>
        <v>0</v>
      </c>
      <c r="F349" s="3093"/>
      <c r="G349" s="3094">
        <f t="shared" si="181"/>
        <v>0</v>
      </c>
      <c r="H349" s="3095">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2">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308">
        <f t="shared" si="207"/>
        <v>0</v>
      </c>
      <c r="AW349" s="1308">
        <f t="shared" si="208"/>
        <v>0</v>
      </c>
      <c r="AX349" s="1308">
        <f t="shared" si="209"/>
        <v>0</v>
      </c>
      <c r="AY349" s="3137">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4">
        <f t="shared" si="205"/>
        <v>0</v>
      </c>
    </row>
    <row r="350" spans="1:72">
      <c r="A350" s="3089"/>
      <c r="B350" s="3090"/>
      <c r="C350" s="3090"/>
      <c r="D350" s="3091"/>
      <c r="E350" s="3092">
        <f t="shared" si="206"/>
        <v>0</v>
      </c>
      <c r="F350" s="3093"/>
      <c r="G350" s="3094">
        <f t="shared" si="181"/>
        <v>0</v>
      </c>
      <c r="H350" s="3095">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2">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308">
        <f t="shared" si="207"/>
        <v>0</v>
      </c>
      <c r="AW350" s="1308">
        <f t="shared" si="208"/>
        <v>0</v>
      </c>
      <c r="AX350" s="1308">
        <f t="shared" si="209"/>
        <v>0</v>
      </c>
      <c r="AY350" s="3137">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4">
        <f t="shared" si="205"/>
        <v>0</v>
      </c>
    </row>
    <row r="351" spans="1:72">
      <c r="A351" s="3089"/>
      <c r="B351" s="3090"/>
      <c r="C351" s="3090"/>
      <c r="D351" s="3091"/>
      <c r="E351" s="3092">
        <f t="shared" si="206"/>
        <v>0</v>
      </c>
      <c r="F351" s="3093"/>
      <c r="G351" s="3094">
        <f t="shared" si="181"/>
        <v>0</v>
      </c>
      <c r="H351" s="3095">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2">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308">
        <f t="shared" si="207"/>
        <v>0</v>
      </c>
      <c r="AW351" s="1308">
        <f t="shared" si="208"/>
        <v>0</v>
      </c>
      <c r="AX351" s="1308">
        <f t="shared" si="209"/>
        <v>0</v>
      </c>
      <c r="AY351" s="3137">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4">
        <f t="shared" si="205"/>
        <v>0</v>
      </c>
    </row>
    <row r="352" spans="1:72">
      <c r="A352" s="3089"/>
      <c r="B352" s="3090"/>
      <c r="C352" s="3090"/>
      <c r="D352" s="3091"/>
      <c r="E352" s="3092">
        <f t="shared" si="206"/>
        <v>0</v>
      </c>
      <c r="F352" s="3093"/>
      <c r="G352" s="3094">
        <f t="shared" si="181"/>
        <v>0</v>
      </c>
      <c r="H352" s="3095">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2">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308">
        <f t="shared" si="207"/>
        <v>0</v>
      </c>
      <c r="AW352" s="1308">
        <f t="shared" si="208"/>
        <v>0</v>
      </c>
      <c r="AX352" s="1308">
        <f t="shared" si="209"/>
        <v>0</v>
      </c>
      <c r="AY352" s="3137">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4">
        <f t="shared" si="205"/>
        <v>0</v>
      </c>
    </row>
    <row r="353" spans="1:72">
      <c r="A353" s="3089"/>
      <c r="B353" s="3090"/>
      <c r="C353" s="3090"/>
      <c r="D353" s="3091"/>
      <c r="E353" s="3092">
        <f t="shared" si="206"/>
        <v>0</v>
      </c>
      <c r="F353" s="3093"/>
      <c r="G353" s="3094">
        <f t="shared" si="181"/>
        <v>0</v>
      </c>
      <c r="H353" s="3095">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2">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308">
        <f t="shared" si="207"/>
        <v>0</v>
      </c>
      <c r="AW353" s="1308">
        <f t="shared" si="208"/>
        <v>0</v>
      </c>
      <c r="AX353" s="1308">
        <f t="shared" si="209"/>
        <v>0</v>
      </c>
      <c r="AY353" s="3137">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4">
        <f t="shared" si="205"/>
        <v>0</v>
      </c>
    </row>
    <row r="354" spans="1:72">
      <c r="A354" s="3089"/>
      <c r="B354" s="3090"/>
      <c r="C354" s="3090"/>
      <c r="D354" s="3091"/>
      <c r="E354" s="3092">
        <f t="shared" si="206"/>
        <v>0</v>
      </c>
      <c r="F354" s="3093"/>
      <c r="G354" s="3094">
        <f t="shared" si="181"/>
        <v>0</v>
      </c>
      <c r="H354" s="3095">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2">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308">
        <f t="shared" si="207"/>
        <v>0</v>
      </c>
      <c r="AW354" s="1308">
        <f t="shared" si="208"/>
        <v>0</v>
      </c>
      <c r="AX354" s="1308">
        <f t="shared" si="209"/>
        <v>0</v>
      </c>
      <c r="AY354" s="3137">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4">
        <f t="shared" si="205"/>
        <v>0</v>
      </c>
    </row>
    <row r="355" spans="1:72">
      <c r="A355" s="3089"/>
      <c r="B355" s="3090"/>
      <c r="C355" s="3090"/>
      <c r="D355" s="3091"/>
      <c r="E355" s="3092">
        <f t="shared" si="206"/>
        <v>0</v>
      </c>
      <c r="F355" s="3093"/>
      <c r="G355" s="3094">
        <f t="shared" si="181"/>
        <v>0</v>
      </c>
      <c r="H355" s="3095">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2">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308">
        <f t="shared" si="207"/>
        <v>0</v>
      </c>
      <c r="AW355" s="1308">
        <f t="shared" si="208"/>
        <v>0</v>
      </c>
      <c r="AX355" s="1308">
        <f t="shared" si="209"/>
        <v>0</v>
      </c>
      <c r="AY355" s="3137">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4">
        <f t="shared" si="205"/>
        <v>0</v>
      </c>
    </row>
    <row r="356" spans="1:72">
      <c r="A356" s="3089"/>
      <c r="B356" s="3090"/>
      <c r="C356" s="3090"/>
      <c r="D356" s="3091"/>
      <c r="E356" s="3092">
        <f t="shared" si="206"/>
        <v>0</v>
      </c>
      <c r="F356" s="3093"/>
      <c r="G356" s="3094">
        <f t="shared" si="181"/>
        <v>0</v>
      </c>
      <c r="H356" s="3095">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2">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308">
        <f t="shared" si="207"/>
        <v>0</v>
      </c>
      <c r="AW356" s="1308">
        <f t="shared" si="208"/>
        <v>0</v>
      </c>
      <c r="AX356" s="1308">
        <f t="shared" si="209"/>
        <v>0</v>
      </c>
      <c r="AY356" s="3137">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4">
        <f t="shared" si="205"/>
        <v>0</v>
      </c>
    </row>
    <row r="357" spans="1:72">
      <c r="A357" s="3089"/>
      <c r="B357" s="3090"/>
      <c r="C357" s="3090"/>
      <c r="D357" s="3091"/>
      <c r="E357" s="3092">
        <f t="shared" si="206"/>
        <v>0</v>
      </c>
      <c r="F357" s="3093"/>
      <c r="G357" s="3094">
        <f t="shared" si="181"/>
        <v>0</v>
      </c>
      <c r="H357" s="3095">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2">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308">
        <f t="shared" si="207"/>
        <v>0</v>
      </c>
      <c r="AW357" s="1308">
        <f t="shared" si="208"/>
        <v>0</v>
      </c>
      <c r="AX357" s="1308">
        <f t="shared" si="209"/>
        <v>0</v>
      </c>
      <c r="AY357" s="3137">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4">
        <f t="shared" si="205"/>
        <v>0</v>
      </c>
    </row>
    <row r="358" spans="1:72">
      <c r="A358" s="3089"/>
      <c r="B358" s="3090"/>
      <c r="C358" s="3090"/>
      <c r="D358" s="3091"/>
      <c r="E358" s="3092">
        <f t="shared" si="206"/>
        <v>0</v>
      </c>
      <c r="F358" s="3093"/>
      <c r="G358" s="3094">
        <f t="shared" si="181"/>
        <v>0</v>
      </c>
      <c r="H358" s="3095">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2">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308">
        <f t="shared" si="207"/>
        <v>0</v>
      </c>
      <c r="AW358" s="1308">
        <f t="shared" si="208"/>
        <v>0</v>
      </c>
      <c r="AX358" s="1308">
        <f t="shared" si="209"/>
        <v>0</v>
      </c>
      <c r="AY358" s="3137">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4">
        <f t="shared" si="205"/>
        <v>0</v>
      </c>
    </row>
    <row r="359" spans="1:72">
      <c r="A359" s="3089"/>
      <c r="B359" s="3090"/>
      <c r="C359" s="3090"/>
      <c r="D359" s="3091"/>
      <c r="E359" s="3092">
        <f t="shared" si="206"/>
        <v>0</v>
      </c>
      <c r="F359" s="3093"/>
      <c r="G359" s="3094">
        <f t="shared" si="181"/>
        <v>0</v>
      </c>
      <c r="H359" s="3095">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2">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308">
        <f t="shared" si="207"/>
        <v>0</v>
      </c>
      <c r="AW359" s="1308">
        <f t="shared" si="208"/>
        <v>0</v>
      </c>
      <c r="AX359" s="1308">
        <f t="shared" si="209"/>
        <v>0</v>
      </c>
      <c r="AY359" s="3137">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4">
        <f t="shared" si="205"/>
        <v>0</v>
      </c>
    </row>
    <row r="360" spans="1:72">
      <c r="A360" s="3089"/>
      <c r="B360" s="3090"/>
      <c r="C360" s="3090"/>
      <c r="D360" s="3091"/>
      <c r="E360" s="3092">
        <f t="shared" si="206"/>
        <v>0</v>
      </c>
      <c r="F360" s="3093"/>
      <c r="G360" s="3094">
        <f t="shared" si="181"/>
        <v>0</v>
      </c>
      <c r="H360" s="3095">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2">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308">
        <f t="shared" si="207"/>
        <v>0</v>
      </c>
      <c r="AW360" s="1308">
        <f t="shared" si="208"/>
        <v>0</v>
      </c>
      <c r="AX360" s="1308">
        <f t="shared" si="209"/>
        <v>0</v>
      </c>
      <c r="AY360" s="3137">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4">
        <f t="shared" si="205"/>
        <v>0</v>
      </c>
    </row>
    <row r="361" spans="1:72">
      <c r="A361" s="3089"/>
      <c r="B361" s="3090"/>
      <c r="C361" s="3090"/>
      <c r="D361" s="3091"/>
      <c r="E361" s="3092">
        <f t="shared" si="206"/>
        <v>0</v>
      </c>
      <c r="F361" s="3093"/>
      <c r="G361" s="3094">
        <f t="shared" si="181"/>
        <v>0</v>
      </c>
      <c r="H361" s="3095">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2">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308">
        <f t="shared" si="207"/>
        <v>0</v>
      </c>
      <c r="AW361" s="1308">
        <f t="shared" si="208"/>
        <v>0</v>
      </c>
      <c r="AX361" s="1308">
        <f t="shared" si="209"/>
        <v>0</v>
      </c>
      <c r="AY361" s="3137">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4">
        <f t="shared" si="205"/>
        <v>0</v>
      </c>
    </row>
    <row r="362" spans="1:72">
      <c r="A362" s="3089"/>
      <c r="B362" s="3090"/>
      <c r="C362" s="3090"/>
      <c r="D362" s="3091"/>
      <c r="E362" s="3092">
        <f t="shared" si="206"/>
        <v>0</v>
      </c>
      <c r="F362" s="3093"/>
      <c r="G362" s="3094">
        <f t="shared" si="181"/>
        <v>0</v>
      </c>
      <c r="H362" s="3095">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2">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308">
        <f t="shared" si="207"/>
        <v>0</v>
      </c>
      <c r="AW362" s="1308">
        <f t="shared" si="208"/>
        <v>0</v>
      </c>
      <c r="AX362" s="1308">
        <f t="shared" si="209"/>
        <v>0</v>
      </c>
      <c r="AY362" s="3137">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4">
        <f t="shared" si="205"/>
        <v>0</v>
      </c>
    </row>
    <row r="363" spans="1:72">
      <c r="A363" s="3089"/>
      <c r="B363" s="3090"/>
      <c r="C363" s="3090"/>
      <c r="D363" s="3091"/>
      <c r="E363" s="3092">
        <f t="shared" si="206"/>
        <v>0</v>
      </c>
      <c r="F363" s="3093"/>
      <c r="G363" s="3094">
        <f t="shared" si="181"/>
        <v>0</v>
      </c>
      <c r="H363" s="3095">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2">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308">
        <f t="shared" si="207"/>
        <v>0</v>
      </c>
      <c r="AW363" s="1308">
        <f t="shared" si="208"/>
        <v>0</v>
      </c>
      <c r="AX363" s="1308">
        <f t="shared" si="209"/>
        <v>0</v>
      </c>
      <c r="AY363" s="3137">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4">
        <f t="shared" si="205"/>
        <v>0</v>
      </c>
    </row>
    <row r="364" spans="1:72">
      <c r="A364" s="3089"/>
      <c r="B364" s="3090"/>
      <c r="C364" s="3090"/>
      <c r="D364" s="3091"/>
      <c r="E364" s="3092">
        <f t="shared" si="206"/>
        <v>0</v>
      </c>
      <c r="F364" s="3093"/>
      <c r="G364" s="3094">
        <f t="shared" ref="G364:G397" si="210">H364+AC364+AT364</f>
        <v>0</v>
      </c>
      <c r="H364" s="3095">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2">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308">
        <f t="shared" si="207"/>
        <v>0</v>
      </c>
      <c r="AW364" s="1308">
        <f t="shared" si="208"/>
        <v>0</v>
      </c>
      <c r="AX364" s="1308">
        <f t="shared" si="209"/>
        <v>0</v>
      </c>
      <c r="AY364" s="3137">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4">
        <f t="shared" ref="BT364:BT397" si="234">IF($D364="是",AR364-AS364,0)</f>
        <v>0</v>
      </c>
    </row>
    <row r="365" spans="1:72">
      <c r="A365" s="3089"/>
      <c r="B365" s="3090"/>
      <c r="C365" s="3090"/>
      <c r="D365" s="3091"/>
      <c r="E365" s="3092">
        <f t="shared" si="206"/>
        <v>0</v>
      </c>
      <c r="F365" s="3093"/>
      <c r="G365" s="3094">
        <f t="shared" si="210"/>
        <v>0</v>
      </c>
      <c r="H365" s="3095">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2">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308">
        <f t="shared" si="207"/>
        <v>0</v>
      </c>
      <c r="AW365" s="1308">
        <f t="shared" si="208"/>
        <v>0</v>
      </c>
      <c r="AX365" s="1308">
        <f t="shared" si="209"/>
        <v>0</v>
      </c>
      <c r="AY365" s="3137">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4">
        <f t="shared" si="234"/>
        <v>0</v>
      </c>
    </row>
    <row r="366" spans="1:72">
      <c r="A366" s="3089"/>
      <c r="B366" s="3090"/>
      <c r="C366" s="3090"/>
      <c r="D366" s="3091"/>
      <c r="E366" s="3092">
        <f t="shared" si="206"/>
        <v>0</v>
      </c>
      <c r="F366" s="3093"/>
      <c r="G366" s="3094">
        <f t="shared" si="210"/>
        <v>0</v>
      </c>
      <c r="H366" s="3095">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2">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308">
        <f t="shared" si="207"/>
        <v>0</v>
      </c>
      <c r="AW366" s="1308">
        <f t="shared" si="208"/>
        <v>0</v>
      </c>
      <c r="AX366" s="1308">
        <f t="shared" si="209"/>
        <v>0</v>
      </c>
      <c r="AY366" s="3137">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4">
        <f t="shared" si="234"/>
        <v>0</v>
      </c>
    </row>
    <row r="367" spans="1:72">
      <c r="A367" s="3089"/>
      <c r="B367" s="3090"/>
      <c r="C367" s="3090"/>
      <c r="D367" s="3091"/>
      <c r="E367" s="3092">
        <f t="shared" ref="E367:E397" si="235">IF($C$3="是",ROUND($A$3*G367/$B$3,2),ROUND($A$3*(G367-AT367)/$B$3,2))</f>
        <v>0</v>
      </c>
      <c r="F367" s="3093"/>
      <c r="G367" s="3094">
        <f t="shared" si="210"/>
        <v>0</v>
      </c>
      <c r="H367" s="3095">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2">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308">
        <f t="shared" ref="AV367:AV397" si="236">A367</f>
        <v>0</v>
      </c>
      <c r="AW367" s="1308">
        <f t="shared" ref="AW367:AW397" si="237">B367</f>
        <v>0</v>
      </c>
      <c r="AX367" s="1308">
        <f t="shared" ref="AX367:AX397" si="238">C367</f>
        <v>0</v>
      </c>
      <c r="AY367" s="3137">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4">
        <f t="shared" si="234"/>
        <v>0</v>
      </c>
    </row>
    <row r="368" spans="1:72">
      <c r="A368" s="3089"/>
      <c r="B368" s="3090"/>
      <c r="C368" s="3090"/>
      <c r="D368" s="3091"/>
      <c r="E368" s="3092">
        <f t="shared" si="235"/>
        <v>0</v>
      </c>
      <c r="F368" s="3093"/>
      <c r="G368" s="3094">
        <f t="shared" si="210"/>
        <v>0</v>
      </c>
      <c r="H368" s="3095">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2">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308">
        <f t="shared" si="236"/>
        <v>0</v>
      </c>
      <c r="AW368" s="1308">
        <f t="shared" si="237"/>
        <v>0</v>
      </c>
      <c r="AX368" s="1308">
        <f t="shared" si="238"/>
        <v>0</v>
      </c>
      <c r="AY368" s="3137">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4">
        <f t="shared" si="234"/>
        <v>0</v>
      </c>
    </row>
    <row r="369" spans="1:72">
      <c r="A369" s="3089"/>
      <c r="B369" s="3090"/>
      <c r="C369" s="3090"/>
      <c r="D369" s="3091"/>
      <c r="E369" s="3092">
        <f t="shared" si="235"/>
        <v>0</v>
      </c>
      <c r="F369" s="3093"/>
      <c r="G369" s="3094">
        <f t="shared" si="210"/>
        <v>0</v>
      </c>
      <c r="H369" s="3095">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2">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308">
        <f t="shared" si="236"/>
        <v>0</v>
      </c>
      <c r="AW369" s="1308">
        <f t="shared" si="237"/>
        <v>0</v>
      </c>
      <c r="AX369" s="1308">
        <f t="shared" si="238"/>
        <v>0</v>
      </c>
      <c r="AY369" s="3137">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4">
        <f t="shared" si="234"/>
        <v>0</v>
      </c>
    </row>
    <row r="370" spans="1:72">
      <c r="A370" s="3089"/>
      <c r="B370" s="3090"/>
      <c r="C370" s="3090"/>
      <c r="D370" s="3091"/>
      <c r="E370" s="3092">
        <f t="shared" si="235"/>
        <v>0</v>
      </c>
      <c r="F370" s="3093"/>
      <c r="G370" s="3094">
        <f t="shared" si="210"/>
        <v>0</v>
      </c>
      <c r="H370" s="3095">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2">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308">
        <f t="shared" si="236"/>
        <v>0</v>
      </c>
      <c r="AW370" s="1308">
        <f t="shared" si="237"/>
        <v>0</v>
      </c>
      <c r="AX370" s="1308">
        <f t="shared" si="238"/>
        <v>0</v>
      </c>
      <c r="AY370" s="3137">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4">
        <f t="shared" si="234"/>
        <v>0</v>
      </c>
    </row>
    <row r="371" spans="1:72">
      <c r="A371" s="3089"/>
      <c r="B371" s="3090"/>
      <c r="C371" s="3090"/>
      <c r="D371" s="3091"/>
      <c r="E371" s="3092">
        <f t="shared" si="235"/>
        <v>0</v>
      </c>
      <c r="F371" s="3093"/>
      <c r="G371" s="3094">
        <f t="shared" si="210"/>
        <v>0</v>
      </c>
      <c r="H371" s="3095">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2">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308">
        <f t="shared" si="236"/>
        <v>0</v>
      </c>
      <c r="AW371" s="1308">
        <f t="shared" si="237"/>
        <v>0</v>
      </c>
      <c r="AX371" s="1308">
        <f t="shared" si="238"/>
        <v>0</v>
      </c>
      <c r="AY371" s="3137">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4">
        <f t="shared" si="234"/>
        <v>0</v>
      </c>
    </row>
    <row r="372" spans="1:72">
      <c r="A372" s="3089"/>
      <c r="B372" s="3090"/>
      <c r="C372" s="3090"/>
      <c r="D372" s="3091"/>
      <c r="E372" s="3092">
        <f t="shared" si="235"/>
        <v>0</v>
      </c>
      <c r="F372" s="3093"/>
      <c r="G372" s="3094">
        <f t="shared" si="210"/>
        <v>0</v>
      </c>
      <c r="H372" s="3095">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2">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308">
        <f t="shared" si="236"/>
        <v>0</v>
      </c>
      <c r="AW372" s="1308">
        <f t="shared" si="237"/>
        <v>0</v>
      </c>
      <c r="AX372" s="1308">
        <f t="shared" si="238"/>
        <v>0</v>
      </c>
      <c r="AY372" s="3137">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4">
        <f t="shared" si="234"/>
        <v>0</v>
      </c>
    </row>
    <row r="373" spans="1:72">
      <c r="A373" s="3089"/>
      <c r="B373" s="3090"/>
      <c r="C373" s="3090"/>
      <c r="D373" s="3091"/>
      <c r="E373" s="3092">
        <f t="shared" si="235"/>
        <v>0</v>
      </c>
      <c r="F373" s="3093"/>
      <c r="G373" s="3094">
        <f t="shared" si="210"/>
        <v>0</v>
      </c>
      <c r="H373" s="3095">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2">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308">
        <f t="shared" si="236"/>
        <v>0</v>
      </c>
      <c r="AW373" s="1308">
        <f t="shared" si="237"/>
        <v>0</v>
      </c>
      <c r="AX373" s="1308">
        <f t="shared" si="238"/>
        <v>0</v>
      </c>
      <c r="AY373" s="3137">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4">
        <f t="shared" si="234"/>
        <v>0</v>
      </c>
    </row>
    <row r="374" spans="1:72">
      <c r="A374" s="3089"/>
      <c r="B374" s="3090"/>
      <c r="C374" s="3090"/>
      <c r="D374" s="3091"/>
      <c r="E374" s="3092">
        <f t="shared" si="235"/>
        <v>0</v>
      </c>
      <c r="F374" s="3093"/>
      <c r="G374" s="3094">
        <f t="shared" si="210"/>
        <v>0</v>
      </c>
      <c r="H374" s="3095">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2">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308">
        <f t="shared" si="236"/>
        <v>0</v>
      </c>
      <c r="AW374" s="1308">
        <f t="shared" si="237"/>
        <v>0</v>
      </c>
      <c r="AX374" s="1308">
        <f t="shared" si="238"/>
        <v>0</v>
      </c>
      <c r="AY374" s="3137">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4">
        <f t="shared" si="234"/>
        <v>0</v>
      </c>
    </row>
    <row r="375" spans="1:72">
      <c r="A375" s="3089"/>
      <c r="B375" s="3090"/>
      <c r="C375" s="3090"/>
      <c r="D375" s="3091"/>
      <c r="E375" s="3092">
        <f t="shared" si="235"/>
        <v>0</v>
      </c>
      <c r="F375" s="3093"/>
      <c r="G375" s="3094">
        <f t="shared" si="210"/>
        <v>0</v>
      </c>
      <c r="H375" s="3095">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2">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308">
        <f t="shared" si="236"/>
        <v>0</v>
      </c>
      <c r="AW375" s="1308">
        <f t="shared" si="237"/>
        <v>0</v>
      </c>
      <c r="AX375" s="1308">
        <f t="shared" si="238"/>
        <v>0</v>
      </c>
      <c r="AY375" s="3137">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4">
        <f t="shared" si="234"/>
        <v>0</v>
      </c>
    </row>
    <row r="376" spans="1:72">
      <c r="A376" s="3089"/>
      <c r="B376" s="3090"/>
      <c r="C376" s="3090"/>
      <c r="D376" s="3091"/>
      <c r="E376" s="3092">
        <f t="shared" si="235"/>
        <v>0</v>
      </c>
      <c r="F376" s="3093"/>
      <c r="G376" s="3094">
        <f t="shared" si="210"/>
        <v>0</v>
      </c>
      <c r="H376" s="3095">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2">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308">
        <f t="shared" si="236"/>
        <v>0</v>
      </c>
      <c r="AW376" s="1308">
        <f t="shared" si="237"/>
        <v>0</v>
      </c>
      <c r="AX376" s="1308">
        <f t="shared" si="238"/>
        <v>0</v>
      </c>
      <c r="AY376" s="3137">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4">
        <f t="shared" si="234"/>
        <v>0</v>
      </c>
    </row>
    <row r="377" spans="1:72">
      <c r="A377" s="3089"/>
      <c r="B377" s="3090"/>
      <c r="C377" s="3090"/>
      <c r="D377" s="3091"/>
      <c r="E377" s="3092">
        <f t="shared" si="235"/>
        <v>0</v>
      </c>
      <c r="F377" s="3093"/>
      <c r="G377" s="3094">
        <f t="shared" si="210"/>
        <v>0</v>
      </c>
      <c r="H377" s="3095">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2">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308">
        <f t="shared" si="236"/>
        <v>0</v>
      </c>
      <c r="AW377" s="1308">
        <f t="shared" si="237"/>
        <v>0</v>
      </c>
      <c r="AX377" s="1308">
        <f t="shared" si="238"/>
        <v>0</v>
      </c>
      <c r="AY377" s="3137">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4">
        <f t="shared" si="234"/>
        <v>0</v>
      </c>
    </row>
    <row r="378" spans="1:72">
      <c r="A378" s="3089"/>
      <c r="B378" s="3090"/>
      <c r="C378" s="3090"/>
      <c r="D378" s="3091"/>
      <c r="E378" s="3092">
        <f t="shared" si="235"/>
        <v>0</v>
      </c>
      <c r="F378" s="3093"/>
      <c r="G378" s="3094">
        <f t="shared" si="210"/>
        <v>0</v>
      </c>
      <c r="H378" s="3095">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2">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308">
        <f t="shared" si="236"/>
        <v>0</v>
      </c>
      <c r="AW378" s="1308">
        <f t="shared" si="237"/>
        <v>0</v>
      </c>
      <c r="AX378" s="1308">
        <f t="shared" si="238"/>
        <v>0</v>
      </c>
      <c r="AY378" s="3137">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4">
        <f t="shared" si="234"/>
        <v>0</v>
      </c>
    </row>
    <row r="379" spans="1:72">
      <c r="A379" s="3089"/>
      <c r="B379" s="3090"/>
      <c r="C379" s="3090"/>
      <c r="D379" s="3091"/>
      <c r="E379" s="3092">
        <f t="shared" si="235"/>
        <v>0</v>
      </c>
      <c r="F379" s="3093"/>
      <c r="G379" s="3094">
        <f t="shared" si="210"/>
        <v>0</v>
      </c>
      <c r="H379" s="3095">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2">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308">
        <f t="shared" si="236"/>
        <v>0</v>
      </c>
      <c r="AW379" s="1308">
        <f t="shared" si="237"/>
        <v>0</v>
      </c>
      <c r="AX379" s="1308">
        <f t="shared" si="238"/>
        <v>0</v>
      </c>
      <c r="AY379" s="3137">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4">
        <f t="shared" si="234"/>
        <v>0</v>
      </c>
    </row>
    <row r="380" spans="1:72">
      <c r="A380" s="3089"/>
      <c r="B380" s="3090"/>
      <c r="C380" s="3090"/>
      <c r="D380" s="3091"/>
      <c r="E380" s="3092">
        <f t="shared" si="235"/>
        <v>0</v>
      </c>
      <c r="F380" s="3093"/>
      <c r="G380" s="3094">
        <f t="shared" si="210"/>
        <v>0</v>
      </c>
      <c r="H380" s="3095">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2">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308">
        <f t="shared" si="236"/>
        <v>0</v>
      </c>
      <c r="AW380" s="1308">
        <f t="shared" si="237"/>
        <v>0</v>
      </c>
      <c r="AX380" s="1308">
        <f t="shared" si="238"/>
        <v>0</v>
      </c>
      <c r="AY380" s="3137">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4">
        <f t="shared" si="234"/>
        <v>0</v>
      </c>
    </row>
    <row r="381" spans="1:72">
      <c r="A381" s="3089"/>
      <c r="B381" s="3090"/>
      <c r="C381" s="3090"/>
      <c r="D381" s="3091"/>
      <c r="E381" s="3092">
        <f t="shared" si="235"/>
        <v>0</v>
      </c>
      <c r="F381" s="3093"/>
      <c r="G381" s="3094">
        <f t="shared" si="210"/>
        <v>0</v>
      </c>
      <c r="H381" s="3095">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2">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308">
        <f t="shared" si="236"/>
        <v>0</v>
      </c>
      <c r="AW381" s="1308">
        <f t="shared" si="237"/>
        <v>0</v>
      </c>
      <c r="AX381" s="1308">
        <f t="shared" si="238"/>
        <v>0</v>
      </c>
      <c r="AY381" s="3137">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4">
        <f t="shared" si="234"/>
        <v>0</v>
      </c>
    </row>
    <row r="382" spans="1:72">
      <c r="A382" s="3089"/>
      <c r="B382" s="3090"/>
      <c r="C382" s="3090"/>
      <c r="D382" s="3091"/>
      <c r="E382" s="3092">
        <f t="shared" si="235"/>
        <v>0</v>
      </c>
      <c r="F382" s="3093"/>
      <c r="G382" s="3094">
        <f t="shared" si="210"/>
        <v>0</v>
      </c>
      <c r="H382" s="3095">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2">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308">
        <f t="shared" si="236"/>
        <v>0</v>
      </c>
      <c r="AW382" s="1308">
        <f t="shared" si="237"/>
        <v>0</v>
      </c>
      <c r="AX382" s="1308">
        <f t="shared" si="238"/>
        <v>0</v>
      </c>
      <c r="AY382" s="3137">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4">
        <f t="shared" si="234"/>
        <v>0</v>
      </c>
    </row>
    <row r="383" spans="1:72">
      <c r="A383" s="3089"/>
      <c r="B383" s="3090"/>
      <c r="C383" s="3090"/>
      <c r="D383" s="3091"/>
      <c r="E383" s="3092">
        <f t="shared" si="235"/>
        <v>0</v>
      </c>
      <c r="F383" s="3093"/>
      <c r="G383" s="3094">
        <f t="shared" si="210"/>
        <v>0</v>
      </c>
      <c r="H383" s="3095">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2">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308">
        <f t="shared" si="236"/>
        <v>0</v>
      </c>
      <c r="AW383" s="1308">
        <f t="shared" si="237"/>
        <v>0</v>
      </c>
      <c r="AX383" s="1308">
        <f t="shared" si="238"/>
        <v>0</v>
      </c>
      <c r="AY383" s="3137">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4">
        <f t="shared" si="234"/>
        <v>0</v>
      </c>
    </row>
    <row r="384" spans="1:72">
      <c r="A384" s="3089"/>
      <c r="B384" s="3090"/>
      <c r="C384" s="3090"/>
      <c r="D384" s="3091"/>
      <c r="E384" s="3092">
        <f t="shared" si="235"/>
        <v>0</v>
      </c>
      <c r="F384" s="3093"/>
      <c r="G384" s="3094">
        <f t="shared" si="210"/>
        <v>0</v>
      </c>
      <c r="H384" s="3095">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2">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308">
        <f t="shared" si="236"/>
        <v>0</v>
      </c>
      <c r="AW384" s="1308">
        <f t="shared" si="237"/>
        <v>0</v>
      </c>
      <c r="AX384" s="1308">
        <f t="shared" si="238"/>
        <v>0</v>
      </c>
      <c r="AY384" s="3137">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4">
        <f t="shared" si="234"/>
        <v>0</v>
      </c>
    </row>
    <row r="385" spans="1:72">
      <c r="A385" s="3089"/>
      <c r="B385" s="3090"/>
      <c r="C385" s="3090"/>
      <c r="D385" s="3091"/>
      <c r="E385" s="3092">
        <f t="shared" si="235"/>
        <v>0</v>
      </c>
      <c r="F385" s="3093"/>
      <c r="G385" s="3094">
        <f t="shared" si="210"/>
        <v>0</v>
      </c>
      <c r="H385" s="3095">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2">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308">
        <f t="shared" si="236"/>
        <v>0</v>
      </c>
      <c r="AW385" s="1308">
        <f t="shared" si="237"/>
        <v>0</v>
      </c>
      <c r="AX385" s="1308">
        <f t="shared" si="238"/>
        <v>0</v>
      </c>
      <c r="AY385" s="3137">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4">
        <f t="shared" si="234"/>
        <v>0</v>
      </c>
    </row>
    <row r="386" spans="1:72">
      <c r="A386" s="3089"/>
      <c r="B386" s="3090"/>
      <c r="C386" s="3090"/>
      <c r="D386" s="3091"/>
      <c r="E386" s="3092">
        <f t="shared" si="235"/>
        <v>0</v>
      </c>
      <c r="F386" s="3093"/>
      <c r="G386" s="3094">
        <f t="shared" si="210"/>
        <v>0</v>
      </c>
      <c r="H386" s="3095">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2">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308">
        <f t="shared" si="236"/>
        <v>0</v>
      </c>
      <c r="AW386" s="1308">
        <f t="shared" si="237"/>
        <v>0</v>
      </c>
      <c r="AX386" s="1308">
        <f t="shared" si="238"/>
        <v>0</v>
      </c>
      <c r="AY386" s="3137">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4">
        <f t="shared" si="234"/>
        <v>0</v>
      </c>
    </row>
    <row r="387" spans="1:72">
      <c r="A387" s="3089"/>
      <c r="B387" s="3090"/>
      <c r="C387" s="3090"/>
      <c r="D387" s="3091"/>
      <c r="E387" s="3092">
        <f t="shared" si="235"/>
        <v>0</v>
      </c>
      <c r="F387" s="3093"/>
      <c r="G387" s="3094">
        <f t="shared" si="210"/>
        <v>0</v>
      </c>
      <c r="H387" s="3095">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2">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308">
        <f t="shared" si="236"/>
        <v>0</v>
      </c>
      <c r="AW387" s="1308">
        <f t="shared" si="237"/>
        <v>0</v>
      </c>
      <c r="AX387" s="1308">
        <f t="shared" si="238"/>
        <v>0</v>
      </c>
      <c r="AY387" s="3137">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4">
        <f t="shared" si="234"/>
        <v>0</v>
      </c>
    </row>
    <row r="388" spans="1:72">
      <c r="A388" s="3089"/>
      <c r="B388" s="3090"/>
      <c r="C388" s="3090"/>
      <c r="D388" s="3091"/>
      <c r="E388" s="3092">
        <f t="shared" si="235"/>
        <v>0</v>
      </c>
      <c r="F388" s="3093"/>
      <c r="G388" s="3094">
        <f t="shared" si="210"/>
        <v>0</v>
      </c>
      <c r="H388" s="3095">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2">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308">
        <f t="shared" si="236"/>
        <v>0</v>
      </c>
      <c r="AW388" s="1308">
        <f t="shared" si="237"/>
        <v>0</v>
      </c>
      <c r="AX388" s="1308">
        <f t="shared" si="238"/>
        <v>0</v>
      </c>
      <c r="AY388" s="3137">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4">
        <f t="shared" si="234"/>
        <v>0</v>
      </c>
    </row>
    <row r="389" spans="1:72">
      <c r="A389" s="3089"/>
      <c r="B389" s="3090"/>
      <c r="C389" s="3090"/>
      <c r="D389" s="3091"/>
      <c r="E389" s="3092">
        <f t="shared" si="235"/>
        <v>0</v>
      </c>
      <c r="F389" s="3093"/>
      <c r="G389" s="3094">
        <f t="shared" si="210"/>
        <v>0</v>
      </c>
      <c r="H389" s="3095">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2">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308">
        <f t="shared" si="236"/>
        <v>0</v>
      </c>
      <c r="AW389" s="1308">
        <f t="shared" si="237"/>
        <v>0</v>
      </c>
      <c r="AX389" s="1308">
        <f t="shared" si="238"/>
        <v>0</v>
      </c>
      <c r="AY389" s="3137">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4">
        <f t="shared" si="234"/>
        <v>0</v>
      </c>
    </row>
    <row r="390" spans="1:72">
      <c r="A390" s="3089"/>
      <c r="B390" s="3090"/>
      <c r="C390" s="3090"/>
      <c r="D390" s="3091"/>
      <c r="E390" s="3092">
        <f t="shared" si="235"/>
        <v>0</v>
      </c>
      <c r="F390" s="3093"/>
      <c r="G390" s="3094">
        <f t="shared" si="210"/>
        <v>0</v>
      </c>
      <c r="H390" s="3095">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2">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308">
        <f t="shared" si="236"/>
        <v>0</v>
      </c>
      <c r="AW390" s="1308">
        <f t="shared" si="237"/>
        <v>0</v>
      </c>
      <c r="AX390" s="1308">
        <f t="shared" si="238"/>
        <v>0</v>
      </c>
      <c r="AY390" s="3137">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4">
        <f t="shared" si="234"/>
        <v>0</v>
      </c>
    </row>
    <row r="391" spans="1:72">
      <c r="A391" s="3089"/>
      <c r="B391" s="3090"/>
      <c r="C391" s="3090"/>
      <c r="D391" s="3091"/>
      <c r="E391" s="3092">
        <f t="shared" si="235"/>
        <v>0</v>
      </c>
      <c r="F391" s="3093"/>
      <c r="G391" s="3094">
        <f t="shared" si="210"/>
        <v>0</v>
      </c>
      <c r="H391" s="3095">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2">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308">
        <f t="shared" si="236"/>
        <v>0</v>
      </c>
      <c r="AW391" s="1308">
        <f t="shared" si="237"/>
        <v>0</v>
      </c>
      <c r="AX391" s="1308">
        <f t="shared" si="238"/>
        <v>0</v>
      </c>
      <c r="AY391" s="3137">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4">
        <f t="shared" si="234"/>
        <v>0</v>
      </c>
    </row>
    <row r="392" spans="1:72">
      <c r="A392" s="3089"/>
      <c r="B392" s="3090"/>
      <c r="C392" s="3090"/>
      <c r="D392" s="3091"/>
      <c r="E392" s="3092">
        <f t="shared" si="235"/>
        <v>0</v>
      </c>
      <c r="F392" s="3093"/>
      <c r="G392" s="3094">
        <f t="shared" si="210"/>
        <v>0</v>
      </c>
      <c r="H392" s="3095">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2">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308">
        <f t="shared" si="236"/>
        <v>0</v>
      </c>
      <c r="AW392" s="1308">
        <f t="shared" si="237"/>
        <v>0</v>
      </c>
      <c r="AX392" s="1308">
        <f t="shared" si="238"/>
        <v>0</v>
      </c>
      <c r="AY392" s="3137">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4">
        <f t="shared" si="234"/>
        <v>0</v>
      </c>
    </row>
    <row r="393" spans="1:72">
      <c r="A393" s="3089"/>
      <c r="B393" s="3090"/>
      <c r="C393" s="3090"/>
      <c r="D393" s="3091"/>
      <c r="E393" s="3092">
        <f t="shared" si="235"/>
        <v>0</v>
      </c>
      <c r="F393" s="3093"/>
      <c r="G393" s="3094">
        <f t="shared" si="210"/>
        <v>0</v>
      </c>
      <c r="H393" s="3095">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2">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308">
        <f t="shared" si="236"/>
        <v>0</v>
      </c>
      <c r="AW393" s="1308">
        <f t="shared" si="237"/>
        <v>0</v>
      </c>
      <c r="AX393" s="1308">
        <f t="shared" si="238"/>
        <v>0</v>
      </c>
      <c r="AY393" s="3137">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4">
        <f t="shared" si="234"/>
        <v>0</v>
      </c>
    </row>
    <row r="394" spans="1:72">
      <c r="A394" s="3089"/>
      <c r="B394" s="3090"/>
      <c r="C394" s="3090"/>
      <c r="D394" s="3091"/>
      <c r="E394" s="3092">
        <f t="shared" si="235"/>
        <v>0</v>
      </c>
      <c r="F394" s="3093"/>
      <c r="G394" s="3094">
        <f t="shared" si="210"/>
        <v>0</v>
      </c>
      <c r="H394" s="3095">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2">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308">
        <f t="shared" si="236"/>
        <v>0</v>
      </c>
      <c r="AW394" s="1308">
        <f t="shared" si="237"/>
        <v>0</v>
      </c>
      <c r="AX394" s="1308">
        <f t="shared" si="238"/>
        <v>0</v>
      </c>
      <c r="AY394" s="3137">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4">
        <f t="shared" si="234"/>
        <v>0</v>
      </c>
    </row>
    <row r="395" spans="1:72">
      <c r="A395" s="3089"/>
      <c r="B395" s="3089"/>
      <c r="C395" s="3089"/>
      <c r="D395" s="3091"/>
      <c r="E395" s="3092">
        <f t="shared" si="235"/>
        <v>0</v>
      </c>
      <c r="F395" s="3145"/>
      <c r="G395" s="3094">
        <f t="shared" si="210"/>
        <v>0</v>
      </c>
      <c r="H395" s="3095">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2">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308">
        <f t="shared" si="236"/>
        <v>0</v>
      </c>
      <c r="AW395" s="1308">
        <f t="shared" si="237"/>
        <v>0</v>
      </c>
      <c r="AX395" s="1308">
        <f t="shared" si="238"/>
        <v>0</v>
      </c>
      <c r="AY395" s="3137">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4">
        <f t="shared" si="234"/>
        <v>0</v>
      </c>
    </row>
    <row r="396" spans="1:72">
      <c r="A396" s="3089"/>
      <c r="B396" s="3089"/>
      <c r="C396" s="3089"/>
      <c r="D396" s="3091"/>
      <c r="E396" s="3092">
        <f t="shared" si="235"/>
        <v>0</v>
      </c>
      <c r="F396" s="3145"/>
      <c r="G396" s="3094">
        <f t="shared" si="210"/>
        <v>0</v>
      </c>
      <c r="H396" s="3095">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2">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308">
        <f t="shared" si="236"/>
        <v>0</v>
      </c>
      <c r="AW396" s="1308">
        <f t="shared" si="237"/>
        <v>0</v>
      </c>
      <c r="AX396" s="1308">
        <f t="shared" si="238"/>
        <v>0</v>
      </c>
      <c r="AY396" s="3137">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4">
        <f t="shared" si="234"/>
        <v>0</v>
      </c>
    </row>
    <row r="397" spans="1:72">
      <c r="A397" s="3089"/>
      <c r="B397" s="3089"/>
      <c r="C397" s="3089"/>
      <c r="D397" s="3091"/>
      <c r="E397" s="3092">
        <f t="shared" si="235"/>
        <v>0</v>
      </c>
      <c r="F397" s="3145"/>
      <c r="G397" s="3094">
        <f t="shared" si="210"/>
        <v>0</v>
      </c>
      <c r="H397" s="3095">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2">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308">
        <f t="shared" si="236"/>
        <v>0</v>
      </c>
      <c r="AW397" s="1308">
        <f t="shared" si="237"/>
        <v>0</v>
      </c>
      <c r="AX397" s="1308">
        <f t="shared" si="238"/>
        <v>0</v>
      </c>
      <c r="AY397" s="3137">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4">
        <f t="shared" si="234"/>
        <v>0</v>
      </c>
    </row>
    <row r="398" spans="1:72">
      <c r="A398" s="3089"/>
      <c r="B398" s="3090"/>
      <c r="C398" s="3090"/>
      <c r="D398" s="3091"/>
      <c r="E398" s="3092">
        <f t="shared" ref="E398:E492" si="239">IF($C$3="是",ROUND($A$3*G398/$B$3,2),ROUND($A$3*(G398-AT398)/$B$3,2))</f>
        <v>0</v>
      </c>
      <c r="F398" s="3093"/>
      <c r="G398" s="3094">
        <f t="shared" ref="G398:G489" si="240">H398+AC398+AT398</f>
        <v>0</v>
      </c>
      <c r="H398" s="3095">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2">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308">
        <f t="shared" ref="AV398:AV492" si="243">A398</f>
        <v>0</v>
      </c>
      <c r="AW398" s="1308">
        <f t="shared" ref="AW398:AW492" si="244">B398</f>
        <v>0</v>
      </c>
      <c r="AX398" s="1308">
        <f t="shared" ref="AX398:AX492" si="245">C398</f>
        <v>0</v>
      </c>
      <c r="AY398" s="3137">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4">
        <f t="shared" ref="BT398:BT489" si="267">IF($D398="是",AR398-AS398,0)</f>
        <v>0</v>
      </c>
    </row>
    <row r="399" spans="1:72">
      <c r="A399" s="3089"/>
      <c r="B399" s="3090"/>
      <c r="C399" s="3090"/>
      <c r="D399" s="3091"/>
      <c r="E399" s="3092">
        <f t="shared" si="239"/>
        <v>0</v>
      </c>
      <c r="F399" s="3093"/>
      <c r="G399" s="3094">
        <f t="shared" si="240"/>
        <v>0</v>
      </c>
      <c r="H399" s="3095">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2">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308">
        <f t="shared" si="243"/>
        <v>0</v>
      </c>
      <c r="AW399" s="1308">
        <f t="shared" si="244"/>
        <v>0</v>
      </c>
      <c r="AX399" s="1308">
        <f t="shared" si="245"/>
        <v>0</v>
      </c>
      <c r="AY399" s="3137">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4">
        <f t="shared" si="267"/>
        <v>0</v>
      </c>
    </row>
    <row r="400" spans="1:72">
      <c r="A400" s="3089"/>
      <c r="B400" s="3090"/>
      <c r="C400" s="3090"/>
      <c r="D400" s="3091"/>
      <c r="E400" s="3092">
        <f t="shared" si="239"/>
        <v>0</v>
      </c>
      <c r="F400" s="3093"/>
      <c r="G400" s="3094">
        <f t="shared" si="240"/>
        <v>0</v>
      </c>
      <c r="H400" s="3095">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2">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308">
        <f t="shared" si="243"/>
        <v>0</v>
      </c>
      <c r="AW400" s="1308">
        <f t="shared" si="244"/>
        <v>0</v>
      </c>
      <c r="AX400" s="1308">
        <f t="shared" si="245"/>
        <v>0</v>
      </c>
      <c r="AY400" s="3137">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4">
        <f t="shared" si="267"/>
        <v>0</v>
      </c>
    </row>
    <row r="401" spans="1:72">
      <c r="A401" s="3089"/>
      <c r="B401" s="3090"/>
      <c r="C401" s="3090"/>
      <c r="D401" s="3091"/>
      <c r="E401" s="3092">
        <f t="shared" si="239"/>
        <v>0</v>
      </c>
      <c r="F401" s="3093"/>
      <c r="G401" s="3094">
        <f t="shared" si="240"/>
        <v>0</v>
      </c>
      <c r="H401" s="3095">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2">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308">
        <f t="shared" si="243"/>
        <v>0</v>
      </c>
      <c r="AW401" s="1308">
        <f t="shared" si="244"/>
        <v>0</v>
      </c>
      <c r="AX401" s="1308">
        <f t="shared" si="245"/>
        <v>0</v>
      </c>
      <c r="AY401" s="3137">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4">
        <f t="shared" si="267"/>
        <v>0</v>
      </c>
    </row>
    <row r="402" spans="1:72">
      <c r="A402" s="3089"/>
      <c r="B402" s="3090"/>
      <c r="C402" s="3090"/>
      <c r="D402" s="3091"/>
      <c r="E402" s="3092">
        <f t="shared" si="239"/>
        <v>0</v>
      </c>
      <c r="F402" s="3093"/>
      <c r="G402" s="3094">
        <f t="shared" si="240"/>
        <v>0</v>
      </c>
      <c r="H402" s="3095">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2">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308">
        <f t="shared" si="243"/>
        <v>0</v>
      </c>
      <c r="AW402" s="1308">
        <f t="shared" si="244"/>
        <v>0</v>
      </c>
      <c r="AX402" s="1308">
        <f t="shared" si="245"/>
        <v>0</v>
      </c>
      <c r="AY402" s="3137">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4">
        <f t="shared" si="267"/>
        <v>0</v>
      </c>
    </row>
    <row r="403" spans="1:72">
      <c r="A403" s="3089"/>
      <c r="B403" s="3090"/>
      <c r="C403" s="3090"/>
      <c r="D403" s="3091"/>
      <c r="E403" s="3092">
        <f t="shared" si="239"/>
        <v>0</v>
      </c>
      <c r="F403" s="3093"/>
      <c r="G403" s="3094">
        <f t="shared" si="240"/>
        <v>0</v>
      </c>
      <c r="H403" s="3095">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2">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308">
        <f t="shared" si="243"/>
        <v>0</v>
      </c>
      <c r="AW403" s="1308">
        <f t="shared" si="244"/>
        <v>0</v>
      </c>
      <c r="AX403" s="1308">
        <f t="shared" si="245"/>
        <v>0</v>
      </c>
      <c r="AY403" s="3137">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4">
        <f t="shared" si="267"/>
        <v>0</v>
      </c>
    </row>
    <row r="404" spans="1:72">
      <c r="A404" s="3089"/>
      <c r="B404" s="3090"/>
      <c r="C404" s="3090"/>
      <c r="D404" s="3091"/>
      <c r="E404" s="3092">
        <f t="shared" si="239"/>
        <v>0</v>
      </c>
      <c r="F404" s="3093"/>
      <c r="G404" s="3094">
        <f t="shared" si="240"/>
        <v>0</v>
      </c>
      <c r="H404" s="3095">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2">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308">
        <f t="shared" si="243"/>
        <v>0</v>
      </c>
      <c r="AW404" s="1308">
        <f t="shared" si="244"/>
        <v>0</v>
      </c>
      <c r="AX404" s="1308">
        <f t="shared" si="245"/>
        <v>0</v>
      </c>
      <c r="AY404" s="3137">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4">
        <f t="shared" si="267"/>
        <v>0</v>
      </c>
    </row>
    <row r="405" spans="1:72">
      <c r="A405" s="3089"/>
      <c r="B405" s="3090"/>
      <c r="C405" s="3090"/>
      <c r="D405" s="3091"/>
      <c r="E405" s="3092">
        <f t="shared" si="239"/>
        <v>0</v>
      </c>
      <c r="F405" s="3093"/>
      <c r="G405" s="3094">
        <f t="shared" si="240"/>
        <v>0</v>
      </c>
      <c r="H405" s="3095">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2">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308">
        <f t="shared" si="243"/>
        <v>0</v>
      </c>
      <c r="AW405" s="1308">
        <f t="shared" si="244"/>
        <v>0</v>
      </c>
      <c r="AX405" s="1308">
        <f t="shared" si="245"/>
        <v>0</v>
      </c>
      <c r="AY405" s="3137">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4">
        <f t="shared" si="267"/>
        <v>0</v>
      </c>
    </row>
    <row r="406" spans="1:72">
      <c r="A406" s="3089"/>
      <c r="B406" s="3090"/>
      <c r="C406" s="3090"/>
      <c r="D406" s="3091"/>
      <c r="E406" s="3092">
        <f t="shared" si="239"/>
        <v>0</v>
      </c>
      <c r="F406" s="3093"/>
      <c r="G406" s="3094">
        <f t="shared" si="240"/>
        <v>0</v>
      </c>
      <c r="H406" s="3095">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2">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308">
        <f t="shared" si="243"/>
        <v>0</v>
      </c>
      <c r="AW406" s="1308">
        <f t="shared" si="244"/>
        <v>0</v>
      </c>
      <c r="AX406" s="1308">
        <f t="shared" si="245"/>
        <v>0</v>
      </c>
      <c r="AY406" s="3137">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4">
        <f t="shared" si="267"/>
        <v>0</v>
      </c>
    </row>
    <row r="407" spans="1:72">
      <c r="A407" s="3089"/>
      <c r="B407" s="3090"/>
      <c r="C407" s="3090"/>
      <c r="D407" s="3091"/>
      <c r="E407" s="3092">
        <f t="shared" si="239"/>
        <v>0</v>
      </c>
      <c r="F407" s="3093"/>
      <c r="G407" s="3094">
        <f t="shared" si="240"/>
        <v>0</v>
      </c>
      <c r="H407" s="3095">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2">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308">
        <f t="shared" si="243"/>
        <v>0</v>
      </c>
      <c r="AW407" s="1308">
        <f t="shared" si="244"/>
        <v>0</v>
      </c>
      <c r="AX407" s="1308">
        <f t="shared" si="245"/>
        <v>0</v>
      </c>
      <c r="AY407" s="3137">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4">
        <f t="shared" si="267"/>
        <v>0</v>
      </c>
    </row>
    <row r="408" spans="1:72">
      <c r="A408" s="3089"/>
      <c r="B408" s="3090"/>
      <c r="C408" s="3090"/>
      <c r="D408" s="3091"/>
      <c r="E408" s="3092">
        <f t="shared" si="239"/>
        <v>0</v>
      </c>
      <c r="F408" s="3093"/>
      <c r="G408" s="3094">
        <f t="shared" si="240"/>
        <v>0</v>
      </c>
      <c r="H408" s="3095">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2">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308">
        <f t="shared" si="243"/>
        <v>0</v>
      </c>
      <c r="AW408" s="1308">
        <f t="shared" si="244"/>
        <v>0</v>
      </c>
      <c r="AX408" s="1308">
        <f t="shared" si="245"/>
        <v>0</v>
      </c>
      <c r="AY408" s="3137">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4">
        <f t="shared" si="267"/>
        <v>0</v>
      </c>
    </row>
    <row r="409" spans="1:72">
      <c r="A409" s="3089"/>
      <c r="B409" s="3090"/>
      <c r="C409" s="3090"/>
      <c r="D409" s="3091"/>
      <c r="E409" s="3092">
        <f t="shared" si="239"/>
        <v>0</v>
      </c>
      <c r="F409" s="3093"/>
      <c r="G409" s="3094">
        <f t="shared" si="240"/>
        <v>0</v>
      </c>
      <c r="H409" s="3095">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2">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308">
        <f t="shared" si="243"/>
        <v>0</v>
      </c>
      <c r="AW409" s="1308">
        <f t="shared" si="244"/>
        <v>0</v>
      </c>
      <c r="AX409" s="1308">
        <f t="shared" si="245"/>
        <v>0</v>
      </c>
      <c r="AY409" s="3137">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4">
        <f t="shared" si="267"/>
        <v>0</v>
      </c>
    </row>
    <row r="410" spans="1:72">
      <c r="A410" s="3089"/>
      <c r="B410" s="3090"/>
      <c r="C410" s="3090"/>
      <c r="D410" s="3091"/>
      <c r="E410" s="3092">
        <f t="shared" si="239"/>
        <v>0</v>
      </c>
      <c r="F410" s="3093"/>
      <c r="G410" s="3094">
        <f t="shared" si="240"/>
        <v>0</v>
      </c>
      <c r="H410" s="3095">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2">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308">
        <f t="shared" si="243"/>
        <v>0</v>
      </c>
      <c r="AW410" s="1308">
        <f t="shared" si="244"/>
        <v>0</v>
      </c>
      <c r="AX410" s="1308">
        <f t="shared" si="245"/>
        <v>0</v>
      </c>
      <c r="AY410" s="3137">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4">
        <f t="shared" si="267"/>
        <v>0</v>
      </c>
    </row>
    <row r="411" spans="1:72">
      <c r="A411" s="3089"/>
      <c r="B411" s="3090"/>
      <c r="C411" s="3090"/>
      <c r="D411" s="3091"/>
      <c r="E411" s="3092">
        <f t="shared" si="239"/>
        <v>0</v>
      </c>
      <c r="F411" s="3093"/>
      <c r="G411" s="3094">
        <f t="shared" si="240"/>
        <v>0</v>
      </c>
      <c r="H411" s="3095">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2">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308">
        <f t="shared" si="243"/>
        <v>0</v>
      </c>
      <c r="AW411" s="1308">
        <f t="shared" si="244"/>
        <v>0</v>
      </c>
      <c r="AX411" s="1308">
        <f t="shared" si="245"/>
        <v>0</v>
      </c>
      <c r="AY411" s="3137">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4">
        <f t="shared" si="267"/>
        <v>0</v>
      </c>
    </row>
    <row r="412" spans="1:72">
      <c r="A412" s="3089"/>
      <c r="B412" s="3090"/>
      <c r="C412" s="3090"/>
      <c r="D412" s="3091"/>
      <c r="E412" s="3092">
        <f t="shared" si="239"/>
        <v>0</v>
      </c>
      <c r="F412" s="3093"/>
      <c r="G412" s="3094">
        <f t="shared" si="240"/>
        <v>0</v>
      </c>
      <c r="H412" s="3095">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2">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308">
        <f t="shared" si="243"/>
        <v>0</v>
      </c>
      <c r="AW412" s="1308">
        <f t="shared" si="244"/>
        <v>0</v>
      </c>
      <c r="AX412" s="1308">
        <f t="shared" si="245"/>
        <v>0</v>
      </c>
      <c r="AY412" s="3137">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4">
        <f t="shared" si="267"/>
        <v>0</v>
      </c>
    </row>
    <row r="413" spans="1:72">
      <c r="A413" s="3089"/>
      <c r="B413" s="3090"/>
      <c r="C413" s="3090"/>
      <c r="D413" s="3091"/>
      <c r="E413" s="3092">
        <f t="shared" si="239"/>
        <v>0</v>
      </c>
      <c r="F413" s="3093"/>
      <c r="G413" s="3094">
        <f t="shared" si="240"/>
        <v>0</v>
      </c>
      <c r="H413" s="3095">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2">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308">
        <f t="shared" si="243"/>
        <v>0</v>
      </c>
      <c r="AW413" s="1308">
        <f t="shared" si="244"/>
        <v>0</v>
      </c>
      <c r="AX413" s="1308">
        <f t="shared" si="245"/>
        <v>0</v>
      </c>
      <c r="AY413" s="3137">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4">
        <f t="shared" si="267"/>
        <v>0</v>
      </c>
    </row>
    <row r="414" spans="1:72">
      <c r="A414" s="3089"/>
      <c r="B414" s="3090"/>
      <c r="C414" s="3090"/>
      <c r="D414" s="3091"/>
      <c r="E414" s="3092">
        <f t="shared" si="239"/>
        <v>0</v>
      </c>
      <c r="F414" s="3093"/>
      <c r="G414" s="3094">
        <f t="shared" si="240"/>
        <v>0</v>
      </c>
      <c r="H414" s="3095">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2">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308">
        <f t="shared" si="243"/>
        <v>0</v>
      </c>
      <c r="AW414" s="1308">
        <f t="shared" si="244"/>
        <v>0</v>
      </c>
      <c r="AX414" s="1308">
        <f t="shared" si="245"/>
        <v>0</v>
      </c>
      <c r="AY414" s="3137">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4">
        <f t="shared" si="267"/>
        <v>0</v>
      </c>
    </row>
    <row r="415" spans="1:72">
      <c r="A415" s="3089"/>
      <c r="B415" s="3090"/>
      <c r="C415" s="3090"/>
      <c r="D415" s="3091"/>
      <c r="E415" s="3092">
        <f t="shared" si="239"/>
        <v>0</v>
      </c>
      <c r="F415" s="3093"/>
      <c r="G415" s="3094">
        <f t="shared" si="240"/>
        <v>0</v>
      </c>
      <c r="H415" s="3095">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2">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308">
        <f t="shared" si="243"/>
        <v>0</v>
      </c>
      <c r="AW415" s="1308">
        <f t="shared" si="244"/>
        <v>0</v>
      </c>
      <c r="AX415" s="1308">
        <f t="shared" si="245"/>
        <v>0</v>
      </c>
      <c r="AY415" s="3137">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4">
        <f t="shared" si="267"/>
        <v>0</v>
      </c>
    </row>
    <row r="416" spans="1:72">
      <c r="A416" s="3089"/>
      <c r="B416" s="3090"/>
      <c r="C416" s="3090"/>
      <c r="D416" s="3091"/>
      <c r="E416" s="3092">
        <f t="shared" si="239"/>
        <v>0</v>
      </c>
      <c r="F416" s="3093"/>
      <c r="G416" s="3094">
        <f t="shared" si="240"/>
        <v>0</v>
      </c>
      <c r="H416" s="3095">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2">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308">
        <f t="shared" si="243"/>
        <v>0</v>
      </c>
      <c r="AW416" s="1308">
        <f t="shared" si="244"/>
        <v>0</v>
      </c>
      <c r="AX416" s="1308">
        <f t="shared" si="245"/>
        <v>0</v>
      </c>
      <c r="AY416" s="3137">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4">
        <f t="shared" si="267"/>
        <v>0</v>
      </c>
    </row>
    <row r="417" spans="1:72">
      <c r="A417" s="3089"/>
      <c r="B417" s="3090"/>
      <c r="C417" s="3090"/>
      <c r="D417" s="3091"/>
      <c r="E417" s="3092">
        <f t="shared" si="239"/>
        <v>0</v>
      </c>
      <c r="F417" s="3093"/>
      <c r="G417" s="3094">
        <f t="shared" si="240"/>
        <v>0</v>
      </c>
      <c r="H417" s="3095">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2">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308">
        <f t="shared" si="243"/>
        <v>0</v>
      </c>
      <c r="AW417" s="1308">
        <f t="shared" si="244"/>
        <v>0</v>
      </c>
      <c r="AX417" s="1308">
        <f t="shared" si="245"/>
        <v>0</v>
      </c>
      <c r="AY417" s="3137">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4">
        <f t="shared" si="267"/>
        <v>0</v>
      </c>
    </row>
    <row r="418" spans="1:72">
      <c r="A418" s="3089"/>
      <c r="B418" s="3090"/>
      <c r="C418" s="3090"/>
      <c r="D418" s="3091"/>
      <c r="E418" s="3092">
        <f t="shared" si="239"/>
        <v>0</v>
      </c>
      <c r="F418" s="3093"/>
      <c r="G418" s="3094">
        <f t="shared" si="240"/>
        <v>0</v>
      </c>
      <c r="H418" s="3095">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2">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308">
        <f t="shared" si="243"/>
        <v>0</v>
      </c>
      <c r="AW418" s="1308">
        <f t="shared" si="244"/>
        <v>0</v>
      </c>
      <c r="AX418" s="1308">
        <f t="shared" si="245"/>
        <v>0</v>
      </c>
      <c r="AY418" s="3137">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4">
        <f t="shared" si="267"/>
        <v>0</v>
      </c>
    </row>
    <row r="419" spans="1:72">
      <c r="A419" s="3089"/>
      <c r="B419" s="3090"/>
      <c r="C419" s="3090"/>
      <c r="D419" s="3091"/>
      <c r="E419" s="3092">
        <f t="shared" si="239"/>
        <v>0</v>
      </c>
      <c r="F419" s="3093"/>
      <c r="G419" s="3094">
        <f t="shared" si="240"/>
        <v>0</v>
      </c>
      <c r="H419" s="3095">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2">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308">
        <f t="shared" si="243"/>
        <v>0</v>
      </c>
      <c r="AW419" s="1308">
        <f t="shared" si="244"/>
        <v>0</v>
      </c>
      <c r="AX419" s="1308">
        <f t="shared" si="245"/>
        <v>0</v>
      </c>
      <c r="AY419" s="3137">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4">
        <f t="shared" si="267"/>
        <v>0</v>
      </c>
    </row>
    <row r="420" spans="1:72">
      <c r="A420" s="3089"/>
      <c r="B420" s="3090"/>
      <c r="C420" s="3090"/>
      <c r="D420" s="3091"/>
      <c r="E420" s="3092">
        <f t="shared" si="239"/>
        <v>0</v>
      </c>
      <c r="F420" s="3093"/>
      <c r="G420" s="3094">
        <f t="shared" si="240"/>
        <v>0</v>
      </c>
      <c r="H420" s="3095">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2">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308">
        <f t="shared" si="243"/>
        <v>0</v>
      </c>
      <c r="AW420" s="1308">
        <f t="shared" si="244"/>
        <v>0</v>
      </c>
      <c r="AX420" s="1308">
        <f t="shared" si="245"/>
        <v>0</v>
      </c>
      <c r="AY420" s="3137">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4">
        <f t="shared" si="267"/>
        <v>0</v>
      </c>
    </row>
    <row r="421" spans="1:72">
      <c r="A421" s="3089"/>
      <c r="B421" s="3090"/>
      <c r="C421" s="3090"/>
      <c r="D421" s="3091"/>
      <c r="E421" s="3092">
        <f t="shared" si="239"/>
        <v>0</v>
      </c>
      <c r="F421" s="3093"/>
      <c r="G421" s="3094">
        <f t="shared" si="240"/>
        <v>0</v>
      </c>
      <c r="H421" s="3095">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2">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308">
        <f t="shared" si="243"/>
        <v>0</v>
      </c>
      <c r="AW421" s="1308">
        <f t="shared" si="244"/>
        <v>0</v>
      </c>
      <c r="AX421" s="1308">
        <f t="shared" si="245"/>
        <v>0</v>
      </c>
      <c r="AY421" s="3137">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4">
        <f t="shared" si="267"/>
        <v>0</v>
      </c>
    </row>
    <row r="422" spans="1:72">
      <c r="A422" s="3089"/>
      <c r="B422" s="3090"/>
      <c r="C422" s="3090"/>
      <c r="D422" s="3091"/>
      <c r="E422" s="3092">
        <f t="shared" si="239"/>
        <v>0</v>
      </c>
      <c r="F422" s="3093"/>
      <c r="G422" s="3094">
        <f t="shared" si="240"/>
        <v>0</v>
      </c>
      <c r="H422" s="3095">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2">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308">
        <f t="shared" si="243"/>
        <v>0</v>
      </c>
      <c r="AW422" s="1308">
        <f t="shared" si="244"/>
        <v>0</v>
      </c>
      <c r="AX422" s="1308">
        <f t="shared" si="245"/>
        <v>0</v>
      </c>
      <c r="AY422" s="3137">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4">
        <f t="shared" si="267"/>
        <v>0</v>
      </c>
    </row>
    <row r="423" spans="1:72">
      <c r="A423" s="3089"/>
      <c r="B423" s="3090"/>
      <c r="C423" s="3090"/>
      <c r="D423" s="3091"/>
      <c r="E423" s="3092">
        <f t="shared" si="239"/>
        <v>0</v>
      </c>
      <c r="F423" s="3093"/>
      <c r="G423" s="3094">
        <f t="shared" si="240"/>
        <v>0</v>
      </c>
      <c r="H423" s="3095">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2">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308">
        <f t="shared" si="243"/>
        <v>0</v>
      </c>
      <c r="AW423" s="1308">
        <f t="shared" si="244"/>
        <v>0</v>
      </c>
      <c r="AX423" s="1308">
        <f t="shared" si="245"/>
        <v>0</v>
      </c>
      <c r="AY423" s="3137">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4">
        <f t="shared" si="267"/>
        <v>0</v>
      </c>
    </row>
    <row r="424" spans="1:72">
      <c r="A424" s="3089"/>
      <c r="B424" s="3090"/>
      <c r="C424" s="3090"/>
      <c r="D424" s="3091"/>
      <c r="E424" s="3092">
        <f t="shared" si="239"/>
        <v>0</v>
      </c>
      <c r="F424" s="3093"/>
      <c r="G424" s="3094">
        <f t="shared" si="240"/>
        <v>0</v>
      </c>
      <c r="H424" s="3095">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2">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308">
        <f t="shared" si="243"/>
        <v>0</v>
      </c>
      <c r="AW424" s="1308">
        <f t="shared" si="244"/>
        <v>0</v>
      </c>
      <c r="AX424" s="1308">
        <f t="shared" si="245"/>
        <v>0</v>
      </c>
      <c r="AY424" s="3137">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4">
        <f t="shared" si="267"/>
        <v>0</v>
      </c>
    </row>
    <row r="425" spans="1:72">
      <c r="A425" s="3089"/>
      <c r="B425" s="3090"/>
      <c r="C425" s="3090"/>
      <c r="D425" s="3091"/>
      <c r="E425" s="3092">
        <f t="shared" si="239"/>
        <v>0</v>
      </c>
      <c r="F425" s="3093"/>
      <c r="G425" s="3094">
        <f t="shared" si="240"/>
        <v>0</v>
      </c>
      <c r="H425" s="3095">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2">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308">
        <f t="shared" si="243"/>
        <v>0</v>
      </c>
      <c r="AW425" s="1308">
        <f t="shared" si="244"/>
        <v>0</v>
      </c>
      <c r="AX425" s="1308">
        <f t="shared" si="245"/>
        <v>0</v>
      </c>
      <c r="AY425" s="3137">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4">
        <f t="shared" si="267"/>
        <v>0</v>
      </c>
    </row>
    <row r="426" spans="1:72">
      <c r="A426" s="3089"/>
      <c r="B426" s="3090"/>
      <c r="C426" s="3090"/>
      <c r="D426" s="3091"/>
      <c r="E426" s="3092">
        <f t="shared" si="239"/>
        <v>0</v>
      </c>
      <c r="F426" s="3093"/>
      <c r="G426" s="3094">
        <f t="shared" si="240"/>
        <v>0</v>
      </c>
      <c r="H426" s="3095">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2">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308">
        <f t="shared" si="243"/>
        <v>0</v>
      </c>
      <c r="AW426" s="1308">
        <f t="shared" si="244"/>
        <v>0</v>
      </c>
      <c r="AX426" s="1308">
        <f t="shared" si="245"/>
        <v>0</v>
      </c>
      <c r="AY426" s="3137">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4">
        <f t="shared" si="267"/>
        <v>0</v>
      </c>
    </row>
    <row r="427" spans="1:72">
      <c r="A427" s="3089"/>
      <c r="B427" s="3090"/>
      <c r="C427" s="3090"/>
      <c r="D427" s="3091"/>
      <c r="E427" s="3092">
        <f t="shared" si="239"/>
        <v>0</v>
      </c>
      <c r="F427" s="3093"/>
      <c r="G427" s="3094">
        <f t="shared" si="240"/>
        <v>0</v>
      </c>
      <c r="H427" s="3095">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2">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308">
        <f t="shared" si="243"/>
        <v>0</v>
      </c>
      <c r="AW427" s="1308">
        <f t="shared" si="244"/>
        <v>0</v>
      </c>
      <c r="AX427" s="1308">
        <f t="shared" si="245"/>
        <v>0</v>
      </c>
      <c r="AY427" s="3137">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4">
        <f t="shared" si="267"/>
        <v>0</v>
      </c>
    </row>
    <row r="428" spans="1:72">
      <c r="A428" s="3089"/>
      <c r="B428" s="3090"/>
      <c r="C428" s="3090"/>
      <c r="D428" s="3091"/>
      <c r="E428" s="3092">
        <f t="shared" si="239"/>
        <v>0</v>
      </c>
      <c r="F428" s="3093"/>
      <c r="G428" s="3094">
        <f t="shared" si="240"/>
        <v>0</v>
      </c>
      <c r="H428" s="3095">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2">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308">
        <f t="shared" si="243"/>
        <v>0</v>
      </c>
      <c r="AW428" s="1308">
        <f t="shared" si="244"/>
        <v>0</v>
      </c>
      <c r="AX428" s="1308">
        <f t="shared" si="245"/>
        <v>0</v>
      </c>
      <c r="AY428" s="3137">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4">
        <f t="shared" si="267"/>
        <v>0</v>
      </c>
    </row>
    <row r="429" spans="1:72">
      <c r="A429" s="3089"/>
      <c r="B429" s="3090"/>
      <c r="C429" s="3090"/>
      <c r="D429" s="3091"/>
      <c r="E429" s="3092">
        <f t="shared" si="239"/>
        <v>0</v>
      </c>
      <c r="F429" s="3093"/>
      <c r="G429" s="3094">
        <f t="shared" si="240"/>
        <v>0</v>
      </c>
      <c r="H429" s="3095">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2">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308">
        <f t="shared" si="243"/>
        <v>0</v>
      </c>
      <c r="AW429" s="1308">
        <f t="shared" si="244"/>
        <v>0</v>
      </c>
      <c r="AX429" s="1308">
        <f t="shared" si="245"/>
        <v>0</v>
      </c>
      <c r="AY429" s="3137">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4">
        <f t="shared" si="267"/>
        <v>0</v>
      </c>
    </row>
    <row r="430" spans="1:72">
      <c r="A430" s="3089"/>
      <c r="B430" s="3090"/>
      <c r="C430" s="3090"/>
      <c r="D430" s="3091"/>
      <c r="E430" s="3092">
        <f t="shared" si="239"/>
        <v>0</v>
      </c>
      <c r="F430" s="3093"/>
      <c r="G430" s="3094">
        <f t="shared" si="240"/>
        <v>0</v>
      </c>
      <c r="H430" s="3095">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2">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308">
        <f t="shared" si="243"/>
        <v>0</v>
      </c>
      <c r="AW430" s="1308">
        <f t="shared" si="244"/>
        <v>0</v>
      </c>
      <c r="AX430" s="1308">
        <f t="shared" si="245"/>
        <v>0</v>
      </c>
      <c r="AY430" s="3137">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4">
        <f t="shared" si="267"/>
        <v>0</v>
      </c>
    </row>
    <row r="431" spans="1:72">
      <c r="A431" s="3089"/>
      <c r="B431" s="3090"/>
      <c r="C431" s="3090"/>
      <c r="D431" s="3091"/>
      <c r="E431" s="3092">
        <f t="shared" si="239"/>
        <v>0</v>
      </c>
      <c r="F431" s="3093"/>
      <c r="G431" s="3094">
        <f t="shared" si="240"/>
        <v>0</v>
      </c>
      <c r="H431" s="3095">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2">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308">
        <f t="shared" si="243"/>
        <v>0</v>
      </c>
      <c r="AW431" s="1308">
        <f t="shared" si="244"/>
        <v>0</v>
      </c>
      <c r="AX431" s="1308">
        <f t="shared" si="245"/>
        <v>0</v>
      </c>
      <c r="AY431" s="3137">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4">
        <f t="shared" si="267"/>
        <v>0</v>
      </c>
    </row>
    <row r="432" spans="1:72">
      <c r="A432" s="3089"/>
      <c r="B432" s="3090"/>
      <c r="C432" s="3090"/>
      <c r="D432" s="3091"/>
      <c r="E432" s="3092">
        <f t="shared" si="239"/>
        <v>0</v>
      </c>
      <c r="F432" s="3093"/>
      <c r="G432" s="3094">
        <f t="shared" si="240"/>
        <v>0</v>
      </c>
      <c r="H432" s="3095">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2">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308">
        <f t="shared" si="243"/>
        <v>0</v>
      </c>
      <c r="AW432" s="1308">
        <f t="shared" si="244"/>
        <v>0</v>
      </c>
      <c r="AX432" s="1308">
        <f t="shared" si="245"/>
        <v>0</v>
      </c>
      <c r="AY432" s="3137">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4">
        <f t="shared" si="267"/>
        <v>0</v>
      </c>
    </row>
    <row r="433" spans="1:72">
      <c r="A433" s="3089"/>
      <c r="B433" s="3090"/>
      <c r="C433" s="3090"/>
      <c r="D433" s="3091"/>
      <c r="E433" s="3092">
        <f t="shared" si="239"/>
        <v>0</v>
      </c>
      <c r="F433" s="3093"/>
      <c r="G433" s="3094">
        <f t="shared" si="240"/>
        <v>0</v>
      </c>
      <c r="H433" s="3095">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2">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308">
        <f t="shared" si="243"/>
        <v>0</v>
      </c>
      <c r="AW433" s="1308">
        <f t="shared" si="244"/>
        <v>0</v>
      </c>
      <c r="AX433" s="1308">
        <f t="shared" si="245"/>
        <v>0</v>
      </c>
      <c r="AY433" s="3137">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4">
        <f t="shared" si="267"/>
        <v>0</v>
      </c>
    </row>
    <row r="434" spans="1:72">
      <c r="A434" s="3089"/>
      <c r="B434" s="3090"/>
      <c r="C434" s="3090"/>
      <c r="D434" s="3091"/>
      <c r="E434" s="3092">
        <f t="shared" si="239"/>
        <v>0</v>
      </c>
      <c r="F434" s="3093"/>
      <c r="G434" s="3094">
        <f t="shared" si="240"/>
        <v>0</v>
      </c>
      <c r="H434" s="3095">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2">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308">
        <f t="shared" si="243"/>
        <v>0</v>
      </c>
      <c r="AW434" s="1308">
        <f t="shared" si="244"/>
        <v>0</v>
      </c>
      <c r="AX434" s="1308">
        <f t="shared" si="245"/>
        <v>0</v>
      </c>
      <c r="AY434" s="3137">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4">
        <f t="shared" si="267"/>
        <v>0</v>
      </c>
    </row>
    <row r="435" spans="1:72">
      <c r="A435" s="3089"/>
      <c r="B435" s="3090"/>
      <c r="C435" s="3090"/>
      <c r="D435" s="3091"/>
      <c r="E435" s="3092">
        <f t="shared" si="239"/>
        <v>0</v>
      </c>
      <c r="F435" s="3093"/>
      <c r="G435" s="3094">
        <f t="shared" si="240"/>
        <v>0</v>
      </c>
      <c r="H435" s="3095">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2">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308">
        <f t="shared" si="243"/>
        <v>0</v>
      </c>
      <c r="AW435" s="1308">
        <f t="shared" si="244"/>
        <v>0</v>
      </c>
      <c r="AX435" s="1308">
        <f t="shared" si="245"/>
        <v>0</v>
      </c>
      <c r="AY435" s="3137">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4">
        <f t="shared" si="267"/>
        <v>0</v>
      </c>
    </row>
    <row r="436" spans="1:72">
      <c r="A436" s="3089"/>
      <c r="B436" s="3090"/>
      <c r="C436" s="3090"/>
      <c r="D436" s="3091"/>
      <c r="E436" s="3092">
        <f t="shared" si="239"/>
        <v>0</v>
      </c>
      <c r="F436" s="3093"/>
      <c r="G436" s="3094">
        <f t="shared" si="240"/>
        <v>0</v>
      </c>
      <c r="H436" s="3095">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2">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308">
        <f t="shared" si="243"/>
        <v>0</v>
      </c>
      <c r="AW436" s="1308">
        <f t="shared" si="244"/>
        <v>0</v>
      </c>
      <c r="AX436" s="1308">
        <f t="shared" si="245"/>
        <v>0</v>
      </c>
      <c r="AY436" s="3137">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4">
        <f t="shared" si="267"/>
        <v>0</v>
      </c>
    </row>
    <row r="437" spans="1:72">
      <c r="A437" s="3089"/>
      <c r="B437" s="3090"/>
      <c r="C437" s="3090"/>
      <c r="D437" s="3091"/>
      <c r="E437" s="3092">
        <f t="shared" si="239"/>
        <v>0</v>
      </c>
      <c r="F437" s="3093"/>
      <c r="G437" s="3094">
        <f t="shared" si="240"/>
        <v>0</v>
      </c>
      <c r="H437" s="3095">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2">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308">
        <f t="shared" si="243"/>
        <v>0</v>
      </c>
      <c r="AW437" s="1308">
        <f t="shared" si="244"/>
        <v>0</v>
      </c>
      <c r="AX437" s="1308">
        <f t="shared" si="245"/>
        <v>0</v>
      </c>
      <c r="AY437" s="3137">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4">
        <f t="shared" si="267"/>
        <v>0</v>
      </c>
    </row>
    <row r="438" spans="1:72">
      <c r="A438" s="3089"/>
      <c r="B438" s="3090"/>
      <c r="C438" s="3090"/>
      <c r="D438" s="3091"/>
      <c r="E438" s="3092">
        <f t="shared" si="239"/>
        <v>0</v>
      </c>
      <c r="F438" s="3093"/>
      <c r="G438" s="3094">
        <f t="shared" si="240"/>
        <v>0</v>
      </c>
      <c r="H438" s="3095">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2">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308">
        <f t="shared" si="243"/>
        <v>0</v>
      </c>
      <c r="AW438" s="1308">
        <f t="shared" si="244"/>
        <v>0</v>
      </c>
      <c r="AX438" s="1308">
        <f t="shared" si="245"/>
        <v>0</v>
      </c>
      <c r="AY438" s="3137">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4">
        <f t="shared" si="267"/>
        <v>0</v>
      </c>
    </row>
    <row r="439" spans="1:72">
      <c r="A439" s="3089"/>
      <c r="B439" s="3090"/>
      <c r="C439" s="3090"/>
      <c r="D439" s="3091"/>
      <c r="E439" s="3092">
        <f t="shared" si="239"/>
        <v>0</v>
      </c>
      <c r="F439" s="3093"/>
      <c r="G439" s="3094">
        <f t="shared" si="240"/>
        <v>0</v>
      </c>
      <c r="H439" s="3095">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2">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308">
        <f t="shared" si="243"/>
        <v>0</v>
      </c>
      <c r="AW439" s="1308">
        <f t="shared" si="244"/>
        <v>0</v>
      </c>
      <c r="AX439" s="1308">
        <f t="shared" si="245"/>
        <v>0</v>
      </c>
      <c r="AY439" s="3137">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4">
        <f t="shared" si="267"/>
        <v>0</v>
      </c>
    </row>
    <row r="440" spans="1:72">
      <c r="A440" s="3089"/>
      <c r="B440" s="3090"/>
      <c r="C440" s="3090"/>
      <c r="D440" s="3091"/>
      <c r="E440" s="3092">
        <f t="shared" si="239"/>
        <v>0</v>
      </c>
      <c r="F440" s="3093"/>
      <c r="G440" s="3094">
        <f t="shared" si="240"/>
        <v>0</v>
      </c>
      <c r="H440" s="3095">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2">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308">
        <f t="shared" si="243"/>
        <v>0</v>
      </c>
      <c r="AW440" s="1308">
        <f t="shared" si="244"/>
        <v>0</v>
      </c>
      <c r="AX440" s="1308">
        <f t="shared" si="245"/>
        <v>0</v>
      </c>
      <c r="AY440" s="3137">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4">
        <f t="shared" si="267"/>
        <v>0</v>
      </c>
    </row>
    <row r="441" spans="1:72">
      <c r="A441" s="3089"/>
      <c r="B441" s="3090"/>
      <c r="C441" s="3090"/>
      <c r="D441" s="3091"/>
      <c r="E441" s="3092">
        <f t="shared" si="239"/>
        <v>0</v>
      </c>
      <c r="F441" s="3093"/>
      <c r="G441" s="3094">
        <f t="shared" si="240"/>
        <v>0</v>
      </c>
      <c r="H441" s="3095">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2">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308">
        <f t="shared" si="243"/>
        <v>0</v>
      </c>
      <c r="AW441" s="1308">
        <f t="shared" si="244"/>
        <v>0</v>
      </c>
      <c r="AX441" s="1308">
        <f t="shared" si="245"/>
        <v>0</v>
      </c>
      <c r="AY441" s="3137">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4">
        <f t="shared" si="267"/>
        <v>0</v>
      </c>
    </row>
    <row r="442" spans="1:72">
      <c r="A442" s="3089"/>
      <c r="B442" s="3090"/>
      <c r="C442" s="3090"/>
      <c r="D442" s="3091"/>
      <c r="E442" s="3092">
        <f t="shared" si="239"/>
        <v>0</v>
      </c>
      <c r="F442" s="3093"/>
      <c r="G442" s="3094">
        <f t="shared" si="240"/>
        <v>0</v>
      </c>
      <c r="H442" s="3095">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2">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308">
        <f t="shared" si="243"/>
        <v>0</v>
      </c>
      <c r="AW442" s="1308">
        <f t="shared" si="244"/>
        <v>0</v>
      </c>
      <c r="AX442" s="1308">
        <f t="shared" si="245"/>
        <v>0</v>
      </c>
      <c r="AY442" s="3137">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4">
        <f t="shared" si="267"/>
        <v>0</v>
      </c>
    </row>
    <row r="443" spans="1:72">
      <c r="A443" s="3089"/>
      <c r="B443" s="3090"/>
      <c r="C443" s="3090"/>
      <c r="D443" s="3091"/>
      <c r="E443" s="3092">
        <f t="shared" si="239"/>
        <v>0</v>
      </c>
      <c r="F443" s="3093"/>
      <c r="G443" s="3094">
        <f t="shared" si="240"/>
        <v>0</v>
      </c>
      <c r="H443" s="3095">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2">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308">
        <f t="shared" si="243"/>
        <v>0</v>
      </c>
      <c r="AW443" s="1308">
        <f t="shared" si="244"/>
        <v>0</v>
      </c>
      <c r="AX443" s="1308">
        <f t="shared" si="245"/>
        <v>0</v>
      </c>
      <c r="AY443" s="3137">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4">
        <f t="shared" si="267"/>
        <v>0</v>
      </c>
    </row>
    <row r="444" spans="1:72">
      <c r="A444" s="3089"/>
      <c r="B444" s="3090"/>
      <c r="C444" s="3090"/>
      <c r="D444" s="3091"/>
      <c r="E444" s="3092">
        <f t="shared" si="239"/>
        <v>0</v>
      </c>
      <c r="F444" s="3093"/>
      <c r="G444" s="3094">
        <f t="shared" si="240"/>
        <v>0</v>
      </c>
      <c r="H444" s="3095">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2">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308">
        <f t="shared" si="243"/>
        <v>0</v>
      </c>
      <c r="AW444" s="1308">
        <f t="shared" si="244"/>
        <v>0</v>
      </c>
      <c r="AX444" s="1308">
        <f t="shared" si="245"/>
        <v>0</v>
      </c>
      <c r="AY444" s="3137">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4">
        <f t="shared" si="267"/>
        <v>0</v>
      </c>
    </row>
    <row r="445" spans="1:72">
      <c r="A445" s="3089"/>
      <c r="B445" s="3090"/>
      <c r="C445" s="3090"/>
      <c r="D445" s="3091"/>
      <c r="E445" s="3092">
        <f t="shared" si="239"/>
        <v>0</v>
      </c>
      <c r="F445" s="3093"/>
      <c r="G445" s="3094">
        <f t="shared" si="240"/>
        <v>0</v>
      </c>
      <c r="H445" s="3095">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2">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308">
        <f t="shared" si="243"/>
        <v>0</v>
      </c>
      <c r="AW445" s="1308">
        <f t="shared" si="244"/>
        <v>0</v>
      </c>
      <c r="AX445" s="1308">
        <f t="shared" si="245"/>
        <v>0</v>
      </c>
      <c r="AY445" s="3137">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4">
        <f t="shared" si="267"/>
        <v>0</v>
      </c>
    </row>
    <row r="446" spans="1:72">
      <c r="A446" s="3089"/>
      <c r="B446" s="3090"/>
      <c r="C446" s="3090"/>
      <c r="D446" s="3091"/>
      <c r="E446" s="3092">
        <f t="shared" si="239"/>
        <v>0</v>
      </c>
      <c r="F446" s="3093"/>
      <c r="G446" s="3094">
        <f t="shared" si="240"/>
        <v>0</v>
      </c>
      <c r="H446" s="3095">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2">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308">
        <f t="shared" si="243"/>
        <v>0</v>
      </c>
      <c r="AW446" s="1308">
        <f t="shared" si="244"/>
        <v>0</v>
      </c>
      <c r="AX446" s="1308">
        <f t="shared" si="245"/>
        <v>0</v>
      </c>
      <c r="AY446" s="3137">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4">
        <f t="shared" si="267"/>
        <v>0</v>
      </c>
    </row>
    <row r="447" spans="1:72">
      <c r="A447" s="3089"/>
      <c r="B447" s="3090"/>
      <c r="C447" s="3090"/>
      <c r="D447" s="3091"/>
      <c r="E447" s="3092">
        <f t="shared" si="239"/>
        <v>0</v>
      </c>
      <c r="F447" s="3093"/>
      <c r="G447" s="3094">
        <f t="shared" si="240"/>
        <v>0</v>
      </c>
      <c r="H447" s="3095">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2">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308">
        <f t="shared" si="243"/>
        <v>0</v>
      </c>
      <c r="AW447" s="1308">
        <f t="shared" si="244"/>
        <v>0</v>
      </c>
      <c r="AX447" s="1308">
        <f t="shared" si="245"/>
        <v>0</v>
      </c>
      <c r="AY447" s="3137">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4">
        <f t="shared" si="267"/>
        <v>0</v>
      </c>
    </row>
    <row r="448" spans="1:72">
      <c r="A448" s="3089"/>
      <c r="B448" s="3090"/>
      <c r="C448" s="3090"/>
      <c r="D448" s="3091"/>
      <c r="E448" s="3092">
        <f t="shared" si="239"/>
        <v>0</v>
      </c>
      <c r="F448" s="3093"/>
      <c r="G448" s="3094">
        <f t="shared" si="240"/>
        <v>0</v>
      </c>
      <c r="H448" s="3095">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2">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308">
        <f t="shared" si="243"/>
        <v>0</v>
      </c>
      <c r="AW448" s="1308">
        <f t="shared" si="244"/>
        <v>0</v>
      </c>
      <c r="AX448" s="1308">
        <f t="shared" si="245"/>
        <v>0</v>
      </c>
      <c r="AY448" s="3137">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4">
        <f t="shared" si="267"/>
        <v>0</v>
      </c>
    </row>
    <row r="449" spans="1:72">
      <c r="A449" s="3089"/>
      <c r="B449" s="3090"/>
      <c r="C449" s="3090"/>
      <c r="D449" s="3091"/>
      <c r="E449" s="3092">
        <f t="shared" si="239"/>
        <v>0</v>
      </c>
      <c r="F449" s="3093"/>
      <c r="G449" s="3094">
        <f t="shared" si="240"/>
        <v>0</v>
      </c>
      <c r="H449" s="3095">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2">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308">
        <f t="shared" si="243"/>
        <v>0</v>
      </c>
      <c r="AW449" s="1308">
        <f t="shared" si="244"/>
        <v>0</v>
      </c>
      <c r="AX449" s="1308">
        <f t="shared" si="245"/>
        <v>0</v>
      </c>
      <c r="AY449" s="3137">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4">
        <f t="shared" si="267"/>
        <v>0</v>
      </c>
    </row>
    <row r="450" spans="1:72">
      <c r="A450" s="3089"/>
      <c r="B450" s="3090"/>
      <c r="C450" s="3090"/>
      <c r="D450" s="3091"/>
      <c r="E450" s="3092">
        <f t="shared" si="239"/>
        <v>0</v>
      </c>
      <c r="F450" s="3093"/>
      <c r="G450" s="3094">
        <f t="shared" si="240"/>
        <v>0</v>
      </c>
      <c r="H450" s="3095">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2">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308">
        <f t="shared" si="243"/>
        <v>0</v>
      </c>
      <c r="AW450" s="1308">
        <f t="shared" si="244"/>
        <v>0</v>
      </c>
      <c r="AX450" s="1308">
        <f t="shared" si="245"/>
        <v>0</v>
      </c>
      <c r="AY450" s="3137">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4">
        <f t="shared" si="267"/>
        <v>0</v>
      </c>
    </row>
    <row r="451" spans="1:72">
      <c r="A451" s="3089"/>
      <c r="B451" s="3090"/>
      <c r="C451" s="3090"/>
      <c r="D451" s="3091"/>
      <c r="E451" s="3092">
        <f t="shared" si="239"/>
        <v>0</v>
      </c>
      <c r="F451" s="3093"/>
      <c r="G451" s="3094">
        <f t="shared" si="240"/>
        <v>0</v>
      </c>
      <c r="H451" s="3095">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2">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308">
        <f t="shared" si="243"/>
        <v>0</v>
      </c>
      <c r="AW451" s="1308">
        <f t="shared" si="244"/>
        <v>0</v>
      </c>
      <c r="AX451" s="1308">
        <f t="shared" si="245"/>
        <v>0</v>
      </c>
      <c r="AY451" s="3137">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4">
        <f t="shared" si="267"/>
        <v>0</v>
      </c>
    </row>
    <row r="452" spans="1:72">
      <c r="A452" s="3089"/>
      <c r="B452" s="3090"/>
      <c r="C452" s="3090"/>
      <c r="D452" s="3091"/>
      <c r="E452" s="3092">
        <f t="shared" si="239"/>
        <v>0</v>
      </c>
      <c r="F452" s="3093"/>
      <c r="G452" s="3094">
        <f t="shared" si="240"/>
        <v>0</v>
      </c>
      <c r="H452" s="3095">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2">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308">
        <f t="shared" si="243"/>
        <v>0</v>
      </c>
      <c r="AW452" s="1308">
        <f t="shared" si="244"/>
        <v>0</v>
      </c>
      <c r="AX452" s="1308">
        <f t="shared" si="245"/>
        <v>0</v>
      </c>
      <c r="AY452" s="3137">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4">
        <f t="shared" si="267"/>
        <v>0</v>
      </c>
    </row>
    <row r="453" spans="1:72">
      <c r="A453" s="3089"/>
      <c r="B453" s="3090"/>
      <c r="C453" s="3090"/>
      <c r="D453" s="3091"/>
      <c r="E453" s="3092">
        <f t="shared" si="239"/>
        <v>0</v>
      </c>
      <c r="F453" s="3093"/>
      <c r="G453" s="3094">
        <f t="shared" si="240"/>
        <v>0</v>
      </c>
      <c r="H453" s="3095">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2">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308">
        <f t="shared" si="243"/>
        <v>0</v>
      </c>
      <c r="AW453" s="1308">
        <f t="shared" si="244"/>
        <v>0</v>
      </c>
      <c r="AX453" s="1308">
        <f t="shared" si="245"/>
        <v>0</v>
      </c>
      <c r="AY453" s="3137">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4">
        <f t="shared" si="267"/>
        <v>0</v>
      </c>
    </row>
    <row r="454" spans="1:72">
      <c r="A454" s="3089"/>
      <c r="B454" s="3090"/>
      <c r="C454" s="3090"/>
      <c r="D454" s="3091"/>
      <c r="E454" s="3092">
        <f t="shared" si="239"/>
        <v>0</v>
      </c>
      <c r="F454" s="3093"/>
      <c r="G454" s="3094">
        <f t="shared" si="240"/>
        <v>0</v>
      </c>
      <c r="H454" s="3095">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2">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308">
        <f t="shared" si="243"/>
        <v>0</v>
      </c>
      <c r="AW454" s="1308">
        <f t="shared" si="244"/>
        <v>0</v>
      </c>
      <c r="AX454" s="1308">
        <f t="shared" si="245"/>
        <v>0</v>
      </c>
      <c r="AY454" s="3137">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4">
        <f t="shared" si="267"/>
        <v>0</v>
      </c>
    </row>
    <row r="455" spans="1:72">
      <c r="A455" s="3089"/>
      <c r="B455" s="3090"/>
      <c r="C455" s="3090"/>
      <c r="D455" s="3091"/>
      <c r="E455" s="3092">
        <f t="shared" si="239"/>
        <v>0</v>
      </c>
      <c r="F455" s="3093"/>
      <c r="G455" s="3094">
        <f t="shared" si="240"/>
        <v>0</v>
      </c>
      <c r="H455" s="3095">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2">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308">
        <f t="shared" si="243"/>
        <v>0</v>
      </c>
      <c r="AW455" s="1308">
        <f t="shared" si="244"/>
        <v>0</v>
      </c>
      <c r="AX455" s="1308">
        <f t="shared" si="245"/>
        <v>0</v>
      </c>
      <c r="AY455" s="3137">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4">
        <f t="shared" si="267"/>
        <v>0</v>
      </c>
    </row>
    <row r="456" spans="1:72">
      <c r="A456" s="3089"/>
      <c r="B456" s="3090"/>
      <c r="C456" s="3090"/>
      <c r="D456" s="3091"/>
      <c r="E456" s="3092">
        <f t="shared" si="239"/>
        <v>0</v>
      </c>
      <c r="F456" s="3093"/>
      <c r="G456" s="3094">
        <f t="shared" si="240"/>
        <v>0</v>
      </c>
      <c r="H456" s="3095">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2">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308">
        <f t="shared" si="243"/>
        <v>0</v>
      </c>
      <c r="AW456" s="1308">
        <f t="shared" si="244"/>
        <v>0</v>
      </c>
      <c r="AX456" s="1308">
        <f t="shared" si="245"/>
        <v>0</v>
      </c>
      <c r="AY456" s="3137">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4">
        <f t="shared" si="267"/>
        <v>0</v>
      </c>
    </row>
    <row r="457" spans="1:72">
      <c r="A457" s="3089"/>
      <c r="B457" s="3090"/>
      <c r="C457" s="3090"/>
      <c r="D457" s="3091"/>
      <c r="E457" s="3092">
        <f t="shared" si="239"/>
        <v>0</v>
      </c>
      <c r="F457" s="3093"/>
      <c r="G457" s="3094">
        <f t="shared" si="240"/>
        <v>0</v>
      </c>
      <c r="H457" s="3095">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2">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308">
        <f t="shared" si="243"/>
        <v>0</v>
      </c>
      <c r="AW457" s="1308">
        <f t="shared" si="244"/>
        <v>0</v>
      </c>
      <c r="AX457" s="1308">
        <f t="shared" si="245"/>
        <v>0</v>
      </c>
      <c r="AY457" s="3137">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4">
        <f t="shared" si="267"/>
        <v>0</v>
      </c>
    </row>
    <row r="458" spans="1:72">
      <c r="A458" s="3089"/>
      <c r="B458" s="3090"/>
      <c r="C458" s="3090"/>
      <c r="D458" s="3091"/>
      <c r="E458" s="3092">
        <f t="shared" si="239"/>
        <v>0</v>
      </c>
      <c r="F458" s="3093"/>
      <c r="G458" s="3094">
        <f t="shared" si="240"/>
        <v>0</v>
      </c>
      <c r="H458" s="3095">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2">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308">
        <f t="shared" si="243"/>
        <v>0</v>
      </c>
      <c r="AW458" s="1308">
        <f t="shared" si="244"/>
        <v>0</v>
      </c>
      <c r="AX458" s="1308">
        <f t="shared" si="245"/>
        <v>0</v>
      </c>
      <c r="AY458" s="3137">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4">
        <f t="shared" si="267"/>
        <v>0</v>
      </c>
    </row>
    <row r="459" spans="1:72">
      <c r="A459" s="3089"/>
      <c r="B459" s="3090"/>
      <c r="C459" s="3090"/>
      <c r="D459" s="3091"/>
      <c r="E459" s="3092">
        <f t="shared" si="239"/>
        <v>0</v>
      </c>
      <c r="F459" s="3093"/>
      <c r="G459" s="3094">
        <f t="shared" si="240"/>
        <v>0</v>
      </c>
      <c r="H459" s="3095">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2">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308">
        <f t="shared" si="243"/>
        <v>0</v>
      </c>
      <c r="AW459" s="1308">
        <f t="shared" si="244"/>
        <v>0</v>
      </c>
      <c r="AX459" s="1308">
        <f t="shared" si="245"/>
        <v>0</v>
      </c>
      <c r="AY459" s="3137">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4">
        <f t="shared" si="267"/>
        <v>0</v>
      </c>
    </row>
    <row r="460" spans="1:72">
      <c r="A460" s="3089"/>
      <c r="B460" s="3090"/>
      <c r="C460" s="3090"/>
      <c r="D460" s="3091"/>
      <c r="E460" s="3092">
        <f t="shared" si="239"/>
        <v>0</v>
      </c>
      <c r="F460" s="3093"/>
      <c r="G460" s="3094">
        <f t="shared" si="240"/>
        <v>0</v>
      </c>
      <c r="H460" s="3095">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2">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308">
        <f t="shared" si="243"/>
        <v>0</v>
      </c>
      <c r="AW460" s="1308">
        <f t="shared" si="244"/>
        <v>0</v>
      </c>
      <c r="AX460" s="1308">
        <f t="shared" si="245"/>
        <v>0</v>
      </c>
      <c r="AY460" s="3137">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4">
        <f t="shared" si="267"/>
        <v>0</v>
      </c>
    </row>
    <row r="461" spans="1:72">
      <c r="A461" s="3089"/>
      <c r="B461" s="3090"/>
      <c r="C461" s="3090"/>
      <c r="D461" s="3091"/>
      <c r="E461" s="3092">
        <f t="shared" si="239"/>
        <v>0</v>
      </c>
      <c r="F461" s="3093"/>
      <c r="G461" s="3094">
        <f t="shared" si="240"/>
        <v>0</v>
      </c>
      <c r="H461" s="3095">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2">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308">
        <f t="shared" si="243"/>
        <v>0</v>
      </c>
      <c r="AW461" s="1308">
        <f t="shared" si="244"/>
        <v>0</v>
      </c>
      <c r="AX461" s="1308">
        <f t="shared" si="245"/>
        <v>0</v>
      </c>
      <c r="AY461" s="3137">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4">
        <f t="shared" si="267"/>
        <v>0</v>
      </c>
    </row>
    <row r="462" spans="1:72">
      <c r="A462" s="3089"/>
      <c r="B462" s="3090"/>
      <c r="C462" s="3090"/>
      <c r="D462" s="3091"/>
      <c r="E462" s="3092">
        <f t="shared" si="239"/>
        <v>0</v>
      </c>
      <c r="F462" s="3093"/>
      <c r="G462" s="3094">
        <f t="shared" si="240"/>
        <v>0</v>
      </c>
      <c r="H462" s="3095">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2">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308">
        <f t="shared" si="243"/>
        <v>0</v>
      </c>
      <c r="AW462" s="1308">
        <f t="shared" si="244"/>
        <v>0</v>
      </c>
      <c r="AX462" s="1308">
        <f t="shared" si="245"/>
        <v>0</v>
      </c>
      <c r="AY462" s="3137">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4">
        <f t="shared" si="267"/>
        <v>0</v>
      </c>
    </row>
    <row r="463" spans="1:72">
      <c r="A463" s="3089"/>
      <c r="B463" s="3090"/>
      <c r="C463" s="3090"/>
      <c r="D463" s="3091"/>
      <c r="E463" s="3092">
        <f t="shared" si="239"/>
        <v>0</v>
      </c>
      <c r="F463" s="3093"/>
      <c r="G463" s="3094">
        <f t="shared" si="240"/>
        <v>0</v>
      </c>
      <c r="H463" s="3095">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2">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308">
        <f t="shared" si="243"/>
        <v>0</v>
      </c>
      <c r="AW463" s="1308">
        <f t="shared" si="244"/>
        <v>0</v>
      </c>
      <c r="AX463" s="1308">
        <f t="shared" si="245"/>
        <v>0</v>
      </c>
      <c r="AY463" s="3137">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4">
        <f t="shared" si="267"/>
        <v>0</v>
      </c>
    </row>
    <row r="464" spans="1:72">
      <c r="A464" s="3089"/>
      <c r="B464" s="3090"/>
      <c r="C464" s="3090"/>
      <c r="D464" s="3091"/>
      <c r="E464" s="3092">
        <f t="shared" si="239"/>
        <v>0</v>
      </c>
      <c r="F464" s="3093"/>
      <c r="G464" s="3094">
        <f t="shared" si="240"/>
        <v>0</v>
      </c>
      <c r="H464" s="3095">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2">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308">
        <f t="shared" si="243"/>
        <v>0</v>
      </c>
      <c r="AW464" s="1308">
        <f t="shared" si="244"/>
        <v>0</v>
      </c>
      <c r="AX464" s="1308">
        <f t="shared" si="245"/>
        <v>0</v>
      </c>
      <c r="AY464" s="3137">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4">
        <f t="shared" si="267"/>
        <v>0</v>
      </c>
    </row>
    <row r="465" spans="1:72">
      <c r="A465" s="3089"/>
      <c r="B465" s="3090"/>
      <c r="C465" s="3090"/>
      <c r="D465" s="3091"/>
      <c r="E465" s="3092">
        <f t="shared" si="239"/>
        <v>0</v>
      </c>
      <c r="F465" s="3093"/>
      <c r="G465" s="3094">
        <f t="shared" si="240"/>
        <v>0</v>
      </c>
      <c r="H465" s="3095">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2">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308">
        <f t="shared" si="243"/>
        <v>0</v>
      </c>
      <c r="AW465" s="1308">
        <f t="shared" si="244"/>
        <v>0</v>
      </c>
      <c r="AX465" s="1308">
        <f t="shared" si="245"/>
        <v>0</v>
      </c>
      <c r="AY465" s="3137">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4">
        <f t="shared" si="267"/>
        <v>0</v>
      </c>
    </row>
    <row r="466" spans="1:72">
      <c r="A466" s="3089"/>
      <c r="B466" s="3090"/>
      <c r="C466" s="3090"/>
      <c r="D466" s="3091"/>
      <c r="E466" s="3092">
        <f t="shared" si="239"/>
        <v>0</v>
      </c>
      <c r="F466" s="3093"/>
      <c r="G466" s="3094">
        <f t="shared" si="240"/>
        <v>0</v>
      </c>
      <c r="H466" s="3095">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2">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308">
        <f t="shared" si="243"/>
        <v>0</v>
      </c>
      <c r="AW466" s="1308">
        <f t="shared" si="244"/>
        <v>0</v>
      </c>
      <c r="AX466" s="1308">
        <f t="shared" si="245"/>
        <v>0</v>
      </c>
      <c r="AY466" s="3137">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4">
        <f t="shared" si="267"/>
        <v>0</v>
      </c>
    </row>
    <row r="467" spans="1:72">
      <c r="A467" s="3089"/>
      <c r="B467" s="3090"/>
      <c r="C467" s="3090"/>
      <c r="D467" s="3091"/>
      <c r="E467" s="3092">
        <f t="shared" si="239"/>
        <v>0</v>
      </c>
      <c r="F467" s="3093"/>
      <c r="G467" s="3094">
        <f t="shared" si="240"/>
        <v>0</v>
      </c>
      <c r="H467" s="3095">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2">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308">
        <f t="shared" si="243"/>
        <v>0</v>
      </c>
      <c r="AW467" s="1308">
        <f t="shared" si="244"/>
        <v>0</v>
      </c>
      <c r="AX467" s="1308">
        <f t="shared" si="245"/>
        <v>0</v>
      </c>
      <c r="AY467" s="3137">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4">
        <f t="shared" si="267"/>
        <v>0</v>
      </c>
    </row>
    <row r="468" spans="1:72">
      <c r="A468" s="3089"/>
      <c r="B468" s="3090"/>
      <c r="C468" s="3090"/>
      <c r="D468" s="3091"/>
      <c r="E468" s="3092">
        <f t="shared" si="239"/>
        <v>0</v>
      </c>
      <c r="F468" s="3093"/>
      <c r="G468" s="3094">
        <f t="shared" si="240"/>
        <v>0</v>
      </c>
      <c r="H468" s="3095">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2">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308">
        <f t="shared" si="243"/>
        <v>0</v>
      </c>
      <c r="AW468" s="1308">
        <f t="shared" si="244"/>
        <v>0</v>
      </c>
      <c r="AX468" s="1308">
        <f t="shared" si="245"/>
        <v>0</v>
      </c>
      <c r="AY468" s="3137">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4">
        <f t="shared" si="267"/>
        <v>0</v>
      </c>
    </row>
    <row r="469" spans="1:72">
      <c r="A469" s="3089"/>
      <c r="B469" s="3090"/>
      <c r="C469" s="3090"/>
      <c r="D469" s="3091"/>
      <c r="E469" s="3092">
        <f t="shared" si="239"/>
        <v>0</v>
      </c>
      <c r="F469" s="3093"/>
      <c r="G469" s="3094">
        <f t="shared" si="240"/>
        <v>0</v>
      </c>
      <c r="H469" s="3095">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2">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308">
        <f t="shared" si="243"/>
        <v>0</v>
      </c>
      <c r="AW469" s="1308">
        <f t="shared" si="244"/>
        <v>0</v>
      </c>
      <c r="AX469" s="1308">
        <f t="shared" si="245"/>
        <v>0</v>
      </c>
      <c r="AY469" s="3137">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4">
        <f t="shared" si="267"/>
        <v>0</v>
      </c>
    </row>
    <row r="470" spans="1:72">
      <c r="A470" s="3089"/>
      <c r="B470" s="3090"/>
      <c r="C470" s="3090"/>
      <c r="D470" s="3091"/>
      <c r="E470" s="3092">
        <f t="shared" si="239"/>
        <v>0</v>
      </c>
      <c r="F470" s="3093"/>
      <c r="G470" s="3094">
        <f t="shared" si="240"/>
        <v>0</v>
      </c>
      <c r="H470" s="3095">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2">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308">
        <f t="shared" si="243"/>
        <v>0</v>
      </c>
      <c r="AW470" s="1308">
        <f t="shared" si="244"/>
        <v>0</v>
      </c>
      <c r="AX470" s="1308">
        <f t="shared" si="245"/>
        <v>0</v>
      </c>
      <c r="AY470" s="3137">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4">
        <f t="shared" si="267"/>
        <v>0</v>
      </c>
    </row>
    <row r="471" spans="1:72">
      <c r="A471" s="3089"/>
      <c r="B471" s="3090"/>
      <c r="C471" s="3090"/>
      <c r="D471" s="3091"/>
      <c r="E471" s="3092">
        <f t="shared" si="239"/>
        <v>0</v>
      </c>
      <c r="F471" s="3093"/>
      <c r="G471" s="3094">
        <f t="shared" si="240"/>
        <v>0</v>
      </c>
      <c r="H471" s="3095">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2">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308">
        <f t="shared" si="243"/>
        <v>0</v>
      </c>
      <c r="AW471" s="1308">
        <f t="shared" si="244"/>
        <v>0</v>
      </c>
      <c r="AX471" s="1308">
        <f t="shared" si="245"/>
        <v>0</v>
      </c>
      <c r="AY471" s="3137">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4">
        <f t="shared" si="267"/>
        <v>0</v>
      </c>
    </row>
    <row r="472" spans="1:72">
      <c r="A472" s="3089"/>
      <c r="B472" s="3090"/>
      <c r="C472" s="3090"/>
      <c r="D472" s="3091"/>
      <c r="E472" s="3092">
        <f t="shared" si="239"/>
        <v>0</v>
      </c>
      <c r="F472" s="3093"/>
      <c r="G472" s="3094">
        <f t="shared" si="240"/>
        <v>0</v>
      </c>
      <c r="H472" s="3095">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2">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308">
        <f t="shared" si="243"/>
        <v>0</v>
      </c>
      <c r="AW472" s="1308">
        <f t="shared" si="244"/>
        <v>0</v>
      </c>
      <c r="AX472" s="1308">
        <f t="shared" si="245"/>
        <v>0</v>
      </c>
      <c r="AY472" s="3137">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4">
        <f t="shared" si="267"/>
        <v>0</v>
      </c>
    </row>
    <row r="473" spans="1:72">
      <c r="A473" s="3089"/>
      <c r="B473" s="3090"/>
      <c r="C473" s="3090"/>
      <c r="D473" s="3091"/>
      <c r="E473" s="3092">
        <f t="shared" si="239"/>
        <v>0</v>
      </c>
      <c r="F473" s="3093"/>
      <c r="G473" s="3094">
        <f t="shared" si="240"/>
        <v>0</v>
      </c>
      <c r="H473" s="3095">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2">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308">
        <f t="shared" si="243"/>
        <v>0</v>
      </c>
      <c r="AW473" s="1308">
        <f t="shared" si="244"/>
        <v>0</v>
      </c>
      <c r="AX473" s="1308">
        <f t="shared" si="245"/>
        <v>0</v>
      </c>
      <c r="AY473" s="3137">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4">
        <f t="shared" si="267"/>
        <v>0</v>
      </c>
    </row>
    <row r="474" spans="1:72">
      <c r="A474" s="3089"/>
      <c r="B474" s="3090"/>
      <c r="C474" s="3090"/>
      <c r="D474" s="3091"/>
      <c r="E474" s="3092">
        <f t="shared" si="239"/>
        <v>0</v>
      </c>
      <c r="F474" s="3093"/>
      <c r="G474" s="3094">
        <f t="shared" si="240"/>
        <v>0</v>
      </c>
      <c r="H474" s="3095">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2">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308">
        <f t="shared" si="243"/>
        <v>0</v>
      </c>
      <c r="AW474" s="1308">
        <f t="shared" si="244"/>
        <v>0</v>
      </c>
      <c r="AX474" s="1308">
        <f t="shared" si="245"/>
        <v>0</v>
      </c>
      <c r="AY474" s="3137">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4">
        <f t="shared" si="267"/>
        <v>0</v>
      </c>
    </row>
    <row r="475" spans="1:72">
      <c r="A475" s="3089"/>
      <c r="B475" s="3090"/>
      <c r="C475" s="3090"/>
      <c r="D475" s="3091"/>
      <c r="E475" s="3092">
        <f t="shared" si="239"/>
        <v>0</v>
      </c>
      <c r="F475" s="3093"/>
      <c r="G475" s="3094">
        <f t="shared" si="240"/>
        <v>0</v>
      </c>
      <c r="H475" s="3095">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2">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308">
        <f t="shared" si="243"/>
        <v>0</v>
      </c>
      <c r="AW475" s="1308">
        <f t="shared" si="244"/>
        <v>0</v>
      </c>
      <c r="AX475" s="1308">
        <f t="shared" si="245"/>
        <v>0</v>
      </c>
      <c r="AY475" s="3137">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4">
        <f t="shared" si="267"/>
        <v>0</v>
      </c>
    </row>
    <row r="476" spans="1:72">
      <c r="A476" s="3089"/>
      <c r="B476" s="3090"/>
      <c r="C476" s="3090"/>
      <c r="D476" s="3091"/>
      <c r="E476" s="3092">
        <f t="shared" si="239"/>
        <v>0</v>
      </c>
      <c r="F476" s="3093"/>
      <c r="G476" s="3094">
        <f t="shared" si="240"/>
        <v>0</v>
      </c>
      <c r="H476" s="3095">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2">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308">
        <f t="shared" si="243"/>
        <v>0</v>
      </c>
      <c r="AW476" s="1308">
        <f t="shared" si="244"/>
        <v>0</v>
      </c>
      <c r="AX476" s="1308">
        <f t="shared" si="245"/>
        <v>0</v>
      </c>
      <c r="AY476" s="3137">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4">
        <f t="shared" si="267"/>
        <v>0</v>
      </c>
    </row>
    <row r="477" spans="1:72">
      <c r="A477" s="3089"/>
      <c r="B477" s="3090"/>
      <c r="C477" s="3090"/>
      <c r="D477" s="3091"/>
      <c r="E477" s="3092">
        <f t="shared" si="239"/>
        <v>0</v>
      </c>
      <c r="F477" s="3093"/>
      <c r="G477" s="3094">
        <f t="shared" si="240"/>
        <v>0</v>
      </c>
      <c r="H477" s="3095">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2">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308">
        <f t="shared" si="243"/>
        <v>0</v>
      </c>
      <c r="AW477" s="1308">
        <f t="shared" si="244"/>
        <v>0</v>
      </c>
      <c r="AX477" s="1308">
        <f t="shared" si="245"/>
        <v>0</v>
      </c>
      <c r="AY477" s="3137">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4">
        <f t="shared" si="267"/>
        <v>0</v>
      </c>
    </row>
    <row r="478" spans="1:72">
      <c r="A478" s="3089"/>
      <c r="B478" s="3090"/>
      <c r="C478" s="3090"/>
      <c r="D478" s="3091"/>
      <c r="E478" s="3092">
        <f t="shared" si="239"/>
        <v>0</v>
      </c>
      <c r="F478" s="3093"/>
      <c r="G478" s="3094">
        <f t="shared" si="240"/>
        <v>0</v>
      </c>
      <c r="H478" s="3095">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2">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308">
        <f t="shared" si="243"/>
        <v>0</v>
      </c>
      <c r="AW478" s="1308">
        <f t="shared" si="244"/>
        <v>0</v>
      </c>
      <c r="AX478" s="1308">
        <f t="shared" si="245"/>
        <v>0</v>
      </c>
      <c r="AY478" s="3137">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4">
        <f t="shared" si="267"/>
        <v>0</v>
      </c>
    </row>
    <row r="479" spans="1:72">
      <c r="A479" s="3089"/>
      <c r="B479" s="3090"/>
      <c r="C479" s="3090"/>
      <c r="D479" s="3091"/>
      <c r="E479" s="3092">
        <f t="shared" si="239"/>
        <v>0</v>
      </c>
      <c r="F479" s="3093"/>
      <c r="G479" s="3094">
        <f t="shared" si="240"/>
        <v>0</v>
      </c>
      <c r="H479" s="3095">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2">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308">
        <f t="shared" si="243"/>
        <v>0</v>
      </c>
      <c r="AW479" s="1308">
        <f t="shared" si="244"/>
        <v>0</v>
      </c>
      <c r="AX479" s="1308">
        <f t="shared" si="245"/>
        <v>0</v>
      </c>
      <c r="AY479" s="3137">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4">
        <f t="shared" si="267"/>
        <v>0</v>
      </c>
    </row>
    <row r="480" spans="1:72">
      <c r="A480" s="3089"/>
      <c r="B480" s="3090"/>
      <c r="C480" s="3090"/>
      <c r="D480" s="3091"/>
      <c r="E480" s="3092">
        <f t="shared" si="239"/>
        <v>0</v>
      </c>
      <c r="F480" s="3093"/>
      <c r="G480" s="3094">
        <f t="shared" si="240"/>
        <v>0</v>
      </c>
      <c r="H480" s="3095">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2">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308">
        <f t="shared" si="243"/>
        <v>0</v>
      </c>
      <c r="AW480" s="1308">
        <f t="shared" si="244"/>
        <v>0</v>
      </c>
      <c r="AX480" s="1308">
        <f t="shared" si="245"/>
        <v>0</v>
      </c>
      <c r="AY480" s="3137">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4">
        <f t="shared" si="267"/>
        <v>0</v>
      </c>
    </row>
    <row r="481" spans="1:72">
      <c r="A481" s="3089"/>
      <c r="B481" s="3090"/>
      <c r="C481" s="3090"/>
      <c r="D481" s="3091"/>
      <c r="E481" s="3092">
        <f t="shared" si="239"/>
        <v>0</v>
      </c>
      <c r="F481" s="3093"/>
      <c r="G481" s="3094">
        <f t="shared" si="240"/>
        <v>0</v>
      </c>
      <c r="H481" s="3095">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2">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308">
        <f t="shared" si="243"/>
        <v>0</v>
      </c>
      <c r="AW481" s="1308">
        <f t="shared" si="244"/>
        <v>0</v>
      </c>
      <c r="AX481" s="1308">
        <f t="shared" si="245"/>
        <v>0</v>
      </c>
      <c r="AY481" s="3137">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4">
        <f t="shared" si="267"/>
        <v>0</v>
      </c>
    </row>
    <row r="482" spans="1:72">
      <c r="A482" s="3089"/>
      <c r="B482" s="3090"/>
      <c r="C482" s="3090"/>
      <c r="D482" s="3091"/>
      <c r="E482" s="3092">
        <f t="shared" si="239"/>
        <v>0</v>
      </c>
      <c r="F482" s="3093"/>
      <c r="G482" s="3094">
        <f t="shared" si="240"/>
        <v>0</v>
      </c>
      <c r="H482" s="3095">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2">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308">
        <f t="shared" si="243"/>
        <v>0</v>
      </c>
      <c r="AW482" s="1308">
        <f t="shared" si="244"/>
        <v>0</v>
      </c>
      <c r="AX482" s="1308">
        <f t="shared" si="245"/>
        <v>0</v>
      </c>
      <c r="AY482" s="3137">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4">
        <f t="shared" si="267"/>
        <v>0</v>
      </c>
    </row>
    <row r="483" spans="1:72">
      <c r="A483" s="3089"/>
      <c r="B483" s="3090"/>
      <c r="C483" s="3090"/>
      <c r="D483" s="3091"/>
      <c r="E483" s="3092">
        <f t="shared" si="239"/>
        <v>0</v>
      </c>
      <c r="F483" s="3093"/>
      <c r="G483" s="3094">
        <f t="shared" si="240"/>
        <v>0</v>
      </c>
      <c r="H483" s="3095">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2">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308">
        <f t="shared" si="243"/>
        <v>0</v>
      </c>
      <c r="AW483" s="1308">
        <f t="shared" si="244"/>
        <v>0</v>
      </c>
      <c r="AX483" s="1308">
        <f t="shared" si="245"/>
        <v>0</v>
      </c>
      <c r="AY483" s="3137">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4">
        <f t="shared" si="267"/>
        <v>0</v>
      </c>
    </row>
    <row r="484" spans="1:72">
      <c r="A484" s="3089"/>
      <c r="B484" s="3090"/>
      <c r="C484" s="3090"/>
      <c r="D484" s="3091"/>
      <c r="E484" s="3092">
        <f t="shared" si="239"/>
        <v>0</v>
      </c>
      <c r="F484" s="3093"/>
      <c r="G484" s="3094">
        <f t="shared" si="240"/>
        <v>0</v>
      </c>
      <c r="H484" s="3095">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2">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308">
        <f t="shared" si="243"/>
        <v>0</v>
      </c>
      <c r="AW484" s="1308">
        <f t="shared" si="244"/>
        <v>0</v>
      </c>
      <c r="AX484" s="1308">
        <f t="shared" si="245"/>
        <v>0</v>
      </c>
      <c r="AY484" s="3137">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4">
        <f t="shared" si="267"/>
        <v>0</v>
      </c>
    </row>
    <row r="485" spans="1:72">
      <c r="A485" s="3089"/>
      <c r="B485" s="3090"/>
      <c r="C485" s="3090"/>
      <c r="D485" s="3091"/>
      <c r="E485" s="3092">
        <f t="shared" si="239"/>
        <v>0</v>
      </c>
      <c r="F485" s="3093"/>
      <c r="G485" s="3094">
        <f t="shared" si="240"/>
        <v>0</v>
      </c>
      <c r="H485" s="3095">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2">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308">
        <f t="shared" si="243"/>
        <v>0</v>
      </c>
      <c r="AW485" s="1308">
        <f t="shared" si="244"/>
        <v>0</v>
      </c>
      <c r="AX485" s="1308">
        <f t="shared" si="245"/>
        <v>0</v>
      </c>
      <c r="AY485" s="3137">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4">
        <f t="shared" si="267"/>
        <v>0</v>
      </c>
    </row>
    <row r="486" spans="1:72">
      <c r="A486" s="3089"/>
      <c r="B486" s="3090"/>
      <c r="C486" s="3090"/>
      <c r="D486" s="3091"/>
      <c r="E486" s="3092">
        <f t="shared" si="239"/>
        <v>0</v>
      </c>
      <c r="F486" s="3093"/>
      <c r="G486" s="3094">
        <f t="shared" si="240"/>
        <v>0</v>
      </c>
      <c r="H486" s="3095">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2">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308">
        <f t="shared" si="243"/>
        <v>0</v>
      </c>
      <c r="AW486" s="1308">
        <f t="shared" si="244"/>
        <v>0</v>
      </c>
      <c r="AX486" s="1308">
        <f t="shared" si="245"/>
        <v>0</v>
      </c>
      <c r="AY486" s="3137">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4">
        <f t="shared" si="267"/>
        <v>0</v>
      </c>
    </row>
    <row r="487" spans="1:72">
      <c r="A487" s="3089"/>
      <c r="B487" s="3090"/>
      <c r="C487" s="3090"/>
      <c r="D487" s="3091"/>
      <c r="E487" s="3092">
        <f t="shared" si="239"/>
        <v>0</v>
      </c>
      <c r="F487" s="3093"/>
      <c r="G487" s="3094">
        <f t="shared" si="240"/>
        <v>0</v>
      </c>
      <c r="H487" s="3095">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2">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308">
        <f t="shared" si="243"/>
        <v>0</v>
      </c>
      <c r="AW487" s="1308">
        <f t="shared" si="244"/>
        <v>0</v>
      </c>
      <c r="AX487" s="1308">
        <f t="shared" si="245"/>
        <v>0</v>
      </c>
      <c r="AY487" s="3137">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4">
        <f t="shared" si="267"/>
        <v>0</v>
      </c>
    </row>
    <row r="488" spans="1:72">
      <c r="A488" s="3089"/>
      <c r="B488" s="3090"/>
      <c r="C488" s="3090"/>
      <c r="D488" s="3091"/>
      <c r="E488" s="3092">
        <f t="shared" si="239"/>
        <v>0</v>
      </c>
      <c r="F488" s="3093"/>
      <c r="G488" s="3094">
        <f t="shared" si="240"/>
        <v>0</v>
      </c>
      <c r="H488" s="3095">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2">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308">
        <f t="shared" si="243"/>
        <v>0</v>
      </c>
      <c r="AW488" s="1308">
        <f t="shared" si="244"/>
        <v>0</v>
      </c>
      <c r="AX488" s="1308">
        <f t="shared" si="245"/>
        <v>0</v>
      </c>
      <c r="AY488" s="3137">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4">
        <f t="shared" si="267"/>
        <v>0</v>
      </c>
    </row>
    <row r="489" spans="1:72">
      <c r="A489" s="3089"/>
      <c r="B489" s="3090"/>
      <c r="C489" s="3090"/>
      <c r="D489" s="3091"/>
      <c r="E489" s="3092">
        <f t="shared" si="239"/>
        <v>0</v>
      </c>
      <c r="F489" s="3093"/>
      <c r="G489" s="3094">
        <f t="shared" si="240"/>
        <v>0</v>
      </c>
      <c r="H489" s="3095">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2">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308">
        <f t="shared" si="243"/>
        <v>0</v>
      </c>
      <c r="AW489" s="1308">
        <f t="shared" si="244"/>
        <v>0</v>
      </c>
      <c r="AX489" s="1308">
        <f t="shared" si="245"/>
        <v>0</v>
      </c>
      <c r="AY489" s="3137">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4">
        <f t="shared" si="267"/>
        <v>0</v>
      </c>
    </row>
    <row r="490" spans="1:72">
      <c r="A490" s="3089"/>
      <c r="B490" s="3089"/>
      <c r="C490" s="3089"/>
      <c r="D490" s="3091"/>
      <c r="E490" s="3092">
        <f t="shared" si="239"/>
        <v>0</v>
      </c>
      <c r="F490" s="3145"/>
      <c r="G490" s="3094">
        <f t="shared" ref="G490:G521" si="268">H490+AC490+AT490</f>
        <v>0</v>
      </c>
      <c r="H490" s="3095">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2">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308">
        <f t="shared" si="243"/>
        <v>0</v>
      </c>
      <c r="AW490" s="1308">
        <f t="shared" si="244"/>
        <v>0</v>
      </c>
      <c r="AX490" s="1308">
        <f t="shared" si="245"/>
        <v>0</v>
      </c>
      <c r="AY490" s="3137">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4">
        <f t="shared" ref="BT490:BT521" si="292">IF($D490="是",AR490-AS490,0)</f>
        <v>0</v>
      </c>
    </row>
    <row r="491" spans="1:72">
      <c r="A491" s="3089"/>
      <c r="B491" s="3089"/>
      <c r="C491" s="3089"/>
      <c r="D491" s="3091"/>
      <c r="E491" s="3092">
        <f t="shared" si="239"/>
        <v>0</v>
      </c>
      <c r="F491" s="3145"/>
      <c r="G491" s="3094">
        <f t="shared" si="268"/>
        <v>0</v>
      </c>
      <c r="H491" s="3095">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2">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308">
        <f t="shared" si="243"/>
        <v>0</v>
      </c>
      <c r="AW491" s="1308">
        <f t="shared" si="244"/>
        <v>0</v>
      </c>
      <c r="AX491" s="1308">
        <f t="shared" si="245"/>
        <v>0</v>
      </c>
      <c r="AY491" s="3137">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4">
        <f t="shared" si="292"/>
        <v>0</v>
      </c>
    </row>
    <row r="492" spans="1:72">
      <c r="A492" s="3089"/>
      <c r="B492" s="3089"/>
      <c r="C492" s="3089"/>
      <c r="D492" s="3091"/>
      <c r="E492" s="3092">
        <f t="shared" si="239"/>
        <v>0</v>
      </c>
      <c r="F492" s="3145"/>
      <c r="G492" s="3094">
        <f t="shared" si="268"/>
        <v>0</v>
      </c>
      <c r="H492" s="3095">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2">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308">
        <f t="shared" si="243"/>
        <v>0</v>
      </c>
      <c r="AW492" s="1308">
        <f t="shared" si="244"/>
        <v>0</v>
      </c>
      <c r="AX492" s="1308">
        <f t="shared" si="245"/>
        <v>0</v>
      </c>
      <c r="AY492" s="3137">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4">
        <f t="shared" si="292"/>
        <v>0</v>
      </c>
    </row>
    <row r="493" spans="1:72">
      <c r="A493" s="3089"/>
      <c r="B493" s="3090"/>
      <c r="C493" s="3090"/>
      <c r="D493" s="3091"/>
      <c r="E493" s="3092">
        <f t="shared" ref="E493:E519" si="293">IF($C$3="是",ROUND($A$3*G493/$B$3,2),ROUND($A$3*(G493-AT493)/$B$3,2))</f>
        <v>0</v>
      </c>
      <c r="F493" s="3093"/>
      <c r="G493" s="3094">
        <f t="shared" si="268"/>
        <v>0</v>
      </c>
      <c r="H493" s="3095">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2">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308">
        <f t="shared" ref="AV493:AV520" si="294">A493</f>
        <v>0</v>
      </c>
      <c r="AW493" s="1308">
        <f t="shared" ref="AW493:AW520" si="295">B493</f>
        <v>0</v>
      </c>
      <c r="AX493" s="1308">
        <f t="shared" ref="AX493:AX520" si="296">C493</f>
        <v>0</v>
      </c>
      <c r="AY493" s="3137">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4">
        <f t="shared" si="292"/>
        <v>0</v>
      </c>
    </row>
    <row r="494" spans="1:72">
      <c r="A494" s="3089"/>
      <c r="B494" s="3090"/>
      <c r="C494" s="3090"/>
      <c r="D494" s="3091"/>
      <c r="E494" s="3092">
        <f t="shared" si="293"/>
        <v>0</v>
      </c>
      <c r="F494" s="3093"/>
      <c r="G494" s="3094">
        <f t="shared" si="268"/>
        <v>0</v>
      </c>
      <c r="H494" s="3095">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2">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308">
        <f t="shared" si="294"/>
        <v>0</v>
      </c>
      <c r="AW494" s="1308">
        <f t="shared" si="295"/>
        <v>0</v>
      </c>
      <c r="AX494" s="1308">
        <f t="shared" si="296"/>
        <v>0</v>
      </c>
      <c r="AY494" s="3137">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4">
        <f t="shared" si="292"/>
        <v>0</v>
      </c>
    </row>
    <row r="495" spans="1:72">
      <c r="A495" s="3089"/>
      <c r="B495" s="3090"/>
      <c r="C495" s="3090"/>
      <c r="D495" s="3091"/>
      <c r="E495" s="3092">
        <f t="shared" si="293"/>
        <v>0</v>
      </c>
      <c r="F495" s="3093"/>
      <c r="G495" s="3094">
        <f t="shared" si="268"/>
        <v>0</v>
      </c>
      <c r="H495" s="3095">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2">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308">
        <f t="shared" si="294"/>
        <v>0</v>
      </c>
      <c r="AW495" s="1308">
        <f t="shared" si="295"/>
        <v>0</v>
      </c>
      <c r="AX495" s="1308">
        <f t="shared" si="296"/>
        <v>0</v>
      </c>
      <c r="AY495" s="3137">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4">
        <f t="shared" si="292"/>
        <v>0</v>
      </c>
    </row>
    <row r="496" spans="1:72">
      <c r="A496" s="3089"/>
      <c r="B496" s="3090"/>
      <c r="C496" s="3090"/>
      <c r="D496" s="3091"/>
      <c r="E496" s="3092">
        <f t="shared" si="293"/>
        <v>0</v>
      </c>
      <c r="F496" s="3093"/>
      <c r="G496" s="3094">
        <f t="shared" si="268"/>
        <v>0</v>
      </c>
      <c r="H496" s="3095">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2">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308">
        <f t="shared" si="294"/>
        <v>0</v>
      </c>
      <c r="AW496" s="1308">
        <f t="shared" si="295"/>
        <v>0</v>
      </c>
      <c r="AX496" s="1308">
        <f t="shared" si="296"/>
        <v>0</v>
      </c>
      <c r="AY496" s="3137">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4">
        <f t="shared" si="292"/>
        <v>0</v>
      </c>
    </row>
    <row r="497" spans="1:72">
      <c r="A497" s="3089"/>
      <c r="B497" s="3090"/>
      <c r="C497" s="3090"/>
      <c r="D497" s="3091"/>
      <c r="E497" s="3092">
        <f t="shared" si="293"/>
        <v>0</v>
      </c>
      <c r="F497" s="3093"/>
      <c r="G497" s="3094">
        <f t="shared" si="268"/>
        <v>0</v>
      </c>
      <c r="H497" s="3095">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2">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308">
        <f t="shared" si="294"/>
        <v>0</v>
      </c>
      <c r="AW497" s="1308">
        <f t="shared" si="295"/>
        <v>0</v>
      </c>
      <c r="AX497" s="1308">
        <f t="shared" si="296"/>
        <v>0</v>
      </c>
      <c r="AY497" s="3137">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4">
        <f t="shared" si="292"/>
        <v>0</v>
      </c>
    </row>
    <row r="498" spans="1:72">
      <c r="A498" s="3089"/>
      <c r="B498" s="3090"/>
      <c r="C498" s="3090"/>
      <c r="D498" s="3091"/>
      <c r="E498" s="3092">
        <f t="shared" si="293"/>
        <v>0</v>
      </c>
      <c r="F498" s="3093"/>
      <c r="G498" s="3094">
        <f t="shared" si="268"/>
        <v>0</v>
      </c>
      <c r="H498" s="3095">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2">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308">
        <f t="shared" si="294"/>
        <v>0</v>
      </c>
      <c r="AW498" s="1308">
        <f t="shared" si="295"/>
        <v>0</v>
      </c>
      <c r="AX498" s="1308">
        <f t="shared" si="296"/>
        <v>0</v>
      </c>
      <c r="AY498" s="3137">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4">
        <f t="shared" si="292"/>
        <v>0</v>
      </c>
    </row>
    <row r="499" spans="1:72">
      <c r="A499" s="3089"/>
      <c r="B499" s="3090"/>
      <c r="C499" s="3090"/>
      <c r="D499" s="3091"/>
      <c r="E499" s="3092">
        <f t="shared" si="293"/>
        <v>0</v>
      </c>
      <c r="F499" s="3093"/>
      <c r="G499" s="3094">
        <f t="shared" si="268"/>
        <v>0</v>
      </c>
      <c r="H499" s="3095">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2">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308">
        <f t="shared" si="294"/>
        <v>0</v>
      </c>
      <c r="AW499" s="1308">
        <f t="shared" si="295"/>
        <v>0</v>
      </c>
      <c r="AX499" s="1308">
        <f t="shared" si="296"/>
        <v>0</v>
      </c>
      <c r="AY499" s="3137">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4">
        <f t="shared" si="292"/>
        <v>0</v>
      </c>
    </row>
    <row r="500" spans="1:72">
      <c r="A500" s="3089"/>
      <c r="B500" s="3090"/>
      <c r="C500" s="3090"/>
      <c r="D500" s="3091"/>
      <c r="E500" s="3092">
        <f t="shared" si="293"/>
        <v>0</v>
      </c>
      <c r="F500" s="3093"/>
      <c r="G500" s="3094">
        <f t="shared" si="268"/>
        <v>0</v>
      </c>
      <c r="H500" s="3095">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2">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308">
        <f t="shared" si="294"/>
        <v>0</v>
      </c>
      <c r="AW500" s="1308">
        <f t="shared" si="295"/>
        <v>0</v>
      </c>
      <c r="AX500" s="1308">
        <f t="shared" si="296"/>
        <v>0</v>
      </c>
      <c r="AY500" s="3137">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4">
        <f t="shared" si="292"/>
        <v>0</v>
      </c>
    </row>
    <row r="501" spans="1:72">
      <c r="A501" s="3089"/>
      <c r="B501" s="3090"/>
      <c r="C501" s="3090"/>
      <c r="D501" s="3091"/>
      <c r="E501" s="3092">
        <f t="shared" si="293"/>
        <v>0</v>
      </c>
      <c r="F501" s="3093"/>
      <c r="G501" s="3094">
        <f t="shared" si="268"/>
        <v>0</v>
      </c>
      <c r="H501" s="3095">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2">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308">
        <f t="shared" si="294"/>
        <v>0</v>
      </c>
      <c r="AW501" s="1308">
        <f t="shared" si="295"/>
        <v>0</v>
      </c>
      <c r="AX501" s="1308">
        <f t="shared" si="296"/>
        <v>0</v>
      </c>
      <c r="AY501" s="3137">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4">
        <f t="shared" si="292"/>
        <v>0</v>
      </c>
    </row>
    <row r="502" spans="1:72">
      <c r="A502" s="3089"/>
      <c r="B502" s="3090"/>
      <c r="C502" s="3090"/>
      <c r="D502" s="3091"/>
      <c r="E502" s="3092">
        <f t="shared" si="293"/>
        <v>0</v>
      </c>
      <c r="F502" s="3093"/>
      <c r="G502" s="3094">
        <f t="shared" si="268"/>
        <v>0</v>
      </c>
      <c r="H502" s="3095">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2">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308">
        <f t="shared" si="294"/>
        <v>0</v>
      </c>
      <c r="AW502" s="1308">
        <f t="shared" si="295"/>
        <v>0</v>
      </c>
      <c r="AX502" s="1308">
        <f t="shared" si="296"/>
        <v>0</v>
      </c>
      <c r="AY502" s="3137">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4">
        <f t="shared" si="292"/>
        <v>0</v>
      </c>
    </row>
    <row r="503" spans="1:72">
      <c r="A503" s="3089"/>
      <c r="B503" s="3090"/>
      <c r="C503" s="3090"/>
      <c r="D503" s="3091"/>
      <c r="E503" s="3092">
        <f t="shared" si="293"/>
        <v>0</v>
      </c>
      <c r="F503" s="3093"/>
      <c r="G503" s="3094">
        <f t="shared" si="268"/>
        <v>0</v>
      </c>
      <c r="H503" s="3095">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2">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308">
        <f t="shared" si="294"/>
        <v>0</v>
      </c>
      <c r="AW503" s="1308">
        <f t="shared" si="295"/>
        <v>0</v>
      </c>
      <c r="AX503" s="1308">
        <f t="shared" si="296"/>
        <v>0</v>
      </c>
      <c r="AY503" s="3137">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4">
        <f t="shared" si="292"/>
        <v>0</v>
      </c>
    </row>
    <row r="504" spans="1:72">
      <c r="A504" s="3089"/>
      <c r="B504" s="3090"/>
      <c r="C504" s="3090"/>
      <c r="D504" s="3091"/>
      <c r="E504" s="3092">
        <f t="shared" si="293"/>
        <v>0</v>
      </c>
      <c r="F504" s="3093"/>
      <c r="G504" s="3094">
        <f t="shared" si="268"/>
        <v>0</v>
      </c>
      <c r="H504" s="3095">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2">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308">
        <f t="shared" si="294"/>
        <v>0</v>
      </c>
      <c r="AW504" s="1308">
        <f t="shared" si="295"/>
        <v>0</v>
      </c>
      <c r="AX504" s="1308">
        <f t="shared" si="296"/>
        <v>0</v>
      </c>
      <c r="AY504" s="3137">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4">
        <f t="shared" si="292"/>
        <v>0</v>
      </c>
    </row>
    <row r="505" spans="1:72">
      <c r="A505" s="3089"/>
      <c r="B505" s="3090"/>
      <c r="C505" s="3090"/>
      <c r="D505" s="3091"/>
      <c r="E505" s="3092">
        <f t="shared" si="293"/>
        <v>0</v>
      </c>
      <c r="F505" s="3093"/>
      <c r="G505" s="3094">
        <f t="shared" si="268"/>
        <v>0</v>
      </c>
      <c r="H505" s="3095">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2">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308">
        <f t="shared" si="294"/>
        <v>0</v>
      </c>
      <c r="AW505" s="1308">
        <f t="shared" si="295"/>
        <v>0</v>
      </c>
      <c r="AX505" s="1308">
        <f t="shared" si="296"/>
        <v>0</v>
      </c>
      <c r="AY505" s="3137">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4">
        <f t="shared" si="292"/>
        <v>0</v>
      </c>
    </row>
    <row r="506" spans="1:72">
      <c r="A506" s="3089"/>
      <c r="B506" s="3090"/>
      <c r="C506" s="3090"/>
      <c r="D506" s="3091"/>
      <c r="E506" s="3092">
        <f t="shared" si="293"/>
        <v>0</v>
      </c>
      <c r="F506" s="3093"/>
      <c r="G506" s="3094">
        <f t="shared" si="268"/>
        <v>0</v>
      </c>
      <c r="H506" s="3095">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2">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308">
        <f t="shared" si="294"/>
        <v>0</v>
      </c>
      <c r="AW506" s="1308">
        <f t="shared" si="295"/>
        <v>0</v>
      </c>
      <c r="AX506" s="1308">
        <f t="shared" si="296"/>
        <v>0</v>
      </c>
      <c r="AY506" s="3137">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4">
        <f t="shared" si="292"/>
        <v>0</v>
      </c>
    </row>
    <row r="507" spans="1:72">
      <c r="A507" s="3089"/>
      <c r="B507" s="3090"/>
      <c r="C507" s="3090"/>
      <c r="D507" s="3091"/>
      <c r="E507" s="3092">
        <f t="shared" si="293"/>
        <v>0</v>
      </c>
      <c r="F507" s="3093"/>
      <c r="G507" s="3094">
        <f t="shared" si="268"/>
        <v>0</v>
      </c>
      <c r="H507" s="3095">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2">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308">
        <f t="shared" si="294"/>
        <v>0</v>
      </c>
      <c r="AW507" s="1308">
        <f t="shared" si="295"/>
        <v>0</v>
      </c>
      <c r="AX507" s="1308">
        <f t="shared" si="296"/>
        <v>0</v>
      </c>
      <c r="AY507" s="3137">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4">
        <f t="shared" si="292"/>
        <v>0</v>
      </c>
    </row>
    <row r="508" spans="1:72">
      <c r="A508" s="3089"/>
      <c r="B508" s="3090"/>
      <c r="C508" s="3090"/>
      <c r="D508" s="3091"/>
      <c r="E508" s="3092">
        <f t="shared" si="293"/>
        <v>0</v>
      </c>
      <c r="F508" s="3093"/>
      <c r="G508" s="3094">
        <f t="shared" si="268"/>
        <v>0</v>
      </c>
      <c r="H508" s="3095">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2">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308">
        <f t="shared" si="294"/>
        <v>0</v>
      </c>
      <c r="AW508" s="1308">
        <f t="shared" si="295"/>
        <v>0</v>
      </c>
      <c r="AX508" s="1308">
        <f t="shared" si="296"/>
        <v>0</v>
      </c>
      <c r="AY508" s="3137">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4">
        <f t="shared" si="292"/>
        <v>0</v>
      </c>
    </row>
    <row r="509" spans="1:72">
      <c r="A509" s="3089"/>
      <c r="B509" s="3090"/>
      <c r="C509" s="3090"/>
      <c r="D509" s="3091"/>
      <c r="E509" s="3092">
        <f t="shared" si="293"/>
        <v>0</v>
      </c>
      <c r="F509" s="3093"/>
      <c r="G509" s="3094">
        <f t="shared" si="268"/>
        <v>0</v>
      </c>
      <c r="H509" s="3095">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2">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308">
        <f t="shared" si="294"/>
        <v>0</v>
      </c>
      <c r="AW509" s="1308">
        <f t="shared" si="295"/>
        <v>0</v>
      </c>
      <c r="AX509" s="1308">
        <f t="shared" si="296"/>
        <v>0</v>
      </c>
      <c r="AY509" s="3137">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4">
        <f t="shared" si="292"/>
        <v>0</v>
      </c>
    </row>
    <row r="510" spans="1:72">
      <c r="A510" s="3089"/>
      <c r="B510" s="3090"/>
      <c r="C510" s="3090"/>
      <c r="D510" s="3091"/>
      <c r="E510" s="3092">
        <f t="shared" si="293"/>
        <v>0</v>
      </c>
      <c r="F510" s="3093"/>
      <c r="G510" s="3094">
        <f t="shared" si="268"/>
        <v>0</v>
      </c>
      <c r="H510" s="3095">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2">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308">
        <f t="shared" si="294"/>
        <v>0</v>
      </c>
      <c r="AW510" s="1308">
        <f t="shared" si="295"/>
        <v>0</v>
      </c>
      <c r="AX510" s="1308">
        <f t="shared" si="296"/>
        <v>0</v>
      </c>
      <c r="AY510" s="3137">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4">
        <f t="shared" si="292"/>
        <v>0</v>
      </c>
    </row>
    <row r="511" spans="1:72">
      <c r="A511" s="3089"/>
      <c r="B511" s="3090"/>
      <c r="C511" s="3090"/>
      <c r="D511" s="3091"/>
      <c r="E511" s="3092">
        <f t="shared" si="293"/>
        <v>0</v>
      </c>
      <c r="F511" s="3093"/>
      <c r="G511" s="3094">
        <f t="shared" si="268"/>
        <v>0</v>
      </c>
      <c r="H511" s="3095">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2">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308">
        <f t="shared" si="294"/>
        <v>0</v>
      </c>
      <c r="AW511" s="1308">
        <f t="shared" si="295"/>
        <v>0</v>
      </c>
      <c r="AX511" s="1308">
        <f t="shared" si="296"/>
        <v>0</v>
      </c>
      <c r="AY511" s="3137">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4">
        <f t="shared" si="292"/>
        <v>0</v>
      </c>
    </row>
    <row r="512" spans="1:72">
      <c r="A512" s="3089"/>
      <c r="B512" s="3090"/>
      <c r="C512" s="3090"/>
      <c r="D512" s="3091"/>
      <c r="E512" s="3092">
        <f t="shared" si="293"/>
        <v>0</v>
      </c>
      <c r="F512" s="3093"/>
      <c r="G512" s="3094">
        <f t="shared" si="268"/>
        <v>0</v>
      </c>
      <c r="H512" s="3095">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2">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308">
        <f t="shared" si="294"/>
        <v>0</v>
      </c>
      <c r="AW512" s="1308">
        <f t="shared" si="295"/>
        <v>0</v>
      </c>
      <c r="AX512" s="1308">
        <f t="shared" si="296"/>
        <v>0</v>
      </c>
      <c r="AY512" s="3137">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4">
        <f t="shared" si="292"/>
        <v>0</v>
      </c>
    </row>
    <row r="513" spans="1:72">
      <c r="A513" s="3089"/>
      <c r="B513" s="3090"/>
      <c r="C513" s="3090"/>
      <c r="D513" s="3091"/>
      <c r="E513" s="3092">
        <f t="shared" si="293"/>
        <v>0</v>
      </c>
      <c r="F513" s="3093"/>
      <c r="G513" s="3094">
        <f t="shared" si="268"/>
        <v>0</v>
      </c>
      <c r="H513" s="3095">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2">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308">
        <f t="shared" si="294"/>
        <v>0</v>
      </c>
      <c r="AW513" s="1308">
        <f t="shared" si="295"/>
        <v>0</v>
      </c>
      <c r="AX513" s="1308">
        <f t="shared" si="296"/>
        <v>0</v>
      </c>
      <c r="AY513" s="3137">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4">
        <f t="shared" si="292"/>
        <v>0</v>
      </c>
    </row>
    <row r="514" spans="1:72">
      <c r="A514" s="3089"/>
      <c r="B514" s="3090"/>
      <c r="C514" s="3090"/>
      <c r="D514" s="3091"/>
      <c r="E514" s="3092">
        <f t="shared" si="293"/>
        <v>0</v>
      </c>
      <c r="F514" s="3093"/>
      <c r="G514" s="3094">
        <f t="shared" si="268"/>
        <v>0</v>
      </c>
      <c r="H514" s="3095">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2">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308">
        <f t="shared" si="294"/>
        <v>0</v>
      </c>
      <c r="AW514" s="1308">
        <f t="shared" si="295"/>
        <v>0</v>
      </c>
      <c r="AX514" s="1308">
        <f t="shared" si="296"/>
        <v>0</v>
      </c>
      <c r="AY514" s="3137">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4">
        <f t="shared" si="292"/>
        <v>0</v>
      </c>
    </row>
    <row r="515" spans="1:72">
      <c r="A515" s="3089"/>
      <c r="B515" s="3090"/>
      <c r="C515" s="3090"/>
      <c r="D515" s="3091"/>
      <c r="E515" s="3092">
        <f t="shared" si="293"/>
        <v>0</v>
      </c>
      <c r="F515" s="3093"/>
      <c r="G515" s="3094">
        <f t="shared" si="268"/>
        <v>0</v>
      </c>
      <c r="H515" s="3095">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2">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308">
        <f t="shared" si="294"/>
        <v>0</v>
      </c>
      <c r="AW515" s="1308">
        <f t="shared" si="295"/>
        <v>0</v>
      </c>
      <c r="AX515" s="1308">
        <f t="shared" si="296"/>
        <v>0</v>
      </c>
      <c r="AY515" s="3137">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4">
        <f t="shared" si="292"/>
        <v>0</v>
      </c>
    </row>
    <row r="516" spans="1:72">
      <c r="A516" s="3089"/>
      <c r="B516" s="3090"/>
      <c r="C516" s="3090"/>
      <c r="D516" s="3091"/>
      <c r="E516" s="3092">
        <f t="shared" si="293"/>
        <v>0</v>
      </c>
      <c r="F516" s="3093"/>
      <c r="G516" s="3094">
        <f t="shared" si="268"/>
        <v>0</v>
      </c>
      <c r="H516" s="3095">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2">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308">
        <f t="shared" si="294"/>
        <v>0</v>
      </c>
      <c r="AW516" s="1308">
        <f t="shared" si="295"/>
        <v>0</v>
      </c>
      <c r="AX516" s="1308">
        <f t="shared" si="296"/>
        <v>0</v>
      </c>
      <c r="AY516" s="3137">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4">
        <f t="shared" si="292"/>
        <v>0</v>
      </c>
    </row>
    <row r="517" spans="1:72">
      <c r="A517" s="3089"/>
      <c r="B517" s="3090"/>
      <c r="C517" s="3090"/>
      <c r="D517" s="3091"/>
      <c r="E517" s="3092">
        <f t="shared" si="293"/>
        <v>0</v>
      </c>
      <c r="F517" s="3093"/>
      <c r="G517" s="3094">
        <f t="shared" si="268"/>
        <v>0</v>
      </c>
      <c r="H517" s="3095">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2">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308">
        <f t="shared" si="294"/>
        <v>0</v>
      </c>
      <c r="AW517" s="1308">
        <f t="shared" si="295"/>
        <v>0</v>
      </c>
      <c r="AX517" s="1308">
        <f t="shared" si="296"/>
        <v>0</v>
      </c>
      <c r="AY517" s="3137">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4">
        <f t="shared" si="292"/>
        <v>0</v>
      </c>
    </row>
    <row r="518" spans="1:72">
      <c r="A518" s="3089"/>
      <c r="B518" s="3090"/>
      <c r="C518" s="3090"/>
      <c r="D518" s="3091"/>
      <c r="E518" s="3092">
        <f t="shared" si="293"/>
        <v>0</v>
      </c>
      <c r="F518" s="3093"/>
      <c r="G518" s="3094">
        <f t="shared" si="268"/>
        <v>0</v>
      </c>
      <c r="H518" s="3095">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2">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308">
        <f t="shared" si="294"/>
        <v>0</v>
      </c>
      <c r="AW518" s="1308">
        <f t="shared" si="295"/>
        <v>0</v>
      </c>
      <c r="AX518" s="1308">
        <f t="shared" si="296"/>
        <v>0</v>
      </c>
      <c r="AY518" s="3137">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4">
        <f t="shared" si="292"/>
        <v>0</v>
      </c>
    </row>
    <row r="519" spans="1:72">
      <c r="A519" s="3089"/>
      <c r="B519" s="3090"/>
      <c r="C519" s="3090"/>
      <c r="D519" s="3091"/>
      <c r="E519" s="3092">
        <f t="shared" si="293"/>
        <v>0</v>
      </c>
      <c r="F519" s="3093"/>
      <c r="G519" s="3094">
        <f t="shared" si="268"/>
        <v>0</v>
      </c>
      <c r="H519" s="3095">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2">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308">
        <f t="shared" si="294"/>
        <v>0</v>
      </c>
      <c r="AW519" s="1308">
        <f t="shared" si="295"/>
        <v>0</v>
      </c>
      <c r="AX519" s="1308">
        <f t="shared" si="296"/>
        <v>0</v>
      </c>
      <c r="AY519" s="3137">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4">
        <f t="shared" si="292"/>
        <v>0</v>
      </c>
    </row>
    <row r="520" spans="1:72">
      <c r="A520" s="3089"/>
      <c r="B520" s="3090"/>
      <c r="C520" s="3090"/>
      <c r="D520" s="3091"/>
      <c r="E520" s="3092">
        <f t="shared" ref="E520:E551" si="297">IF($C$3="是",ROUND($A$3*G520/$B$3,2),ROUND($A$3*(G520-AT520)/$B$3,2))</f>
        <v>0</v>
      </c>
      <c r="F520" s="3093"/>
      <c r="G520" s="3094">
        <f t="shared" si="268"/>
        <v>0</v>
      </c>
      <c r="H520" s="3095">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2">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308">
        <f t="shared" si="294"/>
        <v>0</v>
      </c>
      <c r="AW520" s="1308">
        <f t="shared" si="295"/>
        <v>0</v>
      </c>
      <c r="AX520" s="1308">
        <f t="shared" si="296"/>
        <v>0</v>
      </c>
      <c r="AY520" s="3137">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4">
        <f t="shared" si="292"/>
        <v>0</v>
      </c>
    </row>
    <row r="521" spans="1:72">
      <c r="A521" s="3089"/>
      <c r="B521" s="3090"/>
      <c r="C521" s="3090"/>
      <c r="D521" s="3091"/>
      <c r="E521" s="3092">
        <f t="shared" si="297"/>
        <v>0</v>
      </c>
      <c r="F521" s="3093"/>
      <c r="G521" s="3094">
        <f t="shared" si="268"/>
        <v>0</v>
      </c>
      <c r="H521" s="3095">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2">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308">
        <f t="shared" ref="AV521:AV552" si="298">A521</f>
        <v>0</v>
      </c>
      <c r="AW521" s="1308">
        <f t="shared" ref="AW521:AW552" si="299">B521</f>
        <v>0</v>
      </c>
      <c r="AX521" s="1308">
        <f t="shared" ref="AX521:AX552" si="300">C521</f>
        <v>0</v>
      </c>
      <c r="AY521" s="3137">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4">
        <f t="shared" si="292"/>
        <v>0</v>
      </c>
    </row>
    <row r="522" spans="1:72">
      <c r="A522" s="3089"/>
      <c r="B522" s="3090"/>
      <c r="C522" s="3090"/>
      <c r="D522" s="3091"/>
      <c r="E522" s="3092">
        <f t="shared" si="297"/>
        <v>0</v>
      </c>
      <c r="F522" s="3093"/>
      <c r="G522" s="3094">
        <f t="shared" ref="G522:G552" si="301">H522+AC522+AT522</f>
        <v>0</v>
      </c>
      <c r="H522" s="3095">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2">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308">
        <f t="shared" si="298"/>
        <v>0</v>
      </c>
      <c r="AW522" s="1308">
        <f t="shared" si="299"/>
        <v>0</v>
      </c>
      <c r="AX522" s="1308">
        <f t="shared" si="300"/>
        <v>0</v>
      </c>
      <c r="AY522" s="3137">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4">
        <f t="shared" ref="BT522:BT552" si="325">IF($D522="是",AR522-AS522,0)</f>
        <v>0</v>
      </c>
    </row>
    <row r="523" spans="1:72">
      <c r="A523" s="3089"/>
      <c r="B523" s="3090"/>
      <c r="C523" s="3090"/>
      <c r="D523" s="3091"/>
      <c r="E523" s="3092">
        <f t="shared" si="297"/>
        <v>0</v>
      </c>
      <c r="F523" s="3093"/>
      <c r="G523" s="3094">
        <f t="shared" si="301"/>
        <v>0</v>
      </c>
      <c r="H523" s="3095">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2">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308">
        <f t="shared" si="298"/>
        <v>0</v>
      </c>
      <c r="AW523" s="1308">
        <f t="shared" si="299"/>
        <v>0</v>
      </c>
      <c r="AX523" s="1308">
        <f t="shared" si="300"/>
        <v>0</v>
      </c>
      <c r="AY523" s="3137">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4">
        <f t="shared" si="325"/>
        <v>0</v>
      </c>
    </row>
    <row r="524" spans="1:72">
      <c r="A524" s="3089"/>
      <c r="B524" s="3090"/>
      <c r="C524" s="3090"/>
      <c r="D524" s="3091"/>
      <c r="E524" s="3092">
        <f t="shared" si="297"/>
        <v>0</v>
      </c>
      <c r="F524" s="3093"/>
      <c r="G524" s="3094">
        <f t="shared" si="301"/>
        <v>0</v>
      </c>
      <c r="H524" s="3095">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2">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308">
        <f t="shared" si="298"/>
        <v>0</v>
      </c>
      <c r="AW524" s="1308">
        <f t="shared" si="299"/>
        <v>0</v>
      </c>
      <c r="AX524" s="1308">
        <f t="shared" si="300"/>
        <v>0</v>
      </c>
      <c r="AY524" s="3137">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4">
        <f t="shared" si="325"/>
        <v>0</v>
      </c>
    </row>
    <row r="525" spans="1:72">
      <c r="A525" s="3089"/>
      <c r="B525" s="3090"/>
      <c r="C525" s="3090"/>
      <c r="D525" s="3091"/>
      <c r="E525" s="3092">
        <f t="shared" si="297"/>
        <v>0</v>
      </c>
      <c r="F525" s="3093"/>
      <c r="G525" s="3094">
        <f t="shared" si="301"/>
        <v>0</v>
      </c>
      <c r="H525" s="3095">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2">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308">
        <f t="shared" si="298"/>
        <v>0</v>
      </c>
      <c r="AW525" s="1308">
        <f t="shared" si="299"/>
        <v>0</v>
      </c>
      <c r="AX525" s="1308">
        <f t="shared" si="300"/>
        <v>0</v>
      </c>
      <c r="AY525" s="3137">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4">
        <f t="shared" si="325"/>
        <v>0</v>
      </c>
    </row>
    <row r="526" spans="1:72">
      <c r="A526" s="3089"/>
      <c r="B526" s="3090"/>
      <c r="C526" s="3090"/>
      <c r="D526" s="3091"/>
      <c r="E526" s="3092">
        <f t="shared" si="297"/>
        <v>0</v>
      </c>
      <c r="F526" s="3093"/>
      <c r="G526" s="3094">
        <f t="shared" si="301"/>
        <v>0</v>
      </c>
      <c r="H526" s="3095">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2">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308">
        <f t="shared" si="298"/>
        <v>0</v>
      </c>
      <c r="AW526" s="1308">
        <f t="shared" si="299"/>
        <v>0</v>
      </c>
      <c r="AX526" s="1308">
        <f t="shared" si="300"/>
        <v>0</v>
      </c>
      <c r="AY526" s="3137">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4">
        <f t="shared" si="325"/>
        <v>0</v>
      </c>
    </row>
    <row r="527" spans="1:72">
      <c r="A527" s="3089"/>
      <c r="B527" s="3090"/>
      <c r="C527" s="3090"/>
      <c r="D527" s="3091"/>
      <c r="E527" s="3092">
        <f t="shared" si="297"/>
        <v>0</v>
      </c>
      <c r="F527" s="3093"/>
      <c r="G527" s="3094">
        <f t="shared" si="301"/>
        <v>0</v>
      </c>
      <c r="H527" s="3095">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2">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308">
        <f t="shared" si="298"/>
        <v>0</v>
      </c>
      <c r="AW527" s="1308">
        <f t="shared" si="299"/>
        <v>0</v>
      </c>
      <c r="AX527" s="1308">
        <f t="shared" si="300"/>
        <v>0</v>
      </c>
      <c r="AY527" s="3137">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4">
        <f t="shared" si="325"/>
        <v>0</v>
      </c>
    </row>
    <row r="528" spans="1:72">
      <c r="A528" s="3089"/>
      <c r="B528" s="3090"/>
      <c r="C528" s="3090"/>
      <c r="D528" s="3091"/>
      <c r="E528" s="3092">
        <f t="shared" si="297"/>
        <v>0</v>
      </c>
      <c r="F528" s="3093"/>
      <c r="G528" s="3094">
        <f t="shared" si="301"/>
        <v>0</v>
      </c>
      <c r="H528" s="3095">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2">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308">
        <f t="shared" si="298"/>
        <v>0</v>
      </c>
      <c r="AW528" s="1308">
        <f t="shared" si="299"/>
        <v>0</v>
      </c>
      <c r="AX528" s="1308">
        <f t="shared" si="300"/>
        <v>0</v>
      </c>
      <c r="AY528" s="3137">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4">
        <f t="shared" si="325"/>
        <v>0</v>
      </c>
    </row>
    <row r="529" spans="1:72">
      <c r="A529" s="3089"/>
      <c r="B529" s="3090"/>
      <c r="C529" s="3090"/>
      <c r="D529" s="3091"/>
      <c r="E529" s="3092">
        <f t="shared" si="297"/>
        <v>0</v>
      </c>
      <c r="F529" s="3093"/>
      <c r="G529" s="3094">
        <f t="shared" si="301"/>
        <v>0</v>
      </c>
      <c r="H529" s="3095">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2">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308">
        <f t="shared" si="298"/>
        <v>0</v>
      </c>
      <c r="AW529" s="1308">
        <f t="shared" si="299"/>
        <v>0</v>
      </c>
      <c r="AX529" s="1308">
        <f t="shared" si="300"/>
        <v>0</v>
      </c>
      <c r="AY529" s="3137">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4">
        <f t="shared" si="325"/>
        <v>0</v>
      </c>
    </row>
    <row r="530" spans="1:72">
      <c r="A530" s="3089"/>
      <c r="B530" s="3090"/>
      <c r="C530" s="3090"/>
      <c r="D530" s="3091"/>
      <c r="E530" s="3092">
        <f t="shared" si="297"/>
        <v>0</v>
      </c>
      <c r="F530" s="3093"/>
      <c r="G530" s="3094">
        <f t="shared" si="301"/>
        <v>0</v>
      </c>
      <c r="H530" s="3095">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2">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308">
        <f t="shared" si="298"/>
        <v>0</v>
      </c>
      <c r="AW530" s="1308">
        <f t="shared" si="299"/>
        <v>0</v>
      </c>
      <c r="AX530" s="1308">
        <f t="shared" si="300"/>
        <v>0</v>
      </c>
      <c r="AY530" s="3137">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4">
        <f t="shared" si="325"/>
        <v>0</v>
      </c>
    </row>
    <row r="531" spans="1:72">
      <c r="A531" s="3089"/>
      <c r="B531" s="3090"/>
      <c r="C531" s="3090"/>
      <c r="D531" s="3091"/>
      <c r="E531" s="3092">
        <f t="shared" si="297"/>
        <v>0</v>
      </c>
      <c r="F531" s="3093"/>
      <c r="G531" s="3094">
        <f t="shared" si="301"/>
        <v>0</v>
      </c>
      <c r="H531" s="3095">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2">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308">
        <f t="shared" si="298"/>
        <v>0</v>
      </c>
      <c r="AW531" s="1308">
        <f t="shared" si="299"/>
        <v>0</v>
      </c>
      <c r="AX531" s="1308">
        <f t="shared" si="300"/>
        <v>0</v>
      </c>
      <c r="AY531" s="3137">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4">
        <f t="shared" si="325"/>
        <v>0</v>
      </c>
    </row>
    <row r="532" spans="1:72">
      <c r="A532" s="3089"/>
      <c r="B532" s="3090"/>
      <c r="C532" s="3090"/>
      <c r="D532" s="3091"/>
      <c r="E532" s="3092">
        <f t="shared" si="297"/>
        <v>0</v>
      </c>
      <c r="F532" s="3093"/>
      <c r="G532" s="3094">
        <f t="shared" si="301"/>
        <v>0</v>
      </c>
      <c r="H532" s="3095">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2">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308">
        <f t="shared" si="298"/>
        <v>0</v>
      </c>
      <c r="AW532" s="1308">
        <f t="shared" si="299"/>
        <v>0</v>
      </c>
      <c r="AX532" s="1308">
        <f t="shared" si="300"/>
        <v>0</v>
      </c>
      <c r="AY532" s="3137">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4">
        <f t="shared" si="325"/>
        <v>0</v>
      </c>
    </row>
    <row r="533" spans="1:72">
      <c r="A533" s="3089"/>
      <c r="B533" s="3090"/>
      <c r="C533" s="3090"/>
      <c r="D533" s="3091"/>
      <c r="E533" s="3092">
        <f t="shared" si="297"/>
        <v>0</v>
      </c>
      <c r="F533" s="3093"/>
      <c r="G533" s="3094">
        <f t="shared" si="301"/>
        <v>0</v>
      </c>
      <c r="H533" s="3095">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2">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308">
        <f t="shared" si="298"/>
        <v>0</v>
      </c>
      <c r="AW533" s="1308">
        <f t="shared" si="299"/>
        <v>0</v>
      </c>
      <c r="AX533" s="1308">
        <f t="shared" si="300"/>
        <v>0</v>
      </c>
      <c r="AY533" s="3137">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4">
        <f t="shared" si="325"/>
        <v>0</v>
      </c>
    </row>
    <row r="534" spans="1:72">
      <c r="A534" s="3089"/>
      <c r="B534" s="3090"/>
      <c r="C534" s="3090"/>
      <c r="D534" s="3091"/>
      <c r="E534" s="3092">
        <f t="shared" si="297"/>
        <v>0</v>
      </c>
      <c r="F534" s="3093"/>
      <c r="G534" s="3094">
        <f t="shared" si="301"/>
        <v>0</v>
      </c>
      <c r="H534" s="3095">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2">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308">
        <f t="shared" si="298"/>
        <v>0</v>
      </c>
      <c r="AW534" s="1308">
        <f t="shared" si="299"/>
        <v>0</v>
      </c>
      <c r="AX534" s="1308">
        <f t="shared" si="300"/>
        <v>0</v>
      </c>
      <c r="AY534" s="3137">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4">
        <f t="shared" si="325"/>
        <v>0</v>
      </c>
    </row>
    <row r="535" spans="1:72">
      <c r="A535" s="3089"/>
      <c r="B535" s="3090"/>
      <c r="C535" s="3090"/>
      <c r="D535" s="3091"/>
      <c r="E535" s="3092">
        <f t="shared" si="297"/>
        <v>0</v>
      </c>
      <c r="F535" s="3093"/>
      <c r="G535" s="3094">
        <f t="shared" si="301"/>
        <v>0</v>
      </c>
      <c r="H535" s="3095">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2">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308">
        <f t="shared" si="298"/>
        <v>0</v>
      </c>
      <c r="AW535" s="1308">
        <f t="shared" si="299"/>
        <v>0</v>
      </c>
      <c r="AX535" s="1308">
        <f t="shared" si="300"/>
        <v>0</v>
      </c>
      <c r="AY535" s="3137">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4">
        <f t="shared" si="325"/>
        <v>0</v>
      </c>
    </row>
    <row r="536" spans="1:72">
      <c r="A536" s="3089"/>
      <c r="B536" s="3090"/>
      <c r="C536" s="3090"/>
      <c r="D536" s="3091"/>
      <c r="E536" s="3092">
        <f t="shared" si="297"/>
        <v>0</v>
      </c>
      <c r="F536" s="3093"/>
      <c r="G536" s="3094">
        <f t="shared" si="301"/>
        <v>0</v>
      </c>
      <c r="H536" s="3095">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2">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308">
        <f t="shared" si="298"/>
        <v>0</v>
      </c>
      <c r="AW536" s="1308">
        <f t="shared" si="299"/>
        <v>0</v>
      </c>
      <c r="AX536" s="1308">
        <f t="shared" si="300"/>
        <v>0</v>
      </c>
      <c r="AY536" s="3137">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4">
        <f t="shared" si="325"/>
        <v>0</v>
      </c>
    </row>
    <row r="537" spans="1:72">
      <c r="A537" s="3089"/>
      <c r="B537" s="3090"/>
      <c r="C537" s="3090"/>
      <c r="D537" s="3091"/>
      <c r="E537" s="3092">
        <f t="shared" si="297"/>
        <v>0</v>
      </c>
      <c r="F537" s="3093"/>
      <c r="G537" s="3094">
        <f t="shared" si="301"/>
        <v>0</v>
      </c>
      <c r="H537" s="3095">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2">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308">
        <f t="shared" si="298"/>
        <v>0</v>
      </c>
      <c r="AW537" s="1308">
        <f t="shared" si="299"/>
        <v>0</v>
      </c>
      <c r="AX537" s="1308">
        <f t="shared" si="300"/>
        <v>0</v>
      </c>
      <c r="AY537" s="3137">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4">
        <f t="shared" si="325"/>
        <v>0</v>
      </c>
    </row>
    <row r="538" spans="1:72">
      <c r="A538" s="3089"/>
      <c r="B538" s="3090"/>
      <c r="C538" s="3090"/>
      <c r="D538" s="3091"/>
      <c r="E538" s="3092">
        <f t="shared" si="297"/>
        <v>0</v>
      </c>
      <c r="F538" s="3093"/>
      <c r="G538" s="3094">
        <f t="shared" si="301"/>
        <v>0</v>
      </c>
      <c r="H538" s="3095">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2">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308">
        <f t="shared" si="298"/>
        <v>0</v>
      </c>
      <c r="AW538" s="1308">
        <f t="shared" si="299"/>
        <v>0</v>
      </c>
      <c r="AX538" s="1308">
        <f t="shared" si="300"/>
        <v>0</v>
      </c>
      <c r="AY538" s="3137">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4">
        <f t="shared" si="325"/>
        <v>0</v>
      </c>
    </row>
    <row r="539" spans="1:72">
      <c r="A539" s="3089"/>
      <c r="B539" s="3090"/>
      <c r="C539" s="3090"/>
      <c r="D539" s="3091"/>
      <c r="E539" s="3092">
        <f t="shared" si="297"/>
        <v>0</v>
      </c>
      <c r="F539" s="3093"/>
      <c r="G539" s="3094">
        <f t="shared" si="301"/>
        <v>0</v>
      </c>
      <c r="H539" s="3095">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2">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308">
        <f t="shared" si="298"/>
        <v>0</v>
      </c>
      <c r="AW539" s="1308">
        <f t="shared" si="299"/>
        <v>0</v>
      </c>
      <c r="AX539" s="1308">
        <f t="shared" si="300"/>
        <v>0</v>
      </c>
      <c r="AY539" s="3137">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4">
        <f t="shared" si="325"/>
        <v>0</v>
      </c>
    </row>
    <row r="540" spans="1:72">
      <c r="A540" s="3089"/>
      <c r="B540" s="3090"/>
      <c r="C540" s="3090"/>
      <c r="D540" s="3091"/>
      <c r="E540" s="3092">
        <f t="shared" si="297"/>
        <v>0</v>
      </c>
      <c r="F540" s="3093"/>
      <c r="G540" s="3094">
        <f t="shared" si="301"/>
        <v>0</v>
      </c>
      <c r="H540" s="3095">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2">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308">
        <f t="shared" si="298"/>
        <v>0</v>
      </c>
      <c r="AW540" s="1308">
        <f t="shared" si="299"/>
        <v>0</v>
      </c>
      <c r="AX540" s="1308">
        <f t="shared" si="300"/>
        <v>0</v>
      </c>
      <c r="AY540" s="3137">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4">
        <f t="shared" si="325"/>
        <v>0</v>
      </c>
    </row>
    <row r="541" spans="1:72">
      <c r="A541" s="3089"/>
      <c r="B541" s="3090"/>
      <c r="C541" s="3090"/>
      <c r="D541" s="3091"/>
      <c r="E541" s="3092">
        <f t="shared" si="297"/>
        <v>0</v>
      </c>
      <c r="F541" s="3093"/>
      <c r="G541" s="3094">
        <f t="shared" si="301"/>
        <v>0</v>
      </c>
      <c r="H541" s="3095">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2">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308">
        <f t="shared" si="298"/>
        <v>0</v>
      </c>
      <c r="AW541" s="1308">
        <f t="shared" si="299"/>
        <v>0</v>
      </c>
      <c r="AX541" s="1308">
        <f t="shared" si="300"/>
        <v>0</v>
      </c>
      <c r="AY541" s="3137">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4">
        <f t="shared" si="325"/>
        <v>0</v>
      </c>
    </row>
    <row r="542" spans="1:72">
      <c r="A542" s="3089"/>
      <c r="B542" s="3090"/>
      <c r="C542" s="3090"/>
      <c r="D542" s="3091"/>
      <c r="E542" s="3092">
        <f t="shared" si="297"/>
        <v>0</v>
      </c>
      <c r="F542" s="3093"/>
      <c r="G542" s="3094">
        <f t="shared" si="301"/>
        <v>0</v>
      </c>
      <c r="H542" s="3095">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2">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308">
        <f t="shared" si="298"/>
        <v>0</v>
      </c>
      <c r="AW542" s="1308">
        <f t="shared" si="299"/>
        <v>0</v>
      </c>
      <c r="AX542" s="1308">
        <f t="shared" si="300"/>
        <v>0</v>
      </c>
      <c r="AY542" s="3137">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4">
        <f t="shared" si="325"/>
        <v>0</v>
      </c>
    </row>
    <row r="543" spans="1:72">
      <c r="A543" s="3089"/>
      <c r="B543" s="3090"/>
      <c r="C543" s="3090"/>
      <c r="D543" s="3091"/>
      <c r="E543" s="3092">
        <f t="shared" si="297"/>
        <v>0</v>
      </c>
      <c r="F543" s="3093"/>
      <c r="G543" s="3094">
        <f t="shared" si="301"/>
        <v>0</v>
      </c>
      <c r="H543" s="3095">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2">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308">
        <f t="shared" si="298"/>
        <v>0</v>
      </c>
      <c r="AW543" s="1308">
        <f t="shared" si="299"/>
        <v>0</v>
      </c>
      <c r="AX543" s="1308">
        <f t="shared" si="300"/>
        <v>0</v>
      </c>
      <c r="AY543" s="3137">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4">
        <f t="shared" si="325"/>
        <v>0</v>
      </c>
    </row>
    <row r="544" spans="1:72">
      <c r="A544" s="3089"/>
      <c r="B544" s="3090"/>
      <c r="C544" s="3090"/>
      <c r="D544" s="3091"/>
      <c r="E544" s="3092">
        <f t="shared" si="297"/>
        <v>0</v>
      </c>
      <c r="F544" s="3093"/>
      <c r="G544" s="3094">
        <f t="shared" si="301"/>
        <v>0</v>
      </c>
      <c r="H544" s="3095">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2">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308">
        <f t="shared" si="298"/>
        <v>0</v>
      </c>
      <c r="AW544" s="1308">
        <f t="shared" si="299"/>
        <v>0</v>
      </c>
      <c r="AX544" s="1308">
        <f t="shared" si="300"/>
        <v>0</v>
      </c>
      <c r="AY544" s="3137">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4">
        <f t="shared" si="325"/>
        <v>0</v>
      </c>
    </row>
    <row r="545" spans="1:72">
      <c r="A545" s="3089"/>
      <c r="B545" s="3090"/>
      <c r="C545" s="3090"/>
      <c r="D545" s="3091"/>
      <c r="E545" s="3092">
        <f t="shared" si="297"/>
        <v>0</v>
      </c>
      <c r="F545" s="3093"/>
      <c r="G545" s="3094">
        <f t="shared" si="301"/>
        <v>0</v>
      </c>
      <c r="H545" s="3095">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2">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308">
        <f t="shared" si="298"/>
        <v>0</v>
      </c>
      <c r="AW545" s="1308">
        <f t="shared" si="299"/>
        <v>0</v>
      </c>
      <c r="AX545" s="1308">
        <f t="shared" si="300"/>
        <v>0</v>
      </c>
      <c r="AY545" s="3137">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4">
        <f t="shared" si="325"/>
        <v>0</v>
      </c>
    </row>
    <row r="546" spans="1:72">
      <c r="A546" s="3089"/>
      <c r="B546" s="3090"/>
      <c r="C546" s="3090"/>
      <c r="D546" s="3091"/>
      <c r="E546" s="3092">
        <f t="shared" si="297"/>
        <v>0</v>
      </c>
      <c r="F546" s="3093"/>
      <c r="G546" s="3094">
        <f t="shared" si="301"/>
        <v>0</v>
      </c>
      <c r="H546" s="3095">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2">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308">
        <f t="shared" si="298"/>
        <v>0</v>
      </c>
      <c r="AW546" s="1308">
        <f t="shared" si="299"/>
        <v>0</v>
      </c>
      <c r="AX546" s="1308">
        <f t="shared" si="300"/>
        <v>0</v>
      </c>
      <c r="AY546" s="3137">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4">
        <f t="shared" si="325"/>
        <v>0</v>
      </c>
    </row>
    <row r="547" spans="1:72">
      <c r="A547" s="3089"/>
      <c r="B547" s="3090"/>
      <c r="C547" s="3090"/>
      <c r="D547" s="3091"/>
      <c r="E547" s="3092">
        <f t="shared" si="297"/>
        <v>0</v>
      </c>
      <c r="F547" s="3093"/>
      <c r="G547" s="3094">
        <f t="shared" si="301"/>
        <v>0</v>
      </c>
      <c r="H547" s="3095">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2">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308">
        <f t="shared" si="298"/>
        <v>0</v>
      </c>
      <c r="AW547" s="1308">
        <f t="shared" si="299"/>
        <v>0</v>
      </c>
      <c r="AX547" s="1308">
        <f t="shared" si="300"/>
        <v>0</v>
      </c>
      <c r="AY547" s="3137">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4">
        <f t="shared" si="325"/>
        <v>0</v>
      </c>
    </row>
    <row r="548" spans="1:72">
      <c r="A548" s="3089"/>
      <c r="B548" s="3090"/>
      <c r="C548" s="3090"/>
      <c r="D548" s="3091"/>
      <c r="E548" s="3092">
        <f t="shared" si="297"/>
        <v>0</v>
      </c>
      <c r="F548" s="3093"/>
      <c r="G548" s="3094">
        <f t="shared" si="301"/>
        <v>0</v>
      </c>
      <c r="H548" s="3095">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2">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308">
        <f t="shared" si="298"/>
        <v>0</v>
      </c>
      <c r="AW548" s="1308">
        <f t="shared" si="299"/>
        <v>0</v>
      </c>
      <c r="AX548" s="1308">
        <f t="shared" si="300"/>
        <v>0</v>
      </c>
      <c r="AY548" s="3137">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4">
        <f t="shared" si="325"/>
        <v>0</v>
      </c>
    </row>
    <row r="549" spans="1:72">
      <c r="A549" s="3089"/>
      <c r="B549" s="3090"/>
      <c r="C549" s="3090"/>
      <c r="D549" s="3091"/>
      <c r="E549" s="3092">
        <f t="shared" si="297"/>
        <v>0</v>
      </c>
      <c r="F549" s="3093"/>
      <c r="G549" s="3094">
        <f t="shared" si="301"/>
        <v>0</v>
      </c>
      <c r="H549" s="3095">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2">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308">
        <f t="shared" si="298"/>
        <v>0</v>
      </c>
      <c r="AW549" s="1308">
        <f t="shared" si="299"/>
        <v>0</v>
      </c>
      <c r="AX549" s="1308">
        <f t="shared" si="300"/>
        <v>0</v>
      </c>
      <c r="AY549" s="3137">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4">
        <f t="shared" si="325"/>
        <v>0</v>
      </c>
    </row>
    <row r="550" spans="1:72">
      <c r="A550" s="3089"/>
      <c r="B550" s="3090"/>
      <c r="C550" s="3090"/>
      <c r="D550" s="3091"/>
      <c r="E550" s="3092">
        <f t="shared" si="297"/>
        <v>0</v>
      </c>
      <c r="F550" s="3093"/>
      <c r="G550" s="3094">
        <f t="shared" si="301"/>
        <v>0</v>
      </c>
      <c r="H550" s="3095">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2">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308">
        <f t="shared" si="298"/>
        <v>0</v>
      </c>
      <c r="AW550" s="1308">
        <f t="shared" si="299"/>
        <v>0</v>
      </c>
      <c r="AX550" s="1308">
        <f t="shared" si="300"/>
        <v>0</v>
      </c>
      <c r="AY550" s="3137">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4">
        <f t="shared" si="325"/>
        <v>0</v>
      </c>
    </row>
    <row r="551" spans="1:72">
      <c r="A551" s="3089"/>
      <c r="B551" s="3090"/>
      <c r="C551" s="3090"/>
      <c r="D551" s="3091"/>
      <c r="E551" s="3092">
        <f t="shared" si="297"/>
        <v>0</v>
      </c>
      <c r="F551" s="3093"/>
      <c r="G551" s="3094">
        <f t="shared" si="301"/>
        <v>0</v>
      </c>
      <c r="H551" s="3095">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2">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308">
        <f t="shared" si="298"/>
        <v>0</v>
      </c>
      <c r="AW551" s="1308">
        <f t="shared" si="299"/>
        <v>0</v>
      </c>
      <c r="AX551" s="1308">
        <f t="shared" si="300"/>
        <v>0</v>
      </c>
      <c r="AY551" s="3137">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4">
        <f t="shared" si="325"/>
        <v>0</v>
      </c>
    </row>
    <row r="552" spans="1:72">
      <c r="A552" s="3089"/>
      <c r="B552" s="3090"/>
      <c r="C552" s="3090"/>
      <c r="D552" s="3091"/>
      <c r="E552" s="3092">
        <f t="shared" ref="E552:E587" si="326">IF($C$3="是",ROUND($A$3*G552/$B$3,2),ROUND($A$3*(G552-AT552)/$B$3,2))</f>
        <v>0</v>
      </c>
      <c r="F552" s="3093"/>
      <c r="G552" s="3094">
        <f t="shared" si="301"/>
        <v>0</v>
      </c>
      <c r="H552" s="3095">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2">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308">
        <f t="shared" si="298"/>
        <v>0</v>
      </c>
      <c r="AW552" s="1308">
        <f t="shared" si="299"/>
        <v>0</v>
      </c>
      <c r="AX552" s="1308">
        <f t="shared" si="300"/>
        <v>0</v>
      </c>
      <c r="AY552" s="3137">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4">
        <f t="shared" si="325"/>
        <v>0</v>
      </c>
    </row>
    <row r="553" spans="1:72">
      <c r="A553" s="3089"/>
      <c r="B553" s="3090"/>
      <c r="C553" s="3090"/>
      <c r="D553" s="3091"/>
      <c r="E553" s="3092">
        <f t="shared" si="326"/>
        <v>0</v>
      </c>
      <c r="F553" s="3093"/>
      <c r="G553" s="3094">
        <f t="shared" ref="G553:G587" si="327">H553+AC553+AT553</f>
        <v>0</v>
      </c>
      <c r="H553" s="3095">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2">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308">
        <f t="shared" ref="AV553:AV587" si="330">A553</f>
        <v>0</v>
      </c>
      <c r="AW553" s="1308">
        <f t="shared" ref="AW553:AW587" si="331">B553</f>
        <v>0</v>
      </c>
      <c r="AX553" s="1308">
        <f t="shared" ref="AX553:AX587" si="332">C553</f>
        <v>0</v>
      </c>
      <c r="AY553" s="3137">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4">
        <f t="shared" ref="BT553:BT587" si="354">IF($D553="是",AR553-AS553,0)</f>
        <v>0</v>
      </c>
    </row>
    <row r="554" spans="1:72">
      <c r="A554" s="3089"/>
      <c r="B554" s="3090"/>
      <c r="C554" s="3090"/>
      <c r="D554" s="3091"/>
      <c r="E554" s="3092">
        <f t="shared" si="326"/>
        <v>0</v>
      </c>
      <c r="F554" s="3093"/>
      <c r="G554" s="3094">
        <f t="shared" si="327"/>
        <v>0</v>
      </c>
      <c r="H554" s="3095">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2">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308">
        <f t="shared" si="330"/>
        <v>0</v>
      </c>
      <c r="AW554" s="1308">
        <f t="shared" si="331"/>
        <v>0</v>
      </c>
      <c r="AX554" s="1308">
        <f t="shared" si="332"/>
        <v>0</v>
      </c>
      <c r="AY554" s="3137">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4">
        <f t="shared" si="354"/>
        <v>0</v>
      </c>
    </row>
    <row r="555" spans="1:72">
      <c r="A555" s="3089"/>
      <c r="B555" s="3090"/>
      <c r="C555" s="3090"/>
      <c r="D555" s="3091"/>
      <c r="E555" s="3092">
        <f t="shared" si="326"/>
        <v>0</v>
      </c>
      <c r="F555" s="3093"/>
      <c r="G555" s="3094">
        <f t="shared" si="327"/>
        <v>0</v>
      </c>
      <c r="H555" s="3095">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2">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308">
        <f t="shared" si="330"/>
        <v>0</v>
      </c>
      <c r="AW555" s="1308">
        <f t="shared" si="331"/>
        <v>0</v>
      </c>
      <c r="AX555" s="1308">
        <f t="shared" si="332"/>
        <v>0</v>
      </c>
      <c r="AY555" s="3137">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4">
        <f t="shared" si="354"/>
        <v>0</v>
      </c>
    </row>
    <row r="556" spans="1:72">
      <c r="A556" s="3089"/>
      <c r="B556" s="3090"/>
      <c r="C556" s="3090"/>
      <c r="D556" s="3091"/>
      <c r="E556" s="3092">
        <f t="shared" si="326"/>
        <v>0</v>
      </c>
      <c r="F556" s="3093"/>
      <c r="G556" s="3094">
        <f t="shared" si="327"/>
        <v>0</v>
      </c>
      <c r="H556" s="3095">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2">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308">
        <f t="shared" si="330"/>
        <v>0</v>
      </c>
      <c r="AW556" s="1308">
        <f t="shared" si="331"/>
        <v>0</v>
      </c>
      <c r="AX556" s="1308">
        <f t="shared" si="332"/>
        <v>0</v>
      </c>
      <c r="AY556" s="3137">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4">
        <f t="shared" si="354"/>
        <v>0</v>
      </c>
    </row>
    <row r="557" spans="1:72">
      <c r="A557" s="3089"/>
      <c r="B557" s="3090"/>
      <c r="C557" s="3090"/>
      <c r="D557" s="3091"/>
      <c r="E557" s="3092">
        <f t="shared" si="326"/>
        <v>0</v>
      </c>
      <c r="F557" s="3093"/>
      <c r="G557" s="3094">
        <f t="shared" si="327"/>
        <v>0</v>
      </c>
      <c r="H557" s="3095">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2">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308">
        <f t="shared" si="330"/>
        <v>0</v>
      </c>
      <c r="AW557" s="1308">
        <f t="shared" si="331"/>
        <v>0</v>
      </c>
      <c r="AX557" s="1308">
        <f t="shared" si="332"/>
        <v>0</v>
      </c>
      <c r="AY557" s="3137">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4">
        <f t="shared" si="354"/>
        <v>0</v>
      </c>
    </row>
    <row r="558" spans="1:72">
      <c r="A558" s="3089"/>
      <c r="B558" s="3090"/>
      <c r="C558" s="3090"/>
      <c r="D558" s="3091"/>
      <c r="E558" s="3092">
        <f t="shared" si="326"/>
        <v>0</v>
      </c>
      <c r="F558" s="3093"/>
      <c r="G558" s="3094">
        <f t="shared" si="327"/>
        <v>0</v>
      </c>
      <c r="H558" s="3095">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2">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308">
        <f t="shared" si="330"/>
        <v>0</v>
      </c>
      <c r="AW558" s="1308">
        <f t="shared" si="331"/>
        <v>0</v>
      </c>
      <c r="AX558" s="1308">
        <f t="shared" si="332"/>
        <v>0</v>
      </c>
      <c r="AY558" s="3137">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4">
        <f t="shared" si="354"/>
        <v>0</v>
      </c>
    </row>
    <row r="559" spans="1:72">
      <c r="A559" s="3089"/>
      <c r="B559" s="3090"/>
      <c r="C559" s="3090"/>
      <c r="D559" s="3091"/>
      <c r="E559" s="3092">
        <f t="shared" si="326"/>
        <v>0</v>
      </c>
      <c r="F559" s="3093"/>
      <c r="G559" s="3094">
        <f t="shared" si="327"/>
        <v>0</v>
      </c>
      <c r="H559" s="3095">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2">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308">
        <f t="shared" si="330"/>
        <v>0</v>
      </c>
      <c r="AW559" s="1308">
        <f t="shared" si="331"/>
        <v>0</v>
      </c>
      <c r="AX559" s="1308">
        <f t="shared" si="332"/>
        <v>0</v>
      </c>
      <c r="AY559" s="3137">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4">
        <f t="shared" si="354"/>
        <v>0</v>
      </c>
    </row>
    <row r="560" spans="1:72">
      <c r="A560" s="3089"/>
      <c r="B560" s="3090"/>
      <c r="C560" s="3090"/>
      <c r="D560" s="3091"/>
      <c r="E560" s="3092">
        <f t="shared" si="326"/>
        <v>0</v>
      </c>
      <c r="F560" s="3093"/>
      <c r="G560" s="3094">
        <f t="shared" si="327"/>
        <v>0</v>
      </c>
      <c r="H560" s="3095">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2">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308">
        <f t="shared" si="330"/>
        <v>0</v>
      </c>
      <c r="AW560" s="1308">
        <f t="shared" si="331"/>
        <v>0</v>
      </c>
      <c r="AX560" s="1308">
        <f t="shared" si="332"/>
        <v>0</v>
      </c>
      <c r="AY560" s="3137">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4">
        <f t="shared" si="354"/>
        <v>0</v>
      </c>
    </row>
    <row r="561" spans="1:72">
      <c r="A561" s="3089"/>
      <c r="B561" s="3090"/>
      <c r="C561" s="3090"/>
      <c r="D561" s="3091"/>
      <c r="E561" s="3092">
        <f t="shared" si="326"/>
        <v>0</v>
      </c>
      <c r="F561" s="3093"/>
      <c r="G561" s="3094">
        <f t="shared" si="327"/>
        <v>0</v>
      </c>
      <c r="H561" s="3095">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2">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308">
        <f t="shared" si="330"/>
        <v>0</v>
      </c>
      <c r="AW561" s="1308">
        <f t="shared" si="331"/>
        <v>0</v>
      </c>
      <c r="AX561" s="1308">
        <f t="shared" si="332"/>
        <v>0</v>
      </c>
      <c r="AY561" s="3137">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4">
        <f t="shared" si="354"/>
        <v>0</v>
      </c>
    </row>
    <row r="562" spans="1:72">
      <c r="A562" s="3089"/>
      <c r="B562" s="3090"/>
      <c r="C562" s="3090"/>
      <c r="D562" s="3091"/>
      <c r="E562" s="3092">
        <f t="shared" si="326"/>
        <v>0</v>
      </c>
      <c r="F562" s="3093"/>
      <c r="G562" s="3094">
        <f t="shared" si="327"/>
        <v>0</v>
      </c>
      <c r="H562" s="3095">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2">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308">
        <f t="shared" si="330"/>
        <v>0</v>
      </c>
      <c r="AW562" s="1308">
        <f t="shared" si="331"/>
        <v>0</v>
      </c>
      <c r="AX562" s="1308">
        <f t="shared" si="332"/>
        <v>0</v>
      </c>
      <c r="AY562" s="3137">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4">
        <f t="shared" si="354"/>
        <v>0</v>
      </c>
    </row>
    <row r="563" spans="1:72">
      <c r="A563" s="3089"/>
      <c r="B563" s="3090"/>
      <c r="C563" s="3090"/>
      <c r="D563" s="3091"/>
      <c r="E563" s="3092">
        <f t="shared" si="326"/>
        <v>0</v>
      </c>
      <c r="F563" s="3093"/>
      <c r="G563" s="3094">
        <f t="shared" si="327"/>
        <v>0</v>
      </c>
      <c r="H563" s="3095">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2">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308">
        <f t="shared" si="330"/>
        <v>0</v>
      </c>
      <c r="AW563" s="1308">
        <f t="shared" si="331"/>
        <v>0</v>
      </c>
      <c r="AX563" s="1308">
        <f t="shared" si="332"/>
        <v>0</v>
      </c>
      <c r="AY563" s="3137">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4">
        <f t="shared" si="354"/>
        <v>0</v>
      </c>
    </row>
    <row r="564" spans="1:72">
      <c r="A564" s="3089"/>
      <c r="B564" s="3090"/>
      <c r="C564" s="3090"/>
      <c r="D564" s="3091"/>
      <c r="E564" s="3092">
        <f t="shared" si="326"/>
        <v>0</v>
      </c>
      <c r="F564" s="3093"/>
      <c r="G564" s="3094">
        <f t="shared" si="327"/>
        <v>0</v>
      </c>
      <c r="H564" s="3095">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2">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308">
        <f t="shared" si="330"/>
        <v>0</v>
      </c>
      <c r="AW564" s="1308">
        <f t="shared" si="331"/>
        <v>0</v>
      </c>
      <c r="AX564" s="1308">
        <f t="shared" si="332"/>
        <v>0</v>
      </c>
      <c r="AY564" s="3137">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4">
        <f t="shared" si="354"/>
        <v>0</v>
      </c>
    </row>
    <row r="565" spans="1:72">
      <c r="A565" s="3089"/>
      <c r="B565" s="3090"/>
      <c r="C565" s="3090"/>
      <c r="D565" s="3091"/>
      <c r="E565" s="3092">
        <f t="shared" si="326"/>
        <v>0</v>
      </c>
      <c r="F565" s="3093"/>
      <c r="G565" s="3094">
        <f t="shared" si="327"/>
        <v>0</v>
      </c>
      <c r="H565" s="3095">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2">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308">
        <f t="shared" si="330"/>
        <v>0</v>
      </c>
      <c r="AW565" s="1308">
        <f t="shared" si="331"/>
        <v>0</v>
      </c>
      <c r="AX565" s="1308">
        <f t="shared" si="332"/>
        <v>0</v>
      </c>
      <c r="AY565" s="3137">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4">
        <f t="shared" si="354"/>
        <v>0</v>
      </c>
    </row>
    <row r="566" spans="1:72">
      <c r="A566" s="3089"/>
      <c r="B566" s="3090"/>
      <c r="C566" s="3090"/>
      <c r="D566" s="3091"/>
      <c r="E566" s="3092">
        <f t="shared" si="326"/>
        <v>0</v>
      </c>
      <c r="F566" s="3093"/>
      <c r="G566" s="3094">
        <f t="shared" si="327"/>
        <v>0</v>
      </c>
      <c r="H566" s="3095">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2">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308">
        <f t="shared" si="330"/>
        <v>0</v>
      </c>
      <c r="AW566" s="1308">
        <f t="shared" si="331"/>
        <v>0</v>
      </c>
      <c r="AX566" s="1308">
        <f t="shared" si="332"/>
        <v>0</v>
      </c>
      <c r="AY566" s="3137">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4">
        <f t="shared" si="354"/>
        <v>0</v>
      </c>
    </row>
    <row r="567" spans="1:72">
      <c r="A567" s="3089"/>
      <c r="B567" s="3090"/>
      <c r="C567" s="3090"/>
      <c r="D567" s="3091"/>
      <c r="E567" s="3092">
        <f t="shared" si="326"/>
        <v>0</v>
      </c>
      <c r="F567" s="3093"/>
      <c r="G567" s="3094">
        <f t="shared" si="327"/>
        <v>0</v>
      </c>
      <c r="H567" s="3095">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2">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308">
        <f t="shared" si="330"/>
        <v>0</v>
      </c>
      <c r="AW567" s="1308">
        <f t="shared" si="331"/>
        <v>0</v>
      </c>
      <c r="AX567" s="1308">
        <f t="shared" si="332"/>
        <v>0</v>
      </c>
      <c r="AY567" s="3137">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4">
        <f t="shared" si="354"/>
        <v>0</v>
      </c>
    </row>
    <row r="568" spans="1:72">
      <c r="A568" s="3089"/>
      <c r="B568" s="3090"/>
      <c r="C568" s="3090"/>
      <c r="D568" s="3091"/>
      <c r="E568" s="3092">
        <f t="shared" si="326"/>
        <v>0</v>
      </c>
      <c r="F568" s="3093"/>
      <c r="G568" s="3094">
        <f t="shared" si="327"/>
        <v>0</v>
      </c>
      <c r="H568" s="3095">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2">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308">
        <f t="shared" si="330"/>
        <v>0</v>
      </c>
      <c r="AW568" s="1308">
        <f t="shared" si="331"/>
        <v>0</v>
      </c>
      <c r="AX568" s="1308">
        <f t="shared" si="332"/>
        <v>0</v>
      </c>
      <c r="AY568" s="3137">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4">
        <f t="shared" si="354"/>
        <v>0</v>
      </c>
    </row>
    <row r="569" spans="1:72">
      <c r="A569" s="3089"/>
      <c r="B569" s="3090"/>
      <c r="C569" s="3090"/>
      <c r="D569" s="3091"/>
      <c r="E569" s="3092">
        <f t="shared" si="326"/>
        <v>0</v>
      </c>
      <c r="F569" s="3093"/>
      <c r="G569" s="3094">
        <f t="shared" si="327"/>
        <v>0</v>
      </c>
      <c r="H569" s="3095">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2">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308">
        <f t="shared" si="330"/>
        <v>0</v>
      </c>
      <c r="AW569" s="1308">
        <f t="shared" si="331"/>
        <v>0</v>
      </c>
      <c r="AX569" s="1308">
        <f t="shared" si="332"/>
        <v>0</v>
      </c>
      <c r="AY569" s="3137">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4">
        <f t="shared" si="354"/>
        <v>0</v>
      </c>
    </row>
    <row r="570" spans="1:72">
      <c r="A570" s="3089"/>
      <c r="B570" s="3090"/>
      <c r="C570" s="3090"/>
      <c r="D570" s="3091"/>
      <c r="E570" s="3092">
        <f t="shared" si="326"/>
        <v>0</v>
      </c>
      <c r="F570" s="3093"/>
      <c r="G570" s="3094">
        <f t="shared" si="327"/>
        <v>0</v>
      </c>
      <c r="H570" s="3095">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2">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308">
        <f t="shared" si="330"/>
        <v>0</v>
      </c>
      <c r="AW570" s="1308">
        <f t="shared" si="331"/>
        <v>0</v>
      </c>
      <c r="AX570" s="1308">
        <f t="shared" si="332"/>
        <v>0</v>
      </c>
      <c r="AY570" s="3137">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4">
        <f t="shared" si="354"/>
        <v>0</v>
      </c>
    </row>
    <row r="571" spans="1:72">
      <c r="A571" s="3089"/>
      <c r="B571" s="3090"/>
      <c r="C571" s="3090"/>
      <c r="D571" s="3091"/>
      <c r="E571" s="3092">
        <f t="shared" si="326"/>
        <v>0</v>
      </c>
      <c r="F571" s="3093"/>
      <c r="G571" s="3094">
        <f t="shared" si="327"/>
        <v>0</v>
      </c>
      <c r="H571" s="3095">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2">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308">
        <f t="shared" si="330"/>
        <v>0</v>
      </c>
      <c r="AW571" s="1308">
        <f t="shared" si="331"/>
        <v>0</v>
      </c>
      <c r="AX571" s="1308">
        <f t="shared" si="332"/>
        <v>0</v>
      </c>
      <c r="AY571" s="3137">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4">
        <f t="shared" si="354"/>
        <v>0</v>
      </c>
    </row>
    <row r="572" spans="1:72">
      <c r="A572" s="3089"/>
      <c r="B572" s="3090"/>
      <c r="C572" s="3090"/>
      <c r="D572" s="3091"/>
      <c r="E572" s="3092">
        <f t="shared" si="326"/>
        <v>0</v>
      </c>
      <c r="F572" s="3093"/>
      <c r="G572" s="3094">
        <f t="shared" si="327"/>
        <v>0</v>
      </c>
      <c r="H572" s="3095">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2">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308">
        <f t="shared" si="330"/>
        <v>0</v>
      </c>
      <c r="AW572" s="1308">
        <f t="shared" si="331"/>
        <v>0</v>
      </c>
      <c r="AX572" s="1308">
        <f t="shared" si="332"/>
        <v>0</v>
      </c>
      <c r="AY572" s="3137">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4">
        <f t="shared" si="354"/>
        <v>0</v>
      </c>
    </row>
    <row r="573" spans="1:72">
      <c r="A573" s="3089"/>
      <c r="B573" s="3090"/>
      <c r="C573" s="3090"/>
      <c r="D573" s="3091"/>
      <c r="E573" s="3092">
        <f t="shared" si="326"/>
        <v>0</v>
      </c>
      <c r="F573" s="3093"/>
      <c r="G573" s="3094">
        <f t="shared" si="327"/>
        <v>0</v>
      </c>
      <c r="H573" s="3095">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2">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308">
        <f t="shared" si="330"/>
        <v>0</v>
      </c>
      <c r="AW573" s="1308">
        <f t="shared" si="331"/>
        <v>0</v>
      </c>
      <c r="AX573" s="1308">
        <f t="shared" si="332"/>
        <v>0</v>
      </c>
      <c r="AY573" s="3137">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4">
        <f t="shared" si="354"/>
        <v>0</v>
      </c>
    </row>
    <row r="574" spans="1:72">
      <c r="A574" s="3089"/>
      <c r="B574" s="3090"/>
      <c r="C574" s="3090"/>
      <c r="D574" s="3091"/>
      <c r="E574" s="3092">
        <f t="shared" si="326"/>
        <v>0</v>
      </c>
      <c r="F574" s="3093"/>
      <c r="G574" s="3094">
        <f t="shared" si="327"/>
        <v>0</v>
      </c>
      <c r="H574" s="3095">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2">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308">
        <f t="shared" si="330"/>
        <v>0</v>
      </c>
      <c r="AW574" s="1308">
        <f t="shared" si="331"/>
        <v>0</v>
      </c>
      <c r="AX574" s="1308">
        <f t="shared" si="332"/>
        <v>0</v>
      </c>
      <c r="AY574" s="3137">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4">
        <f t="shared" si="354"/>
        <v>0</v>
      </c>
    </row>
    <row r="575" spans="1:72">
      <c r="A575" s="3089"/>
      <c r="B575" s="3090"/>
      <c r="C575" s="3090"/>
      <c r="D575" s="3091"/>
      <c r="E575" s="3092">
        <f t="shared" si="326"/>
        <v>0</v>
      </c>
      <c r="F575" s="3093"/>
      <c r="G575" s="3094">
        <f t="shared" si="327"/>
        <v>0</v>
      </c>
      <c r="H575" s="3095">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2">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308">
        <f t="shared" si="330"/>
        <v>0</v>
      </c>
      <c r="AW575" s="1308">
        <f t="shared" si="331"/>
        <v>0</v>
      </c>
      <c r="AX575" s="1308">
        <f t="shared" si="332"/>
        <v>0</v>
      </c>
      <c r="AY575" s="3137">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4">
        <f t="shared" si="354"/>
        <v>0</v>
      </c>
    </row>
    <row r="576" spans="1:72">
      <c r="A576" s="3089"/>
      <c r="B576" s="3090"/>
      <c r="C576" s="3090"/>
      <c r="D576" s="3091"/>
      <c r="E576" s="3092">
        <f t="shared" si="326"/>
        <v>0</v>
      </c>
      <c r="F576" s="3093"/>
      <c r="G576" s="3094">
        <f t="shared" si="327"/>
        <v>0</v>
      </c>
      <c r="H576" s="3095">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2">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308">
        <f t="shared" si="330"/>
        <v>0</v>
      </c>
      <c r="AW576" s="1308">
        <f t="shared" si="331"/>
        <v>0</v>
      </c>
      <c r="AX576" s="1308">
        <f t="shared" si="332"/>
        <v>0</v>
      </c>
      <c r="AY576" s="3137">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4">
        <f t="shared" si="354"/>
        <v>0</v>
      </c>
    </row>
    <row r="577" spans="1:72">
      <c r="A577" s="3089"/>
      <c r="B577" s="3090"/>
      <c r="C577" s="3090"/>
      <c r="D577" s="3091"/>
      <c r="E577" s="3092">
        <f t="shared" si="326"/>
        <v>0</v>
      </c>
      <c r="F577" s="3093"/>
      <c r="G577" s="3094">
        <f t="shared" si="327"/>
        <v>0</v>
      </c>
      <c r="H577" s="3095">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2">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308">
        <f t="shared" si="330"/>
        <v>0</v>
      </c>
      <c r="AW577" s="1308">
        <f t="shared" si="331"/>
        <v>0</v>
      </c>
      <c r="AX577" s="1308">
        <f t="shared" si="332"/>
        <v>0</v>
      </c>
      <c r="AY577" s="3137">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4">
        <f t="shared" si="354"/>
        <v>0</v>
      </c>
    </row>
    <row r="578" spans="1:72">
      <c r="A578" s="3089"/>
      <c r="B578" s="3090"/>
      <c r="C578" s="3090"/>
      <c r="D578" s="3091"/>
      <c r="E578" s="3092">
        <f t="shared" si="326"/>
        <v>0</v>
      </c>
      <c r="F578" s="3093"/>
      <c r="G578" s="3094">
        <f t="shared" si="327"/>
        <v>0</v>
      </c>
      <c r="H578" s="3095">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2">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308">
        <f t="shared" si="330"/>
        <v>0</v>
      </c>
      <c r="AW578" s="1308">
        <f t="shared" si="331"/>
        <v>0</v>
      </c>
      <c r="AX578" s="1308">
        <f t="shared" si="332"/>
        <v>0</v>
      </c>
      <c r="AY578" s="3137">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4">
        <f t="shared" si="354"/>
        <v>0</v>
      </c>
    </row>
    <row r="579" spans="1:72">
      <c r="A579" s="3089"/>
      <c r="B579" s="3090"/>
      <c r="C579" s="3090"/>
      <c r="D579" s="3091"/>
      <c r="E579" s="3092">
        <f t="shared" si="326"/>
        <v>0</v>
      </c>
      <c r="F579" s="3093"/>
      <c r="G579" s="3094">
        <f t="shared" si="327"/>
        <v>0</v>
      </c>
      <c r="H579" s="3095">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2">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308">
        <f t="shared" si="330"/>
        <v>0</v>
      </c>
      <c r="AW579" s="1308">
        <f t="shared" si="331"/>
        <v>0</v>
      </c>
      <c r="AX579" s="1308">
        <f t="shared" si="332"/>
        <v>0</v>
      </c>
      <c r="AY579" s="3137">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4">
        <f t="shared" si="354"/>
        <v>0</v>
      </c>
    </row>
    <row r="580" spans="1:72">
      <c r="A580" s="3089"/>
      <c r="B580" s="3090"/>
      <c r="C580" s="3090"/>
      <c r="D580" s="3091"/>
      <c r="E580" s="3092">
        <f t="shared" si="326"/>
        <v>0</v>
      </c>
      <c r="F580" s="3093"/>
      <c r="G580" s="3094">
        <f t="shared" si="327"/>
        <v>0</v>
      </c>
      <c r="H580" s="3095">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2">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308">
        <f t="shared" si="330"/>
        <v>0</v>
      </c>
      <c r="AW580" s="1308">
        <f t="shared" si="331"/>
        <v>0</v>
      </c>
      <c r="AX580" s="1308">
        <f t="shared" si="332"/>
        <v>0</v>
      </c>
      <c r="AY580" s="3137">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4">
        <f t="shared" si="354"/>
        <v>0</v>
      </c>
    </row>
    <row r="581" spans="1:72">
      <c r="A581" s="3089"/>
      <c r="B581" s="3090"/>
      <c r="C581" s="3090"/>
      <c r="D581" s="3091"/>
      <c r="E581" s="3092">
        <f t="shared" si="326"/>
        <v>0</v>
      </c>
      <c r="F581" s="3093"/>
      <c r="G581" s="3094">
        <f t="shared" si="327"/>
        <v>0</v>
      </c>
      <c r="H581" s="3095">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2">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308">
        <f t="shared" si="330"/>
        <v>0</v>
      </c>
      <c r="AW581" s="1308">
        <f t="shared" si="331"/>
        <v>0</v>
      </c>
      <c r="AX581" s="1308">
        <f t="shared" si="332"/>
        <v>0</v>
      </c>
      <c r="AY581" s="3137">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4">
        <f t="shared" si="354"/>
        <v>0</v>
      </c>
    </row>
    <row r="582" spans="1:72">
      <c r="A582" s="3089"/>
      <c r="B582" s="3090"/>
      <c r="C582" s="3090"/>
      <c r="D582" s="3091"/>
      <c r="E582" s="3092">
        <f t="shared" si="326"/>
        <v>0</v>
      </c>
      <c r="F582" s="3093"/>
      <c r="G582" s="3094">
        <f t="shared" si="327"/>
        <v>0</v>
      </c>
      <c r="H582" s="3095">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2">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308">
        <f t="shared" si="330"/>
        <v>0</v>
      </c>
      <c r="AW582" s="1308">
        <f t="shared" si="331"/>
        <v>0</v>
      </c>
      <c r="AX582" s="1308">
        <f t="shared" si="332"/>
        <v>0</v>
      </c>
      <c r="AY582" s="3137">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4">
        <f t="shared" si="354"/>
        <v>0</v>
      </c>
    </row>
    <row r="583" spans="1:72">
      <c r="A583" s="3089"/>
      <c r="B583" s="3090"/>
      <c r="C583" s="3090"/>
      <c r="D583" s="3091"/>
      <c r="E583" s="3092">
        <f t="shared" si="326"/>
        <v>0</v>
      </c>
      <c r="F583" s="3093"/>
      <c r="G583" s="3094">
        <f t="shared" si="327"/>
        <v>0</v>
      </c>
      <c r="H583" s="3095">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2">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308">
        <f t="shared" si="330"/>
        <v>0</v>
      </c>
      <c r="AW583" s="1308">
        <f t="shared" si="331"/>
        <v>0</v>
      </c>
      <c r="AX583" s="1308">
        <f t="shared" si="332"/>
        <v>0</v>
      </c>
      <c r="AY583" s="3137">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4">
        <f t="shared" si="354"/>
        <v>0</v>
      </c>
    </row>
    <row r="584" spans="1:72">
      <c r="A584" s="3089"/>
      <c r="B584" s="3090"/>
      <c r="C584" s="3090"/>
      <c r="D584" s="3091"/>
      <c r="E584" s="3092">
        <f t="shared" si="326"/>
        <v>0</v>
      </c>
      <c r="F584" s="3093"/>
      <c r="G584" s="3094">
        <f t="shared" si="327"/>
        <v>0</v>
      </c>
      <c r="H584" s="3095">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2">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308">
        <f t="shared" si="330"/>
        <v>0</v>
      </c>
      <c r="AW584" s="1308">
        <f t="shared" si="331"/>
        <v>0</v>
      </c>
      <c r="AX584" s="1308">
        <f t="shared" si="332"/>
        <v>0</v>
      </c>
      <c r="AY584" s="3137">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4">
        <f t="shared" si="354"/>
        <v>0</v>
      </c>
    </row>
    <row r="585" spans="1:72">
      <c r="A585" s="3089"/>
      <c r="B585" s="3089"/>
      <c r="C585" s="3089"/>
      <c r="D585" s="3091"/>
      <c r="E585" s="3092">
        <f t="shared" si="326"/>
        <v>0</v>
      </c>
      <c r="F585" s="3145"/>
      <c r="G585" s="3094">
        <f t="shared" si="327"/>
        <v>0</v>
      </c>
      <c r="H585" s="3095">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2">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308">
        <f t="shared" si="330"/>
        <v>0</v>
      </c>
      <c r="AW585" s="1308">
        <f t="shared" si="331"/>
        <v>0</v>
      </c>
      <c r="AX585" s="1308">
        <f t="shared" si="332"/>
        <v>0</v>
      </c>
      <c r="AY585" s="3137">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4">
        <f t="shared" si="354"/>
        <v>0</v>
      </c>
    </row>
    <row r="586" spans="1:72">
      <c r="A586" s="3089"/>
      <c r="B586" s="3089"/>
      <c r="C586" s="3089"/>
      <c r="D586" s="3091"/>
      <c r="E586" s="3092">
        <f t="shared" si="326"/>
        <v>0</v>
      </c>
      <c r="F586" s="3145"/>
      <c r="G586" s="3094">
        <f t="shared" si="327"/>
        <v>0</v>
      </c>
      <c r="H586" s="3095">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2">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308">
        <f t="shared" si="330"/>
        <v>0</v>
      </c>
      <c r="AW586" s="1308">
        <f t="shared" si="331"/>
        <v>0</v>
      </c>
      <c r="AX586" s="1308">
        <f t="shared" si="332"/>
        <v>0</v>
      </c>
      <c r="AY586" s="3137">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4">
        <f t="shared" si="354"/>
        <v>0</v>
      </c>
    </row>
    <row r="587" spans="1:72">
      <c r="A587" s="3089"/>
      <c r="B587" s="3089"/>
      <c r="C587" s="3089"/>
      <c r="D587" s="3091"/>
      <c r="E587" s="3092">
        <f t="shared" si="326"/>
        <v>0</v>
      </c>
      <c r="F587" s="3145"/>
      <c r="G587" s="3094">
        <f t="shared" si="327"/>
        <v>0</v>
      </c>
      <c r="H587" s="3095">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2">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308">
        <f t="shared" si="330"/>
        <v>0</v>
      </c>
      <c r="AW587" s="1308">
        <f t="shared" si="331"/>
        <v>0</v>
      </c>
      <c r="AX587" s="1308">
        <f t="shared" si="332"/>
        <v>0</v>
      </c>
      <c r="AY587" s="3137">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4">
        <f t="shared" si="354"/>
        <v>0</v>
      </c>
    </row>
    <row r="588" spans="1:72" s="3058"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9" customFormat="1">
      <c r="C589" s="3150"/>
      <c r="D589" s="3150"/>
    </row>
    <row r="590" spans="1:72" s="3059" customFormat="1">
      <c r="C590" s="3150"/>
      <c r="D590" s="3150"/>
    </row>
    <row r="593" spans="2:2">
      <c r="B593" s="3150"/>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70" customWidth="1"/>
    <col min="2" max="2" width="10.25" style="2970" customWidth="1"/>
    <col min="3" max="3" width="18.5" style="2970" customWidth="1"/>
    <col min="4" max="4" width="11.625" style="2970" customWidth="1"/>
    <col min="5" max="5" width="13.375" style="2970" customWidth="1"/>
    <col min="6" max="8" width="11.5" style="2970" customWidth="1"/>
    <col min="9" max="9" width="11.125" style="2970" customWidth="1"/>
    <col min="10" max="10" width="3.125" style="2971" customWidth="1"/>
    <col min="11" max="16" width="10" style="2970" customWidth="1"/>
    <col min="17" max="17" width="2.625" style="2970" customWidth="1"/>
    <col min="18" max="18" width="9.375" style="2970" customWidth="1"/>
    <col min="19" max="19" width="10.5" style="2970" customWidth="1"/>
    <col min="20" max="16384" width="9.25" style="2970"/>
  </cols>
  <sheetData>
    <row r="1" spans="1:16" ht="18.75">
      <c r="A1" s="2384" t="s">
        <v>605</v>
      </c>
      <c r="B1" s="2458"/>
      <c r="C1" s="2458"/>
      <c r="D1" s="2458"/>
      <c r="E1" s="2458"/>
      <c r="F1" s="2458"/>
      <c r="G1" s="2458"/>
      <c r="H1" s="2458"/>
      <c r="I1" s="2458"/>
      <c r="J1" s="2458"/>
      <c r="K1" s="2458"/>
      <c r="L1" s="2458"/>
      <c r="M1" s="2458"/>
      <c r="N1" s="2458"/>
      <c r="O1" s="2458"/>
      <c r="P1" s="2458"/>
    </row>
    <row r="2" spans="1:16" ht="15">
      <c r="A2" s="3563" t="s">
        <v>606</v>
      </c>
      <c r="B2" s="3563"/>
      <c r="C2" s="3563"/>
      <c r="D2" s="2250" t="s">
        <v>607</v>
      </c>
      <c r="E2" s="2972" t="s">
        <v>608</v>
      </c>
      <c r="F2" s="2973"/>
      <c r="G2" s="2974"/>
      <c r="H2" s="2975"/>
      <c r="I2" s="2607" t="s">
        <v>609</v>
      </c>
      <c r="J2" s="2973"/>
      <c r="K2" s="2973"/>
      <c r="L2" s="2973"/>
      <c r="M2" s="2973"/>
      <c r="N2" s="1434"/>
      <c r="O2" s="2973"/>
      <c r="P2" s="2973"/>
    </row>
    <row r="3" spans="1:16" ht="15">
      <c r="A3" s="3564" t="s">
        <v>610</v>
      </c>
      <c r="B3" s="3564"/>
      <c r="C3" s="3564"/>
      <c r="D3" s="2976">
        <f>'数据-基础表'!AY6</f>
        <v>0</v>
      </c>
      <c r="E3" s="2976">
        <f>'数据-基础表'!AZ5</f>
        <v>30.6</v>
      </c>
      <c r="F3" s="2973"/>
      <c r="G3" s="2977"/>
      <c r="H3" s="2410" t="s">
        <v>611</v>
      </c>
      <c r="I3" s="3036" t="e">
        <f>ROUND('数据-基础表'!B3/'数据-基础表'!A3,2)</f>
        <v>#DIV/0!</v>
      </c>
      <c r="J3" s="2973"/>
      <c r="K3" s="2973"/>
      <c r="L3" s="2973"/>
      <c r="M3" s="2973"/>
      <c r="N3" s="1434"/>
      <c r="O3" s="2973"/>
      <c r="P3" s="2973"/>
    </row>
    <row r="4" spans="1:16" ht="15">
      <c r="A4" s="3565"/>
      <c r="B4" s="3566"/>
      <c r="C4" s="3567"/>
      <c r="D4" s="2978" t="s">
        <v>607</v>
      </c>
      <c r="E4" s="2979" t="s">
        <v>608</v>
      </c>
      <c r="F4" s="2973"/>
      <c r="G4" s="2980" t="s">
        <v>612</v>
      </c>
      <c r="H4" s="2410" t="s">
        <v>613</v>
      </c>
      <c r="I4" s="3036" t="e">
        <f>ROUND(SUMIF('数据-基础表'!I9:AS9,"地上",'数据-基础表'!I5:AS5)/'数据-基础表'!A3,2)</f>
        <v>#DIV/0!</v>
      </c>
      <c r="J4" s="2973"/>
      <c r="K4" s="2973"/>
      <c r="L4" s="2973"/>
      <c r="M4" s="2973"/>
      <c r="N4" s="1434"/>
      <c r="O4" s="2973"/>
      <c r="P4" s="2973"/>
    </row>
    <row r="5" spans="1:16">
      <c r="A5" s="2981" t="s">
        <v>614</v>
      </c>
      <c r="B5" s="3568" t="s">
        <v>615</v>
      </c>
      <c r="C5" s="3568"/>
      <c r="D5" s="2982">
        <f>ROUND($D$3*E5/$E$3,2)</f>
        <v>0</v>
      </c>
      <c r="E5" s="2983">
        <f>SUMIF('数据-基础表'!$11:$11,"住宅",'数据-基础表'!$5:$5)</f>
        <v>0</v>
      </c>
      <c r="F5" s="2973"/>
      <c r="G5" s="2977"/>
      <c r="H5" s="2410" t="s">
        <v>611</v>
      </c>
      <c r="I5" s="3036" t="e">
        <f>ROUND(E31/D31,2)</f>
        <v>#DIV/0!</v>
      </c>
      <c r="J5" s="2973"/>
      <c r="K5" s="2973"/>
      <c r="L5" s="2973"/>
      <c r="M5" s="2973"/>
      <c r="N5" s="2973"/>
      <c r="O5" s="2973"/>
      <c r="P5" s="2973"/>
    </row>
    <row r="6" spans="1:16">
      <c r="A6" s="2984"/>
      <c r="B6" s="3568" t="s">
        <v>616</v>
      </c>
      <c r="C6" s="3568"/>
      <c r="D6" s="2982">
        <f>ROUND($D$3*E6/$E$3,2)</f>
        <v>0</v>
      </c>
      <c r="E6" s="2983">
        <f>E3-E5</f>
        <v>30.6</v>
      </c>
      <c r="F6" s="2973"/>
      <c r="G6" s="2985" t="s">
        <v>617</v>
      </c>
      <c r="H6" s="2986" t="s">
        <v>613</v>
      </c>
      <c r="I6" s="3037" t="e">
        <f>ROUND(F31/D31,2)</f>
        <v>#DIV/0!</v>
      </c>
      <c r="J6" s="2973"/>
      <c r="K6" s="2973"/>
      <c r="L6" s="2973"/>
      <c r="M6" s="2973"/>
      <c r="N6" s="2973"/>
      <c r="O6" s="2973"/>
      <c r="P6" s="2973"/>
    </row>
    <row r="7" spans="1:16" ht="15">
      <c r="A7" s="3569"/>
      <c r="B7" s="3570"/>
      <c r="C7" s="3571"/>
      <c r="D7" s="2978" t="s">
        <v>607</v>
      </c>
      <c r="E7" s="2987" t="s">
        <v>618</v>
      </c>
      <c r="F7" s="2973"/>
      <c r="G7" s="2988" t="s">
        <v>619</v>
      </c>
      <c r="H7" s="2989"/>
      <c r="I7" s="3038"/>
      <c r="J7" s="2973"/>
      <c r="K7" s="2973"/>
      <c r="L7" s="2973"/>
      <c r="M7" s="2973"/>
      <c r="N7" s="2973"/>
      <c r="O7" s="2973"/>
      <c r="P7" s="2973"/>
    </row>
    <row r="8" spans="1:16">
      <c r="A8" s="2981" t="s">
        <v>620</v>
      </c>
      <c r="B8" s="2990" t="s">
        <v>621</v>
      </c>
      <c r="C8" s="2982" t="s">
        <v>622</v>
      </c>
      <c r="D8" s="2982">
        <f t="shared" ref="D8:D15" si="0">ROUND($D$3*E8/$E$3,2)</f>
        <v>0</v>
      </c>
      <c r="E8" s="2991">
        <f>SUMIF('数据-基础表'!BB10:BK10,"地上",'数据-基础表'!BB5:BK5)</f>
        <v>0</v>
      </c>
      <c r="F8" s="2973"/>
      <c r="G8" s="2992"/>
      <c r="H8" s="2992"/>
      <c r="I8" s="2973"/>
      <c r="J8" s="2973"/>
      <c r="K8" s="2973"/>
      <c r="L8" s="2973"/>
      <c r="M8" s="2973"/>
      <c r="N8" s="2973"/>
      <c r="O8" s="2973"/>
      <c r="P8" s="2973"/>
    </row>
    <row r="9" spans="1:16">
      <c r="A9" s="2993"/>
      <c r="B9" s="2994"/>
      <c r="C9" s="2982" t="s">
        <v>623</v>
      </c>
      <c r="D9" s="2982">
        <f t="shared" si="0"/>
        <v>0</v>
      </c>
      <c r="E9" s="2995">
        <v>0</v>
      </c>
      <c r="F9" s="2973"/>
      <c r="G9" s="2992"/>
      <c r="H9" s="2992"/>
      <c r="I9" s="2973"/>
      <c r="J9" s="2973"/>
      <c r="K9" s="2973"/>
      <c r="L9" s="2973"/>
      <c r="M9" s="2973"/>
      <c r="N9" s="2973"/>
      <c r="O9" s="2973"/>
      <c r="P9" s="2973"/>
    </row>
    <row r="10" spans="1:16">
      <c r="A10" s="2993"/>
      <c r="B10" s="2994"/>
      <c r="C10" s="2982" t="s">
        <v>624</v>
      </c>
      <c r="D10" s="2982">
        <f t="shared" si="0"/>
        <v>0</v>
      </c>
      <c r="E10" s="2991">
        <f>SUMPRODUCT(('数据-基础表'!BB10:BK10="地下")*('数据-基础表'!BB11:BK11="商业")*('数据-基础表'!BB5:BK5))</f>
        <v>0</v>
      </c>
      <c r="F10" s="2973"/>
      <c r="G10" s="2992"/>
      <c r="H10" s="2992"/>
      <c r="I10" s="2973"/>
      <c r="J10" s="2973"/>
      <c r="K10" s="2973"/>
      <c r="L10" s="2973"/>
      <c r="M10" s="2973"/>
      <c r="N10" s="2973"/>
      <c r="O10" s="2973"/>
      <c r="P10" s="2973"/>
    </row>
    <row r="11" spans="1:16">
      <c r="A11" s="2993"/>
      <c r="B11" s="2994"/>
      <c r="C11" s="2982" t="s">
        <v>625</v>
      </c>
      <c r="D11" s="2982">
        <f t="shared" si="0"/>
        <v>0</v>
      </c>
      <c r="E11" s="2991">
        <f>SUMPRODUCT(('数据-基础表'!BB10:BK10="地下")*('数据-基础表'!BB11:BK11="办公")*('数据-基础表'!BB5:BK5))+'数据-基础表'!BP5</f>
        <v>0</v>
      </c>
      <c r="F11" s="2973"/>
      <c r="G11" s="2992"/>
      <c r="H11" s="2992"/>
      <c r="I11" s="2973"/>
      <c r="J11" s="2973"/>
      <c r="K11" s="2973"/>
      <c r="L11" s="2973"/>
      <c r="M11" s="2973"/>
      <c r="N11" s="2973"/>
      <c r="O11" s="2973"/>
      <c r="P11" s="2973"/>
    </row>
    <row r="12" spans="1:16">
      <c r="A12" s="2993"/>
      <c r="B12" s="2994"/>
      <c r="C12" s="2982" t="s">
        <v>626</v>
      </c>
      <c r="D12" s="2982">
        <f t="shared" si="0"/>
        <v>0</v>
      </c>
      <c r="E12" s="2991">
        <f>SUMPRODUCT(('数据-基础表'!BB10:BK10="地下")*('数据-基础表'!BB11:BK11="仓储")*('数据-基础表'!BB5:BK5))</f>
        <v>0</v>
      </c>
      <c r="F12" s="2973"/>
      <c r="G12" s="2992"/>
      <c r="H12" s="2992"/>
      <c r="I12" s="2973"/>
      <c r="J12" s="2973"/>
      <c r="K12" s="2973"/>
      <c r="L12" s="2973"/>
      <c r="M12" s="2973"/>
      <c r="N12" s="2973"/>
      <c r="O12" s="2973"/>
      <c r="P12" s="2973"/>
    </row>
    <row r="13" spans="1:16">
      <c r="A13" s="2993"/>
      <c r="B13" s="2994"/>
      <c r="C13" s="2982" t="s">
        <v>627</v>
      </c>
      <c r="D13" s="2982">
        <f t="shared" si="0"/>
        <v>0</v>
      </c>
      <c r="E13" s="2991">
        <f>SUMPRODUCT(('数据-基础表'!BB10:BK10="地下")*('数据-基础表'!BB11:BK11="车库")*('数据-基础表'!BB5:BK5))</f>
        <v>30.6</v>
      </c>
      <c r="F13" s="2973"/>
      <c r="G13" s="2992"/>
      <c r="H13" s="2992"/>
      <c r="I13" s="2973"/>
      <c r="J13" s="2973"/>
      <c r="K13" s="2973"/>
      <c r="L13" s="2973"/>
      <c r="M13" s="2973"/>
      <c r="N13" s="2973"/>
      <c r="O13" s="2973"/>
      <c r="P13" s="2973"/>
    </row>
    <row r="14" spans="1:16">
      <c r="A14" s="2993"/>
      <c r="B14" s="2994"/>
      <c r="C14" s="2982" t="s">
        <v>628</v>
      </c>
      <c r="D14" s="2982">
        <f t="shared" si="0"/>
        <v>0</v>
      </c>
      <c r="E14" s="2991">
        <f>SUMPRODUCT(('数据-基础表'!BB10:BK10="地下")*('数据-基础表'!BB11:BK11="车库—商业")*('数据-基础表'!BB5:BK5))</f>
        <v>0</v>
      </c>
      <c r="F14" s="2973"/>
      <c r="G14" s="2992"/>
      <c r="H14" s="2992"/>
      <c r="I14" s="2973"/>
      <c r="J14" s="2973"/>
      <c r="K14" s="2973"/>
      <c r="L14" s="2973"/>
      <c r="M14" s="2973"/>
      <c r="N14" s="2973"/>
      <c r="O14" s="2973"/>
      <c r="P14" s="2973"/>
    </row>
    <row r="15" spans="1:16">
      <c r="A15" s="2993"/>
      <c r="B15" s="2994"/>
      <c r="C15" s="2982" t="s">
        <v>629</v>
      </c>
      <c r="D15" s="2982">
        <f t="shared" si="0"/>
        <v>0</v>
      </c>
      <c r="E15" s="2991">
        <f>SUMPRODUCT(('数据-基础表'!BB10:BK10="地下")*('数据-基础表'!BB11:BK11="车库—办公")*('数据-基础表'!BB5:BK5))</f>
        <v>0</v>
      </c>
      <c r="F15" s="2973"/>
      <c r="G15" s="2992"/>
      <c r="H15" s="2992"/>
      <c r="I15" s="2973"/>
      <c r="J15" s="2973"/>
      <c r="K15" s="2973"/>
      <c r="L15" s="2973"/>
      <c r="M15" s="2973"/>
      <c r="N15" s="2973"/>
      <c r="O15" s="2973"/>
      <c r="P15" s="2973"/>
    </row>
    <row r="16" spans="1:16" ht="15">
      <c r="A16" s="2984"/>
      <c r="B16" s="2994"/>
      <c r="C16" s="2990" t="s">
        <v>630</v>
      </c>
      <c r="D16" s="2990">
        <f>SUM(D8:D15)</f>
        <v>0</v>
      </c>
      <c r="E16" s="2996">
        <f>SUM(E8:E15)</f>
        <v>30.6</v>
      </c>
      <c r="F16" s="2973"/>
      <c r="G16" s="2992"/>
      <c r="H16" s="2997" t="s">
        <v>631</v>
      </c>
      <c r="I16" s="3039"/>
      <c r="J16" s="2458"/>
      <c r="K16" s="3572" t="s">
        <v>631</v>
      </c>
      <c r="L16" s="3573"/>
      <c r="M16" s="3573"/>
      <c r="N16" s="3573"/>
      <c r="O16" s="3573"/>
      <c r="P16" s="3574"/>
    </row>
    <row r="17" spans="1:19" ht="15">
      <c r="A17" s="2932" t="s">
        <v>632</v>
      </c>
      <c r="B17" s="2998" t="s">
        <v>633</v>
      </c>
      <c r="C17" s="2931" t="s">
        <v>634</v>
      </c>
      <c r="D17" s="2999" t="s">
        <v>607</v>
      </c>
      <c r="E17" s="3000" t="s">
        <v>608</v>
      </c>
      <c r="F17" s="3001"/>
      <c r="G17" s="3002"/>
      <c r="H17" s="3003" t="s">
        <v>635</v>
      </c>
      <c r="I17" s="3040" t="s">
        <v>636</v>
      </c>
      <c r="J17" s="2458"/>
      <c r="K17" s="3575" t="s">
        <v>637</v>
      </c>
      <c r="L17" s="3576"/>
      <c r="M17" s="3577"/>
      <c r="N17" s="3575" t="s">
        <v>638</v>
      </c>
      <c r="O17" s="3576"/>
      <c r="P17" s="3577"/>
      <c r="R17" s="3053" t="s">
        <v>639</v>
      </c>
      <c r="S17" s="2399"/>
    </row>
    <row r="18" spans="1:19" ht="15">
      <c r="A18" s="2993"/>
      <c r="B18" s="3004"/>
      <c r="C18" s="3005"/>
      <c r="D18" s="3006"/>
      <c r="E18" s="3007" t="s">
        <v>640</v>
      </c>
      <c r="F18" s="3008" t="s">
        <v>613</v>
      </c>
      <c r="G18" s="3009" t="s">
        <v>641</v>
      </c>
      <c r="H18" s="2937" t="s">
        <v>642</v>
      </c>
      <c r="I18" s="3041" t="s">
        <v>643</v>
      </c>
      <c r="J18" s="2458"/>
      <c r="K18" s="2937" t="s">
        <v>644</v>
      </c>
      <c r="L18" s="2620" t="s">
        <v>645</v>
      </c>
      <c r="M18" s="3036" t="s">
        <v>646</v>
      </c>
      <c r="N18" s="2937" t="s">
        <v>644</v>
      </c>
      <c r="O18" s="2620" t="s">
        <v>645</v>
      </c>
      <c r="P18" s="3036" t="s">
        <v>646</v>
      </c>
      <c r="R18" s="2410" t="s">
        <v>642</v>
      </c>
      <c r="S18" s="2410" t="s">
        <v>643</v>
      </c>
    </row>
    <row r="19" spans="1:19">
      <c r="A19" s="3010"/>
      <c r="B19" s="2990" t="s">
        <v>647</v>
      </c>
      <c r="C19" s="3011" t="s">
        <v>648</v>
      </c>
      <c r="D19" s="2982">
        <f>ROUND($D$3*E19/$E$3,2)</f>
        <v>0</v>
      </c>
      <c r="E19" s="3012">
        <f t="shared" ref="E19:E26" si="1">SUM(F19:G19)</f>
        <v>30.6</v>
      </c>
      <c r="F19" s="3013"/>
      <c r="G19" s="3014">
        <f>'数据-基础表'!I13</f>
        <v>30.6</v>
      </c>
      <c r="H19" s="2921">
        <f>ROUND($D$3*I19/$E$3,2)</f>
        <v>0</v>
      </c>
      <c r="I19" s="2991">
        <f t="shared" ref="I19:I26" si="2">IF($I$17="自定义",P19,M19)</f>
        <v>0</v>
      </c>
      <c r="J19" s="2458"/>
      <c r="K19" s="3042">
        <f t="shared" ref="K19:K26" si="3">ROUND(E$28*E19/E$27,2)</f>
        <v>0</v>
      </c>
      <c r="L19" s="2410">
        <f t="shared" ref="L19:L26" si="4">ROUND(IF(COUNTIF(C19,"*住宅*")&gt;0,E$29*E19/E$32,0),2)</f>
        <v>0</v>
      </c>
      <c r="M19" s="3043">
        <f>K19+L19</f>
        <v>0</v>
      </c>
      <c r="N19" s="3044"/>
      <c r="O19" s="3045"/>
      <c r="P19" s="3043">
        <f>N19+O19</f>
        <v>0</v>
      </c>
      <c r="R19" s="2410">
        <f t="shared" ref="R19:S26" si="5">D19+H19</f>
        <v>0</v>
      </c>
      <c r="S19" s="3054">
        <f t="shared" si="5"/>
        <v>30.6</v>
      </c>
    </row>
    <row r="20" spans="1:19">
      <c r="A20" s="3015"/>
      <c r="B20" s="2990" t="s">
        <v>647</v>
      </c>
      <c r="C20" s="3011"/>
      <c r="D20" s="2982">
        <f t="shared" ref="D20:D26" si="6">ROUND($D$3*E20/$E$3,2)</f>
        <v>0</v>
      </c>
      <c r="E20" s="3012">
        <f t="shared" si="1"/>
        <v>0</v>
      </c>
      <c r="F20" s="3013"/>
      <c r="G20" s="3014"/>
      <c r="H20" s="2921">
        <f t="shared" ref="H20:H26" si="7">ROUND($D$3*I20/$E$3,2)</f>
        <v>0</v>
      </c>
      <c r="I20" s="2991">
        <f t="shared" si="2"/>
        <v>0</v>
      </c>
      <c r="J20" s="2458"/>
      <c r="K20" s="3042">
        <f t="shared" si="3"/>
        <v>0</v>
      </c>
      <c r="L20" s="2410">
        <f t="shared" si="4"/>
        <v>0</v>
      </c>
      <c r="M20" s="3043">
        <f t="shared" ref="M20:M26" si="8">K20+L20</f>
        <v>0</v>
      </c>
      <c r="N20" s="3044"/>
      <c r="O20" s="3045"/>
      <c r="P20" s="3043">
        <f t="shared" ref="P20:P26" si="9">N20+O20</f>
        <v>0</v>
      </c>
      <c r="R20" s="2410">
        <f t="shared" si="5"/>
        <v>0</v>
      </c>
      <c r="S20" s="3054">
        <f t="shared" si="5"/>
        <v>0</v>
      </c>
    </row>
    <row r="21" spans="1:19">
      <c r="A21" s="3015"/>
      <c r="B21" s="2990" t="s">
        <v>647</v>
      </c>
      <c r="C21" s="3011"/>
      <c r="D21" s="2982">
        <f t="shared" si="6"/>
        <v>0</v>
      </c>
      <c r="E21" s="3012">
        <f t="shared" si="1"/>
        <v>0</v>
      </c>
      <c r="F21" s="3013"/>
      <c r="G21" s="3014"/>
      <c r="H21" s="2921">
        <f t="shared" si="7"/>
        <v>0</v>
      </c>
      <c r="I21" s="2991">
        <f t="shared" si="2"/>
        <v>0</v>
      </c>
      <c r="J21" s="2458"/>
      <c r="K21" s="3042">
        <f t="shared" si="3"/>
        <v>0</v>
      </c>
      <c r="L21" s="2410">
        <f t="shared" si="4"/>
        <v>0</v>
      </c>
      <c r="M21" s="3043">
        <f t="shared" si="8"/>
        <v>0</v>
      </c>
      <c r="N21" s="3044"/>
      <c r="O21" s="3045"/>
      <c r="P21" s="3043">
        <f t="shared" si="9"/>
        <v>0</v>
      </c>
      <c r="R21" s="2410">
        <f t="shared" si="5"/>
        <v>0</v>
      </c>
      <c r="S21" s="3054">
        <f t="shared" si="5"/>
        <v>0</v>
      </c>
    </row>
    <row r="22" spans="1:19">
      <c r="A22" s="3015"/>
      <c r="B22" s="2990" t="s">
        <v>647</v>
      </c>
      <c r="C22" s="3016"/>
      <c r="D22" s="2982">
        <f t="shared" si="6"/>
        <v>0</v>
      </c>
      <c r="E22" s="3012">
        <f t="shared" si="1"/>
        <v>0</v>
      </c>
      <c r="F22" s="3017"/>
      <c r="G22" s="3018"/>
      <c r="H22" s="2921">
        <f t="shared" si="7"/>
        <v>0</v>
      </c>
      <c r="I22" s="2991">
        <f t="shared" si="2"/>
        <v>0</v>
      </c>
      <c r="J22" s="2458"/>
      <c r="K22" s="3042">
        <f t="shared" si="3"/>
        <v>0</v>
      </c>
      <c r="L22" s="2410">
        <f t="shared" si="4"/>
        <v>0</v>
      </c>
      <c r="M22" s="3043">
        <f t="shared" si="8"/>
        <v>0</v>
      </c>
      <c r="N22" s="3044"/>
      <c r="O22" s="3045"/>
      <c r="P22" s="3043">
        <f t="shared" si="9"/>
        <v>0</v>
      </c>
      <c r="R22" s="2410">
        <f t="shared" si="5"/>
        <v>0</v>
      </c>
      <c r="S22" s="3054">
        <f t="shared" si="5"/>
        <v>0</v>
      </c>
    </row>
    <row r="23" spans="1:19">
      <c r="A23" s="3015"/>
      <c r="B23" s="2990" t="s">
        <v>647</v>
      </c>
      <c r="C23" s="3016"/>
      <c r="D23" s="2982">
        <f t="shared" si="6"/>
        <v>0</v>
      </c>
      <c r="E23" s="3012">
        <f t="shared" si="1"/>
        <v>0</v>
      </c>
      <c r="F23" s="3017"/>
      <c r="G23" s="3018"/>
      <c r="H23" s="2921">
        <f t="shared" si="7"/>
        <v>0</v>
      </c>
      <c r="I23" s="2991">
        <f t="shared" si="2"/>
        <v>0</v>
      </c>
      <c r="J23" s="2458"/>
      <c r="K23" s="3042">
        <f t="shared" si="3"/>
        <v>0</v>
      </c>
      <c r="L23" s="2410">
        <f t="shared" si="4"/>
        <v>0</v>
      </c>
      <c r="M23" s="3043">
        <f t="shared" si="8"/>
        <v>0</v>
      </c>
      <c r="N23" s="3044"/>
      <c r="O23" s="3045"/>
      <c r="P23" s="3043">
        <f t="shared" si="9"/>
        <v>0</v>
      </c>
      <c r="R23" s="2410">
        <f t="shared" si="5"/>
        <v>0</v>
      </c>
      <c r="S23" s="3054">
        <f t="shared" si="5"/>
        <v>0</v>
      </c>
    </row>
    <row r="24" spans="1:19">
      <c r="A24" s="3015"/>
      <c r="B24" s="2990" t="s">
        <v>647</v>
      </c>
      <c r="C24" s="3016"/>
      <c r="D24" s="2982">
        <f t="shared" si="6"/>
        <v>0</v>
      </c>
      <c r="E24" s="3012">
        <f t="shared" si="1"/>
        <v>0</v>
      </c>
      <c r="F24" s="3017"/>
      <c r="G24" s="3018"/>
      <c r="H24" s="2921">
        <f t="shared" si="7"/>
        <v>0</v>
      </c>
      <c r="I24" s="2991">
        <f t="shared" si="2"/>
        <v>0</v>
      </c>
      <c r="J24" s="2458"/>
      <c r="K24" s="3042">
        <f t="shared" si="3"/>
        <v>0</v>
      </c>
      <c r="L24" s="2410">
        <f t="shared" si="4"/>
        <v>0</v>
      </c>
      <c r="M24" s="3043">
        <f t="shared" si="8"/>
        <v>0</v>
      </c>
      <c r="N24" s="3044"/>
      <c r="O24" s="3045"/>
      <c r="P24" s="3043">
        <f t="shared" si="9"/>
        <v>0</v>
      </c>
      <c r="R24" s="2410">
        <f t="shared" si="5"/>
        <v>0</v>
      </c>
      <c r="S24" s="3054">
        <f t="shared" si="5"/>
        <v>0</v>
      </c>
    </row>
    <row r="25" spans="1:19">
      <c r="A25" s="3015"/>
      <c r="B25" s="2990" t="s">
        <v>647</v>
      </c>
      <c r="C25" s="3016"/>
      <c r="D25" s="2982">
        <f t="shared" si="6"/>
        <v>0</v>
      </c>
      <c r="E25" s="3012">
        <f t="shared" si="1"/>
        <v>0</v>
      </c>
      <c r="F25" s="3017"/>
      <c r="G25" s="3018"/>
      <c r="H25" s="2981">
        <f t="shared" si="7"/>
        <v>0</v>
      </c>
      <c r="I25" s="2991">
        <f t="shared" si="2"/>
        <v>0</v>
      </c>
      <c r="J25" s="2458"/>
      <c r="K25" s="3042">
        <f t="shared" si="3"/>
        <v>0</v>
      </c>
      <c r="L25" s="2410">
        <f t="shared" si="4"/>
        <v>0</v>
      </c>
      <c r="M25" s="3043">
        <f t="shared" si="8"/>
        <v>0</v>
      </c>
      <c r="N25" s="3044"/>
      <c r="O25" s="3045"/>
      <c r="P25" s="3043">
        <f t="shared" si="9"/>
        <v>0</v>
      </c>
      <c r="R25" s="2410">
        <f t="shared" si="5"/>
        <v>0</v>
      </c>
      <c r="S25" s="3054">
        <f t="shared" si="5"/>
        <v>0</v>
      </c>
    </row>
    <row r="26" spans="1:19">
      <c r="A26" s="3015"/>
      <c r="B26" s="2990" t="s">
        <v>647</v>
      </c>
      <c r="C26" s="3019"/>
      <c r="D26" s="2982">
        <f t="shared" si="6"/>
        <v>0</v>
      </c>
      <c r="E26" s="3012">
        <f t="shared" si="1"/>
        <v>0</v>
      </c>
      <c r="F26" s="3017"/>
      <c r="G26" s="3018"/>
      <c r="H26" s="2981">
        <f t="shared" si="7"/>
        <v>0</v>
      </c>
      <c r="I26" s="2991">
        <f t="shared" si="2"/>
        <v>0</v>
      </c>
      <c r="J26" s="2458"/>
      <c r="K26" s="2977">
        <f t="shared" si="3"/>
        <v>0</v>
      </c>
      <c r="L26" s="2986">
        <f t="shared" si="4"/>
        <v>0</v>
      </c>
      <c r="M26" s="3026">
        <f t="shared" si="8"/>
        <v>0</v>
      </c>
      <c r="N26" s="3046"/>
      <c r="O26" s="3047"/>
      <c r="P26" s="3026">
        <f t="shared" si="9"/>
        <v>0</v>
      </c>
      <c r="R26" s="2410">
        <f t="shared" si="5"/>
        <v>0</v>
      </c>
      <c r="S26" s="3054">
        <f t="shared" si="5"/>
        <v>0</v>
      </c>
    </row>
    <row r="27" spans="1:19" ht="15">
      <c r="A27" s="3015"/>
      <c r="B27" s="2982"/>
      <c r="C27" s="2610" t="s">
        <v>649</v>
      </c>
      <c r="D27" s="3020">
        <f>SUM(D19:D26)</f>
        <v>0</v>
      </c>
      <c r="E27" s="3021">
        <f>IF(SUM(E19:E26)='数据-基础表'!BA5,SUM(E19:E26),IF(F27="地上面积有误","面积有误","地下面积有误"))</f>
        <v>30.6</v>
      </c>
      <c r="F27" s="3020">
        <f>IF(SUM(F19:F26)=E8,SUM(F19:F26),"地上面积有误")</f>
        <v>0</v>
      </c>
      <c r="G27" s="3022">
        <f>SUM(G19:G26)</f>
        <v>30.6</v>
      </c>
      <c r="H27" s="3023">
        <f>SUM(H19:H26)</f>
        <v>0</v>
      </c>
      <c r="I27" s="3048">
        <f>SUM(I19:I26)</f>
        <v>0</v>
      </c>
      <c r="J27" s="2458"/>
      <c r="K27" s="3049">
        <f>SUM(K19:K26)</f>
        <v>0</v>
      </c>
      <c r="L27" s="3050">
        <f>SUM(L19:L26)</f>
        <v>0</v>
      </c>
      <c r="M27" s="3051">
        <f>SUM(M19:M26)</f>
        <v>0</v>
      </c>
      <c r="N27" s="3049">
        <f t="shared" ref="N27:P27" si="10">SUM(N19:N26)</f>
        <v>0</v>
      </c>
      <c r="O27" s="3050">
        <f t="shared" si="10"/>
        <v>0</v>
      </c>
      <c r="P27" s="3052">
        <f t="shared" si="10"/>
        <v>0</v>
      </c>
      <c r="R27" s="2964">
        <f>IF(SUM(R19:R26)=$D$3,SUM(R19:R26),SUM(R19:R26)&amp;"误差"&amp;ROUND(SUM(R19:R26)-$D$3,2))</f>
        <v>0</v>
      </c>
      <c r="S27" s="2410">
        <f>IF(SUM(S19:S26)=$E$3,SUM(S19:S26),SUM(S19:S26)&amp;"误差"&amp;ROUND(SUM(S19:S26)-E3,2))</f>
        <v>30.6</v>
      </c>
    </row>
    <row r="28" spans="1:19">
      <c r="A28" s="3015"/>
      <c r="B28" s="2990" t="s">
        <v>650</v>
      </c>
      <c r="C28" s="2940" t="s">
        <v>651</v>
      </c>
      <c r="D28" s="2982">
        <f>ROUND($D$3*E28/$E$3,2)</f>
        <v>0</v>
      </c>
      <c r="E28" s="3012">
        <f>SUM(F28:G28)</f>
        <v>0</v>
      </c>
      <c r="F28" s="2399">
        <f>'数据-基础表'!BQ5+'数据-基础表'!BS5</f>
        <v>0</v>
      </c>
      <c r="G28" s="3024">
        <f>'数据-基础表'!BR5+'数据-基础表'!BT5</f>
        <v>0</v>
      </c>
      <c r="H28" s="2973"/>
      <c r="I28" s="2973"/>
      <c r="J28" s="2973"/>
      <c r="K28" s="2973"/>
      <c r="L28" s="2973"/>
      <c r="M28" s="2973"/>
      <c r="N28" s="2973"/>
      <c r="O28" s="2973"/>
      <c r="P28" s="2973"/>
    </row>
    <row r="29" spans="1:19">
      <c r="A29" s="3015"/>
      <c r="B29" s="2990" t="s">
        <v>650</v>
      </c>
      <c r="C29" s="2456" t="s">
        <v>652</v>
      </c>
      <c r="D29" s="2982">
        <f>ROUND($D$3*E29/$E$3,2)</f>
        <v>0</v>
      </c>
      <c r="E29" s="3012">
        <f>SUM(F29:G29)</f>
        <v>0</v>
      </c>
      <c r="F29" s="3025">
        <f>'数据-基础表'!BM5+'数据-基础表'!BO5</f>
        <v>0</v>
      </c>
      <c r="G29" s="3026">
        <f>'数据-基础表'!BN5+'数据-基础表'!BP5</f>
        <v>0</v>
      </c>
      <c r="H29" s="2973"/>
      <c r="I29" s="2973"/>
      <c r="J29" s="2973"/>
      <c r="K29" s="2973"/>
      <c r="L29" s="2973"/>
      <c r="M29" s="2973"/>
      <c r="N29" s="2973"/>
      <c r="O29" s="2973"/>
      <c r="P29" s="2973"/>
    </row>
    <row r="30" spans="1:19" ht="15">
      <c r="A30" s="3015"/>
      <c r="B30" s="2990"/>
      <c r="C30" s="3027" t="s">
        <v>649</v>
      </c>
      <c r="D30" s="3020">
        <f>SUM(D28:D29)</f>
        <v>0</v>
      </c>
      <c r="E30" s="3020">
        <f>SUM(E28:E29)</f>
        <v>0</v>
      </c>
      <c r="F30" s="3020">
        <f>SUM(F28:F29)</f>
        <v>0</v>
      </c>
      <c r="G30" s="3022">
        <f>SUM(G28:G29)</f>
        <v>0</v>
      </c>
      <c r="H30" s="2973"/>
      <c r="I30" s="2973"/>
      <c r="J30" s="2973"/>
      <c r="K30" s="2973"/>
      <c r="L30" s="2973"/>
      <c r="M30" s="2973"/>
      <c r="N30" s="2973"/>
      <c r="O30" s="2973"/>
      <c r="P30" s="2973"/>
    </row>
    <row r="31" spans="1:19" ht="15">
      <c r="A31" s="3028"/>
      <c r="B31" s="3029"/>
      <c r="C31" s="2292" t="s">
        <v>653</v>
      </c>
      <c r="D31" s="3030">
        <f>D27+D30</f>
        <v>0</v>
      </c>
      <c r="E31" s="3030">
        <f>E27+E30</f>
        <v>30.6</v>
      </c>
      <c r="F31" s="3031">
        <f>F27+F30</f>
        <v>0</v>
      </c>
      <c r="G31" s="3032">
        <f>G27+G30</f>
        <v>30.6</v>
      </c>
      <c r="H31" s="2973"/>
      <c r="I31" s="2973"/>
      <c r="J31" s="2973"/>
      <c r="K31" s="2973"/>
      <c r="L31" s="2973"/>
      <c r="M31" s="2973"/>
      <c r="N31" s="2973"/>
      <c r="O31" s="2973"/>
      <c r="P31" s="2973"/>
    </row>
    <row r="32" spans="1:19">
      <c r="A32" s="3033"/>
      <c r="B32" s="3033" t="s">
        <v>654</v>
      </c>
      <c r="C32" s="3033"/>
      <c r="D32" s="3033"/>
      <c r="E32" s="3034">
        <f>SUMIF(C19:C26,"*住宅*",E19:E26)</f>
        <v>0</v>
      </c>
      <c r="F32" s="3033"/>
      <c r="G32" s="3033"/>
      <c r="H32" s="2973"/>
      <c r="I32" s="2973"/>
      <c r="J32" s="2973"/>
      <c r="K32" s="2973"/>
      <c r="L32" s="2973"/>
      <c r="M32" s="2973"/>
      <c r="N32" s="2973"/>
      <c r="O32" s="2973"/>
      <c r="P32" s="2973"/>
    </row>
    <row r="33" spans="4:4">
      <c r="D33" s="30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V6" activePane="bottomRight" state="frozen"/>
      <selection pane="topRight"/>
      <selection pane="bottomLeft"/>
      <selection pane="bottomRight" activeCell="AN6" sqref="AN6"/>
    </sheetView>
  </sheetViews>
  <sheetFormatPr defaultColWidth="13.75" defaultRowHeight="12.75"/>
  <cols>
    <col min="1" max="1" width="20.875" style="2773" customWidth="1"/>
    <col min="2" max="2" width="12" style="2774" customWidth="1"/>
    <col min="3" max="3" width="12.75" style="2774" customWidth="1"/>
    <col min="4" max="4" width="9.125" style="2775" customWidth="1"/>
    <col min="5" max="5" width="15" style="2774" customWidth="1"/>
    <col min="6" max="10" width="8.875" style="2774" customWidth="1"/>
    <col min="11" max="12" width="12.375" style="2776" customWidth="1"/>
    <col min="13" max="13" width="8.625" style="2774" customWidth="1"/>
    <col min="14" max="14" width="11.875" style="2774" customWidth="1"/>
    <col min="15" max="15" width="8.5" style="2774" customWidth="1"/>
    <col min="16" max="17" width="10.875" style="2774" customWidth="1"/>
    <col min="18" max="19" width="12.5" style="2774" customWidth="1"/>
    <col min="20" max="20" width="12.125" style="2774" customWidth="1"/>
    <col min="21" max="21" width="7.5" style="2774" customWidth="1"/>
    <col min="22" max="22" width="6.375" style="2774" customWidth="1"/>
    <col min="23" max="30" width="6.75" style="2774" customWidth="1"/>
    <col min="31" max="31" width="8" style="2774" customWidth="1"/>
    <col min="32" max="34" width="7.25" style="2774" customWidth="1"/>
    <col min="35" max="39" width="8" style="2774" customWidth="1"/>
    <col min="40" max="40" width="13.75" style="2772"/>
    <col min="41" max="41" width="11.625" style="2772" customWidth="1"/>
    <col min="42" max="42" width="9.75" style="2772" customWidth="1"/>
    <col min="43" max="67" width="13.75" style="2772"/>
    <col min="68" max="16384" width="13.75" style="2774"/>
  </cols>
  <sheetData>
    <row r="1" spans="1:67" ht="18.75">
      <c r="A1" s="2777" t="s">
        <v>655</v>
      </c>
      <c r="B1" s="2778"/>
      <c r="C1" s="2048"/>
      <c r="D1" s="2779"/>
      <c r="E1" s="2048"/>
      <c r="F1" s="2048"/>
      <c r="G1" s="2048"/>
      <c r="H1" s="2048"/>
      <c r="I1" s="2048"/>
      <c r="J1" s="2048"/>
      <c r="K1" s="611"/>
      <c r="L1" s="611"/>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233"/>
      <c r="AO1" s="2233"/>
      <c r="AP1" s="2233"/>
      <c r="AQ1" s="2233"/>
      <c r="AR1" s="2233"/>
    </row>
    <row r="2" spans="1:67" s="2769" customFormat="1" ht="15">
      <c r="A2" s="2780" t="s">
        <v>656</v>
      </c>
      <c r="B2" s="2781">
        <f>项目基本情况!D3</f>
        <v>45911</v>
      </c>
      <c r="C2" s="2782"/>
      <c r="D2" s="2783"/>
      <c r="E2" s="2782"/>
      <c r="F2" s="2782"/>
      <c r="G2" s="2782"/>
      <c r="H2" s="2782"/>
      <c r="I2" s="2782"/>
      <c r="J2" s="2782"/>
      <c r="K2" s="2879"/>
      <c r="L2" s="2879"/>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c r="AM2" s="2782"/>
      <c r="AN2" s="2815"/>
      <c r="AO2" s="2815"/>
      <c r="AP2" s="2815"/>
      <c r="AQ2" s="2815"/>
      <c r="AR2" s="2815"/>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pans="1:67" s="2769" customFormat="1" ht="14.25">
      <c r="A3" s="2784"/>
      <c r="B3" s="2785"/>
      <c r="C3" s="2782"/>
      <c r="D3" s="2783"/>
      <c r="E3" s="2782"/>
      <c r="F3" s="2782"/>
      <c r="G3" s="2782"/>
      <c r="H3" s="2782"/>
      <c r="I3" s="2782"/>
      <c r="J3" s="2782"/>
      <c r="K3" s="2879"/>
      <c r="L3" s="2879"/>
      <c r="M3" s="2782"/>
      <c r="N3" s="2782"/>
      <c r="O3" s="2782"/>
      <c r="P3" s="2782"/>
      <c r="Q3" s="2782"/>
      <c r="R3" s="2782"/>
      <c r="S3" s="2782"/>
      <c r="T3" s="2782"/>
      <c r="U3" s="2782"/>
      <c r="V3" s="2782"/>
      <c r="W3" s="2782"/>
      <c r="X3" s="2782"/>
      <c r="Y3" s="2782"/>
      <c r="Z3" s="2782"/>
      <c r="AA3" s="2782"/>
      <c r="AB3" s="2782"/>
      <c r="AC3" s="2782"/>
      <c r="AD3" s="2782"/>
      <c r="AE3" s="2782"/>
      <c r="AF3" s="2782"/>
      <c r="AG3" s="2782"/>
      <c r="AH3" s="2782"/>
      <c r="AI3" s="2782"/>
      <c r="AJ3" s="2782"/>
      <c r="AK3" s="2782"/>
      <c r="AL3" s="2782"/>
      <c r="AM3" s="2782"/>
      <c r="AN3" s="2815"/>
      <c r="AO3" s="2815"/>
      <c r="AP3" s="2815"/>
      <c r="AQ3" s="2815"/>
      <c r="AR3" s="2815"/>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pans="1:67" s="2769" customFormat="1" ht="14.25">
      <c r="A4" s="2340" t="s">
        <v>657</v>
      </c>
      <c r="B4" s="2417"/>
      <c r="C4" s="2786"/>
      <c r="D4" s="2787"/>
      <c r="E4" s="2786" t="s">
        <v>658</v>
      </c>
      <c r="F4" s="2786"/>
      <c r="G4" s="2786"/>
      <c r="H4" s="2786"/>
      <c r="I4" s="2786"/>
      <c r="J4" s="2880"/>
      <c r="K4" s="2881"/>
      <c r="L4" s="2882"/>
      <c r="M4" s="2786"/>
      <c r="N4" s="2786" t="s">
        <v>659</v>
      </c>
      <c r="O4" s="2786"/>
      <c r="P4" s="2786"/>
      <c r="Q4" s="2786"/>
      <c r="R4" s="2786"/>
      <c r="S4" s="2880"/>
      <c r="T4" s="2904" t="str">
        <f>'数据-汇总表'!I17</f>
        <v>按面积比例</v>
      </c>
      <c r="U4" s="2417" t="s">
        <v>660</v>
      </c>
      <c r="V4" s="2786"/>
      <c r="W4" s="2786"/>
      <c r="X4" s="2786"/>
      <c r="Y4" s="2880"/>
      <c r="Z4" s="2931" t="s">
        <v>661</v>
      </c>
      <c r="AA4" s="2931"/>
      <c r="AB4" s="2931"/>
      <c r="AC4" s="2931"/>
      <c r="AD4" s="2931"/>
      <c r="AE4" s="2932" t="s">
        <v>662</v>
      </c>
      <c r="AF4" s="2931"/>
      <c r="AG4" s="2944"/>
      <c r="AH4" s="2417"/>
      <c r="AI4" s="2786"/>
      <c r="AJ4" s="2786"/>
      <c r="AK4" s="2786"/>
      <c r="AL4" s="2786"/>
      <c r="AM4" s="2880"/>
      <c r="AN4" s="2815"/>
      <c r="AO4" s="2815"/>
      <c r="AP4" s="2815"/>
      <c r="AQ4" s="2815"/>
      <c r="AR4" s="2815"/>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pans="1:67" s="2770" customFormat="1" ht="42">
      <c r="A5" s="2788" t="s">
        <v>634</v>
      </c>
      <c r="B5" s="2789" t="s">
        <v>633</v>
      </c>
      <c r="C5" s="2790" t="s">
        <v>663</v>
      </c>
      <c r="D5" s="2791" t="s">
        <v>664</v>
      </c>
      <c r="E5" s="2792" t="s">
        <v>665</v>
      </c>
      <c r="F5" s="2793" t="s">
        <v>666</v>
      </c>
      <c r="G5" s="2792" t="s">
        <v>667</v>
      </c>
      <c r="H5" s="2792" t="s">
        <v>668</v>
      </c>
      <c r="I5" s="2792" t="s">
        <v>669</v>
      </c>
      <c r="J5" s="2883" t="s">
        <v>670</v>
      </c>
      <c r="K5" s="2884" t="s">
        <v>643</v>
      </c>
      <c r="L5" s="2885" t="s">
        <v>671</v>
      </c>
      <c r="M5" s="2886" t="s">
        <v>672</v>
      </c>
      <c r="N5" s="2887" t="s">
        <v>673</v>
      </c>
      <c r="O5" s="2885" t="s">
        <v>674</v>
      </c>
      <c r="P5" s="2888" t="s">
        <v>675</v>
      </c>
      <c r="Q5" s="1441" t="s">
        <v>676</v>
      </c>
      <c r="R5" s="2905" t="s">
        <v>677</v>
      </c>
      <c r="S5" s="2906" t="s">
        <v>678</v>
      </c>
      <c r="T5" s="2907" t="s">
        <v>679</v>
      </c>
      <c r="U5" s="2908" t="s">
        <v>680</v>
      </c>
      <c r="V5" s="2792" t="s">
        <v>681</v>
      </c>
      <c r="W5" s="2792" t="s">
        <v>682</v>
      </c>
      <c r="X5" s="1127"/>
      <c r="Y5" s="2354" t="s">
        <v>683</v>
      </c>
      <c r="Z5" s="2933" t="s">
        <v>680</v>
      </c>
      <c r="AA5" s="2792" t="s">
        <v>681</v>
      </c>
      <c r="AB5" s="2792" t="s">
        <v>682</v>
      </c>
      <c r="AC5" s="1127"/>
      <c r="AD5" s="1127" t="s">
        <v>683</v>
      </c>
      <c r="AE5" s="2908" t="s">
        <v>684</v>
      </c>
      <c r="AF5" s="2792" t="s">
        <v>685</v>
      </c>
      <c r="AG5" s="2354" t="s">
        <v>686</v>
      </c>
      <c r="AH5" s="2908" t="s">
        <v>687</v>
      </c>
      <c r="AI5" s="2933" t="s">
        <v>688</v>
      </c>
      <c r="AJ5" s="2933" t="s">
        <v>689</v>
      </c>
      <c r="AK5" s="2792" t="s">
        <v>690</v>
      </c>
      <c r="AL5" s="2792" t="s">
        <v>691</v>
      </c>
      <c r="AM5" s="2354" t="s">
        <v>692</v>
      </c>
      <c r="AN5" s="2945" t="s">
        <v>693</v>
      </c>
      <c r="AO5" s="2963" t="s">
        <v>694</v>
      </c>
      <c r="AP5" s="2964" t="s">
        <v>695</v>
      </c>
      <c r="AQ5" s="2965" t="s">
        <v>696</v>
      </c>
      <c r="AR5" s="2965" t="s">
        <v>697</v>
      </c>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row>
    <row r="6" spans="1:67" s="2769" customFormat="1" ht="14.25">
      <c r="A6" s="2794" t="str">
        <f>'数据-汇总表'!C19</f>
        <v>1-024</v>
      </c>
      <c r="B6" s="2795" t="str">
        <f>IF(A6=0,"","经营性")</f>
        <v>经营性</v>
      </c>
      <c r="C6" s="2796" t="s">
        <v>595</v>
      </c>
      <c r="D6" s="2797">
        <f>SUMIF(项目基本情况!C$12:I$12,C6,项目基本情况!C$14:I$14)</f>
        <v>50</v>
      </c>
      <c r="E6" s="2798">
        <f>IF(B6="","",SUMIF(项目基本情况!C$12:I$12,C6,项目基本情况!C$13:I$13))</f>
        <v>59189</v>
      </c>
      <c r="F6" s="2799">
        <f>SUMIF(项目基本情况!C$12:I$12,C6,项目基本情况!C$15:I$15)</f>
        <v>36.369999999999997</v>
      </c>
      <c r="G6" s="2800">
        <f>IF(ISERROR(ROUND(POWER(1+H6,D6-F6)*(POWER(1+H6,F6)-1)/(POWER(1+H6,D6)-1),3)),0,ROUND(POWER(1+H6,D6-F6)*(POWER(1+H6,F6)-1)/(POWER(1+H6,D6)-1),3))</f>
        <v>0.89800000000000002</v>
      </c>
      <c r="H6" s="2801">
        <v>4.4999999999999998E-2</v>
      </c>
      <c r="I6" s="2801">
        <v>0.05</v>
      </c>
      <c r="J6" s="2802">
        <v>7.0000000000000007E-2</v>
      </c>
      <c r="K6" s="2889">
        <f>SUMIF('数据-汇总表'!C$19:C$33,A6,'数据-汇总表'!E$19:E$33)</f>
        <v>30.6</v>
      </c>
      <c r="L6" s="2890">
        <v>4000</v>
      </c>
      <c r="M6" s="2891">
        <f t="shared" ref="M6:M14" si="0">ROUND(K6*L6/10000,0)</f>
        <v>12</v>
      </c>
      <c r="N6" s="2892">
        <v>0.81499999999999995</v>
      </c>
      <c r="O6" s="2891" t="str">
        <f>IF($N$5="成新度","——",ROUND(M6*N6,0))</f>
        <v>——</v>
      </c>
      <c r="P6" s="2893" t="str">
        <f>IF($N$5="成新度","——",M6-O6)</f>
        <v>——</v>
      </c>
      <c r="Q6" s="2909">
        <v>0.05</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300</v>
      </c>
      <c r="V6" s="2914">
        <v>1.4999999999999999E-2</v>
      </c>
      <c r="W6" s="2914">
        <v>0.1</v>
      </c>
      <c r="X6" s="2915"/>
      <c r="Y6" s="2934">
        <f>N6</f>
        <v>0.81499999999999995</v>
      </c>
      <c r="Z6" s="2935"/>
      <c r="AA6" s="2802"/>
      <c r="AB6" s="2802"/>
      <c r="AC6" s="2915"/>
      <c r="AD6" s="2936"/>
      <c r="AE6" s="2937">
        <f ca="1">IF(AN6="",0,SUMIF(INDIRECT("'"&amp;AN6&amp;"'"&amp;"!E:E"),$AE$5,INDIRECT("'"&amp;AN6&amp;"'"&amp;"!F:F")))</f>
        <v>36.369999999999997</v>
      </c>
      <c r="AF6" s="2396"/>
      <c r="AG6" s="1709">
        <f>IF(AF6="",0,AE6-AF6)</f>
        <v>0</v>
      </c>
      <c r="AH6" s="2946">
        <v>1</v>
      </c>
      <c r="AI6" s="2947">
        <v>12</v>
      </c>
      <c r="AJ6" s="2948"/>
      <c r="AK6" s="2949">
        <v>2E-3</v>
      </c>
      <c r="AL6" s="2950">
        <v>1E-3</v>
      </c>
      <c r="AM6" s="2951">
        <v>5.0000000000000001E-3</v>
      </c>
      <c r="AN6" s="2952" t="s">
        <v>285</v>
      </c>
      <c r="AO6" s="1319">
        <f ca="1">SUMIF(INDIRECT("'"&amp;AN6&amp;"'"&amp;"!A:A"),"总价",INDIRECT("'"&amp;AN6&amp;"'"&amp;"!B:B"))</f>
        <v>4.9730999999999996</v>
      </c>
      <c r="AP6" s="2966">
        <f>IF(C6="住宅",K6*L6,0)</f>
        <v>0</v>
      </c>
      <c r="AQ6" s="1319">
        <f>ROUND($L$14*$N$14*S6/10000,0)</f>
        <v>0</v>
      </c>
      <c r="AR6" s="1319">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pans="1:67" s="2769" customFormat="1" ht="14.25">
      <c r="A7" s="2794">
        <f>'数据-汇总表'!C20</f>
        <v>0</v>
      </c>
      <c r="B7" s="2795" t="str">
        <f t="shared" ref="B7:B13" si="1">IF(A7=0,"","经营性")</f>
        <v/>
      </c>
      <c r="C7" s="2796"/>
      <c r="D7" s="2797">
        <f>SUMIF(项目基本情况!C$12:I$12,C7,项目基本情况!C$14:I$14)</f>
        <v>0</v>
      </c>
      <c r="E7" s="2798" t="str">
        <f>IF(B7="","",SUMIF(项目基本情况!C$12:I$12,C7,项目基本情况!C$13:I$13))</f>
        <v/>
      </c>
      <c r="F7" s="2799">
        <f>SUMIF(项目基本情况!C$12:I$12,C7,项目基本情况!C$15:I$15)</f>
        <v>0</v>
      </c>
      <c r="G7" s="2800">
        <f t="shared" ref="G7:G13" si="2">IF(ISERROR(ROUND(POWER(1+H7,D7-F7)*(POWER(1+H7,F7)-1)/(POWER(1+H7,D7)-1),3)),0,ROUND(POWER(1+H7,D7-F7)*(POWER(1+H7,F7)-1)/(POWER(1+H7,D7)-1),3))</f>
        <v>0</v>
      </c>
      <c r="H7" s="2801"/>
      <c r="I7" s="2801"/>
      <c r="J7" s="2802"/>
      <c r="K7" s="2889">
        <f>SUMIF('数据-汇总表'!C$19:C$33,A7,'数据-汇总表'!E$19:E$33)</f>
        <v>0</v>
      </c>
      <c r="L7" s="2890"/>
      <c r="M7" s="2891">
        <f t="shared" si="0"/>
        <v>0</v>
      </c>
      <c r="N7" s="2892"/>
      <c r="O7" s="2891" t="str">
        <f t="shared" ref="O7:O14" si="3">IF($N$5="成新度","——",ROUND(M7*N7,0))</f>
        <v>——</v>
      </c>
      <c r="P7" s="2893"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4"/>
      <c r="W7" s="2914"/>
      <c r="X7" s="2915"/>
      <c r="Y7" s="2934"/>
      <c r="Z7" s="2935"/>
      <c r="AA7" s="2802"/>
      <c r="AB7" s="2802"/>
      <c r="AC7" s="2915"/>
      <c r="AD7" s="2936"/>
      <c r="AE7" s="2937">
        <f t="shared" ref="AE7:AE13" ca="1" si="6">IF(AN7="",0,SUMIF(INDIRECT("'"&amp;AN7&amp;"'"&amp;"!E:E"),$AE$5,INDIRECT("'"&amp;AN7&amp;"'"&amp;"!F:F")))</f>
        <v>0</v>
      </c>
      <c r="AF7" s="2396"/>
      <c r="AG7" s="1709">
        <f t="shared" ref="AG7:AG13" si="7">IF(AF7="",0,AE7-AF7)</f>
        <v>0</v>
      </c>
      <c r="AH7" s="2946"/>
      <c r="AI7" s="2947"/>
      <c r="AJ7" s="2948"/>
      <c r="AK7" s="2949"/>
      <c r="AL7" s="2950"/>
      <c r="AM7" s="2951"/>
      <c r="AN7" s="2952"/>
      <c r="AO7" s="1319" t="e">
        <f t="shared" ref="AO7:AO13" ca="1" si="8">SUMIF(INDIRECT("'"&amp;AN7&amp;"'"&amp;"!A:A"),"总价",INDIRECT("'"&amp;AN7&amp;"'"&amp;"!B:B"))</f>
        <v>#REF!</v>
      </c>
      <c r="AP7" s="2966">
        <f t="shared" ref="AP7:AP13" si="9">IF(C7="住宅",K7*L7,0)</f>
        <v>0</v>
      </c>
      <c r="AQ7" s="1319">
        <f t="shared" ref="AQ7:AQ13" si="10">ROUND($L$14*$N$14*S7/10000,0)</f>
        <v>0</v>
      </c>
      <c r="AR7" s="1319">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pans="1:67" s="2769" customFormat="1" ht="14.25">
      <c r="A8" s="2794">
        <f>'数据-汇总表'!C21</f>
        <v>0</v>
      </c>
      <c r="B8" s="2795" t="str">
        <f t="shared" si="1"/>
        <v/>
      </c>
      <c r="C8" s="2796"/>
      <c r="D8" s="2797">
        <f>SUMIF(项目基本情况!C$12:I$12,C8,项目基本情况!C$14:I$14)</f>
        <v>0</v>
      </c>
      <c r="E8" s="2798" t="str">
        <f>IF(B8="","",SUMIF(项目基本情况!C$12:I$12,C8,项目基本情况!C$13:I$13))</f>
        <v/>
      </c>
      <c r="F8" s="2799">
        <f>SUMIF(项目基本情况!C$12:I$12,C8,项目基本情况!C$15:I$15)</f>
        <v>0</v>
      </c>
      <c r="G8" s="2800">
        <f t="shared" si="2"/>
        <v>0</v>
      </c>
      <c r="H8" s="2801"/>
      <c r="I8" s="2801"/>
      <c r="J8" s="2802"/>
      <c r="K8" s="2889">
        <f>SUMIF('数据-汇总表'!C$19:C$33,A8,'数据-汇总表'!E$19:E$33)</f>
        <v>0</v>
      </c>
      <c r="L8" s="2890"/>
      <c r="M8" s="2891">
        <f t="shared" si="0"/>
        <v>0</v>
      </c>
      <c r="N8" s="2892"/>
      <c r="O8" s="2891" t="str">
        <f t="shared" si="3"/>
        <v>——</v>
      </c>
      <c r="P8" s="2893"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6"/>
      <c r="V8" s="2917"/>
      <c r="W8" s="2917"/>
      <c r="X8" s="2915"/>
      <c r="Y8" s="2934"/>
      <c r="Z8" s="2935"/>
      <c r="AA8" s="2802"/>
      <c r="AB8" s="2802"/>
      <c r="AC8" s="2915"/>
      <c r="AD8" s="2936"/>
      <c r="AE8" s="2937">
        <f t="shared" ca="1" si="6"/>
        <v>0</v>
      </c>
      <c r="AF8" s="2396"/>
      <c r="AG8" s="1709">
        <f t="shared" si="7"/>
        <v>0</v>
      </c>
      <c r="AH8" s="2953"/>
      <c r="AI8" s="2947"/>
      <c r="AJ8" s="2948"/>
      <c r="AK8" s="2954"/>
      <c r="AL8" s="2955"/>
      <c r="AM8" s="2956"/>
      <c r="AN8" s="2952"/>
      <c r="AO8" s="1319" t="e">
        <f t="shared" ca="1" si="8"/>
        <v>#REF!</v>
      </c>
      <c r="AP8" s="2966">
        <f t="shared" si="9"/>
        <v>0</v>
      </c>
      <c r="AQ8" s="1319">
        <f t="shared" si="10"/>
        <v>0</v>
      </c>
      <c r="AR8" s="1319">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pans="1:67" s="2769" customFormat="1" ht="14.25">
      <c r="A9" s="2794">
        <f>'数据-汇总表'!C22</f>
        <v>0</v>
      </c>
      <c r="B9" s="2795" t="str">
        <f t="shared" si="1"/>
        <v/>
      </c>
      <c r="C9" s="2796"/>
      <c r="D9" s="2797">
        <f>SUMIF(项目基本情况!C$12:I$12,C9,项目基本情况!C$14:I$14)</f>
        <v>0</v>
      </c>
      <c r="E9" s="2798" t="str">
        <f>IF(B9="","",SUMIF(项目基本情况!C$12:I$12,C9,项目基本情况!C$13:I$13))</f>
        <v/>
      </c>
      <c r="F9" s="2799">
        <f>SUMIF(项目基本情况!C$12:I$12,C9,项目基本情况!C$15:I$15)</f>
        <v>0</v>
      </c>
      <c r="G9" s="2800">
        <f t="shared" si="2"/>
        <v>0</v>
      </c>
      <c r="H9" s="2802"/>
      <c r="I9" s="2802"/>
      <c r="J9" s="2802"/>
      <c r="K9" s="2889">
        <f>SUMIF('数据-汇总表'!C$19:C$33,A9,'数据-汇总表'!E$19:E$33)</f>
        <v>0</v>
      </c>
      <c r="L9" s="2890"/>
      <c r="M9" s="2891">
        <f t="shared" si="0"/>
        <v>0</v>
      </c>
      <c r="N9" s="2892"/>
      <c r="O9" s="2891" t="str">
        <f t="shared" si="3"/>
        <v>——</v>
      </c>
      <c r="P9" s="2893" t="str">
        <f t="shared" si="4"/>
        <v>——</v>
      </c>
      <c r="Q9" s="2918"/>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4"/>
      <c r="W9" s="2914"/>
      <c r="X9" s="2915"/>
      <c r="Y9" s="2934"/>
      <c r="Z9" s="2935"/>
      <c r="AA9" s="2802"/>
      <c r="AB9" s="2802"/>
      <c r="AC9" s="2915"/>
      <c r="AD9" s="2936"/>
      <c r="AE9" s="2937">
        <f t="shared" ca="1" si="6"/>
        <v>0</v>
      </c>
      <c r="AF9" s="2396"/>
      <c r="AG9" s="1709">
        <f t="shared" si="7"/>
        <v>0</v>
      </c>
      <c r="AH9" s="2946"/>
      <c r="AI9" s="2947"/>
      <c r="AJ9" s="2948"/>
      <c r="AK9" s="2949"/>
      <c r="AL9" s="2950"/>
      <c r="AM9" s="2951"/>
      <c r="AN9" s="2952"/>
      <c r="AO9" s="1319" t="e">
        <f t="shared" ca="1" si="8"/>
        <v>#REF!</v>
      </c>
      <c r="AP9" s="2966">
        <f t="shared" si="9"/>
        <v>0</v>
      </c>
      <c r="AQ9" s="1319">
        <f t="shared" si="10"/>
        <v>0</v>
      </c>
      <c r="AR9" s="1319">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pans="1:67" s="2769" customFormat="1" ht="14.25">
      <c r="A10" s="2794">
        <f>'数据-汇总表'!C23</f>
        <v>0</v>
      </c>
      <c r="B10" s="2795" t="str">
        <f t="shared" si="1"/>
        <v/>
      </c>
      <c r="C10" s="2796"/>
      <c r="D10" s="2797">
        <f>SUMIF(项目基本情况!C$12:I$12,C10,项目基本情况!C$14:I$14)</f>
        <v>0</v>
      </c>
      <c r="E10" s="2798" t="str">
        <f>IF(B10="","",SUMIF(项目基本情况!C$12:I$12,C10,项目基本情况!C$13:I$13))</f>
        <v/>
      </c>
      <c r="F10" s="2799">
        <f>SUMIF(项目基本情况!C$12:I$12,C10,项目基本情况!C$15:I$15)</f>
        <v>0</v>
      </c>
      <c r="G10" s="2800">
        <f t="shared" si="2"/>
        <v>0</v>
      </c>
      <c r="H10" s="2802"/>
      <c r="I10" s="2802"/>
      <c r="J10" s="2802"/>
      <c r="K10" s="2889">
        <f>SUMIF('数据-汇总表'!C$19:C$33,A10,'数据-汇总表'!E$19:E$33)</f>
        <v>0</v>
      </c>
      <c r="L10" s="2890"/>
      <c r="M10" s="2891">
        <f t="shared" si="0"/>
        <v>0</v>
      </c>
      <c r="N10" s="2892"/>
      <c r="O10" s="2891" t="str">
        <f t="shared" si="3"/>
        <v>——</v>
      </c>
      <c r="P10" s="2893" t="str">
        <f t="shared" si="4"/>
        <v>——</v>
      </c>
      <c r="Q10" s="2918"/>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4"/>
      <c r="W10" s="2914"/>
      <c r="X10" s="2915"/>
      <c r="Y10" s="2934"/>
      <c r="Z10" s="2935"/>
      <c r="AA10" s="2802"/>
      <c r="AB10" s="2802"/>
      <c r="AC10" s="2915"/>
      <c r="AD10" s="2936"/>
      <c r="AE10" s="2937">
        <f t="shared" ca="1" si="6"/>
        <v>0</v>
      </c>
      <c r="AF10" s="2396"/>
      <c r="AG10" s="1709">
        <f t="shared" si="7"/>
        <v>0</v>
      </c>
      <c r="AH10" s="2946"/>
      <c r="AI10" s="2947"/>
      <c r="AJ10" s="2948"/>
      <c r="AK10" s="2949"/>
      <c r="AL10" s="2950"/>
      <c r="AM10" s="2951"/>
      <c r="AN10" s="2952"/>
      <c r="AO10" s="1319" t="e">
        <f t="shared" ca="1" si="8"/>
        <v>#REF!</v>
      </c>
      <c r="AP10" s="2966">
        <f t="shared" si="9"/>
        <v>0</v>
      </c>
      <c r="AQ10" s="1319">
        <f t="shared" si="10"/>
        <v>0</v>
      </c>
      <c r="AR10" s="1319">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pans="1:67" s="2769" customFormat="1" ht="14.25">
      <c r="A11" s="2794">
        <f>'数据-汇总表'!C24</f>
        <v>0</v>
      </c>
      <c r="B11" s="2795" t="str">
        <f t="shared" si="1"/>
        <v/>
      </c>
      <c r="C11" s="2796"/>
      <c r="D11" s="2797">
        <f>SUMIF(项目基本情况!C$12:I$12,C11,项目基本情况!C$14:I$14)</f>
        <v>0</v>
      </c>
      <c r="E11" s="2798" t="str">
        <f>IF(B11="","",SUMIF(项目基本情况!C$12:I$12,C11,项目基本情况!C$13:I$13))</f>
        <v/>
      </c>
      <c r="F11" s="2799">
        <f>SUMIF(项目基本情况!C$12:I$12,C11,项目基本情况!C$15:I$15)</f>
        <v>0</v>
      </c>
      <c r="G11" s="2800">
        <f t="shared" si="2"/>
        <v>0</v>
      </c>
      <c r="H11" s="2802"/>
      <c r="I11" s="2802"/>
      <c r="J11" s="2802"/>
      <c r="K11" s="2889">
        <f>SUMIF('数据-汇总表'!C$19:C$33,A11,'数据-汇总表'!E$19:E$33)</f>
        <v>0</v>
      </c>
      <c r="L11" s="2894"/>
      <c r="M11" s="2891">
        <f t="shared" si="0"/>
        <v>0</v>
      </c>
      <c r="N11" s="2892"/>
      <c r="O11" s="2891" t="str">
        <f t="shared" si="3"/>
        <v>——</v>
      </c>
      <c r="P11" s="2893" t="str">
        <f t="shared" si="4"/>
        <v>——</v>
      </c>
      <c r="Q11" s="2918"/>
      <c r="R11" s="2910">
        <f ca="1">SUMIF('数据-汇总表'!C$19:C$33,A11,'数据-汇总表'!R$19:R$27)</f>
        <v>0</v>
      </c>
      <c r="S11" s="2911">
        <f>IF('数据-汇总表'!$I$17="按面积比例",SUMIF('数据-汇总表'!C$19:C$33,A11,'数据-汇总表'!K$19:K$33),SUMIF('数据-汇总表'!C$19:C$33,A11,'数据-汇总表'!N$19:N$33))</f>
        <v>0</v>
      </c>
      <c r="T11" s="2912">
        <f t="shared" si="5"/>
        <v>0</v>
      </c>
      <c r="U11" s="2913"/>
      <c r="V11" s="2802"/>
      <c r="W11" s="2802"/>
      <c r="X11" s="2915"/>
      <c r="Y11" s="2934"/>
      <c r="Z11" s="2938"/>
      <c r="AA11" s="2802"/>
      <c r="AB11" s="2802"/>
      <c r="AC11" s="2915"/>
      <c r="AD11" s="2936"/>
      <c r="AE11" s="2937">
        <f t="shared" ca="1" si="6"/>
        <v>0</v>
      </c>
      <c r="AF11" s="2396"/>
      <c r="AG11" s="1709">
        <f t="shared" si="7"/>
        <v>0</v>
      </c>
      <c r="AH11" s="2946"/>
      <c r="AI11" s="2947"/>
      <c r="AJ11" s="2948"/>
      <c r="AK11" s="2957"/>
      <c r="AL11" s="2958"/>
      <c r="AM11" s="2959"/>
      <c r="AN11" s="2952"/>
      <c r="AO11" s="1319" t="e">
        <f t="shared" ca="1" si="8"/>
        <v>#REF!</v>
      </c>
      <c r="AP11" s="2966">
        <f t="shared" si="9"/>
        <v>0</v>
      </c>
      <c r="AQ11" s="1319">
        <f t="shared" si="10"/>
        <v>0</v>
      </c>
      <c r="AR11" s="1319">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pans="1:67" s="2769" customFormat="1" ht="14.25">
      <c r="A12" s="2794">
        <f>'数据-汇总表'!C25</f>
        <v>0</v>
      </c>
      <c r="B12" s="2795" t="str">
        <f t="shared" si="1"/>
        <v/>
      </c>
      <c r="C12" s="2796"/>
      <c r="D12" s="2797">
        <f>SUMIF(项目基本情况!C$12:I$12,C12,项目基本情况!C$14:I$14)</f>
        <v>0</v>
      </c>
      <c r="E12" s="2798" t="str">
        <f>IF(B12="","",SUMIF(项目基本情况!C$12:I$12,C12,项目基本情况!C$13:I$13))</f>
        <v/>
      </c>
      <c r="F12" s="2799">
        <f>SUMIF(项目基本情况!C$12:I$12,C12,项目基本情况!C$15:I$15)</f>
        <v>0</v>
      </c>
      <c r="G12" s="2800">
        <f t="shared" si="2"/>
        <v>0</v>
      </c>
      <c r="H12" s="2802"/>
      <c r="I12" s="2802"/>
      <c r="J12" s="2802"/>
      <c r="K12" s="2889">
        <f>SUMIF('数据-汇总表'!C$19:C$33,A12,'数据-汇总表'!E$19:E$33)</f>
        <v>0</v>
      </c>
      <c r="L12" s="2894"/>
      <c r="M12" s="2891">
        <f t="shared" si="0"/>
        <v>0</v>
      </c>
      <c r="N12" s="2892"/>
      <c r="O12" s="2891" t="str">
        <f t="shared" si="3"/>
        <v>——</v>
      </c>
      <c r="P12" s="2893" t="str">
        <f t="shared" si="4"/>
        <v>——</v>
      </c>
      <c r="Q12" s="2918"/>
      <c r="R12" s="2910">
        <f ca="1">SUMIF('数据-汇总表'!C$19:C$33,A12,'数据-汇总表'!R$19:R$27)</f>
        <v>0</v>
      </c>
      <c r="S12" s="2911">
        <f>IF('数据-汇总表'!$I$17="按面积比例",SUMIF('数据-汇总表'!C$19:C$33,A12,'数据-汇总表'!K$19:K$33),SUMIF('数据-汇总表'!C$19:C$33,A12,'数据-汇总表'!N$19:N$33))</f>
        <v>0</v>
      </c>
      <c r="T12" s="2912">
        <f t="shared" si="5"/>
        <v>0</v>
      </c>
      <c r="U12" s="2913"/>
      <c r="V12" s="2802"/>
      <c r="W12" s="2802"/>
      <c r="X12" s="2915"/>
      <c r="Y12" s="2934"/>
      <c r="Z12" s="2938"/>
      <c r="AA12" s="2802"/>
      <c r="AB12" s="2802"/>
      <c r="AC12" s="2915"/>
      <c r="AD12" s="2936"/>
      <c r="AE12" s="2937">
        <f t="shared" ca="1" si="6"/>
        <v>0</v>
      </c>
      <c r="AF12" s="2396"/>
      <c r="AG12" s="1709">
        <f t="shared" si="7"/>
        <v>0</v>
      </c>
      <c r="AH12" s="2946"/>
      <c r="AI12" s="2947"/>
      <c r="AJ12" s="2948"/>
      <c r="AK12" s="2957"/>
      <c r="AL12" s="2958"/>
      <c r="AM12" s="2959"/>
      <c r="AN12" s="2952"/>
      <c r="AO12" s="1319" t="e">
        <f t="shared" ca="1" si="8"/>
        <v>#REF!</v>
      </c>
      <c r="AP12" s="2966">
        <f t="shared" si="9"/>
        <v>0</v>
      </c>
      <c r="AQ12" s="1319">
        <f t="shared" si="10"/>
        <v>0</v>
      </c>
      <c r="AR12" s="1319">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pans="1:67" s="2769" customFormat="1" ht="14.25">
      <c r="A13" s="2794">
        <f>'数据-汇总表'!C26</f>
        <v>0</v>
      </c>
      <c r="B13" s="2795" t="str">
        <f t="shared" si="1"/>
        <v/>
      </c>
      <c r="C13" s="2796"/>
      <c r="D13" s="2797">
        <f>SUMIF(项目基本情况!C$12:I$12,C13,项目基本情况!C$14:I$14)</f>
        <v>0</v>
      </c>
      <c r="E13" s="2798" t="str">
        <f>IF(B13="","",SUMIF(项目基本情况!C$12:I$12,C13,项目基本情况!C$13:I$13))</f>
        <v/>
      </c>
      <c r="F13" s="2799">
        <f>SUMIF(项目基本情况!C$12:I$12,C13,项目基本情况!C$15:I$15)</f>
        <v>0</v>
      </c>
      <c r="G13" s="2800">
        <f t="shared" si="2"/>
        <v>0</v>
      </c>
      <c r="H13" s="2802"/>
      <c r="I13" s="2802"/>
      <c r="J13" s="2802"/>
      <c r="K13" s="2889">
        <f>SUMIF('数据-汇总表'!C$19:C$33,A13,'数据-汇总表'!E$19:E$33)</f>
        <v>0</v>
      </c>
      <c r="L13" s="2894"/>
      <c r="M13" s="2891">
        <f t="shared" si="0"/>
        <v>0</v>
      </c>
      <c r="N13" s="2895"/>
      <c r="O13" s="2891" t="str">
        <f t="shared" si="3"/>
        <v>——</v>
      </c>
      <c r="P13" s="2893" t="str">
        <f t="shared" si="4"/>
        <v>——</v>
      </c>
      <c r="Q13" s="2918"/>
      <c r="R13" s="2910">
        <f ca="1">SUMIF('数据-汇总表'!C$19:C$33,A13,'数据-汇总表'!R$19:R$27)</f>
        <v>0</v>
      </c>
      <c r="S13" s="2911">
        <f>IF('数据-汇总表'!$I$17="按面积比例",SUMIF('数据-汇总表'!C$19:C$33,A13,'数据-汇总表'!K$19:K$33),SUMIF('数据-汇总表'!C$19:C$33,A13,'数据-汇总表'!N$19:N$33))</f>
        <v>0</v>
      </c>
      <c r="T13" s="2912">
        <f t="shared" si="5"/>
        <v>0</v>
      </c>
      <c r="U13" s="2919"/>
      <c r="V13" s="2914"/>
      <c r="W13" s="2914"/>
      <c r="X13" s="2915"/>
      <c r="Y13" s="2934"/>
      <c r="Z13" s="2935"/>
      <c r="AA13" s="2802"/>
      <c r="AB13" s="2802"/>
      <c r="AC13" s="2915"/>
      <c r="AD13" s="2936"/>
      <c r="AE13" s="2937">
        <f t="shared" ca="1" si="6"/>
        <v>0</v>
      </c>
      <c r="AF13" s="2396"/>
      <c r="AG13" s="1709">
        <f t="shared" si="7"/>
        <v>0</v>
      </c>
      <c r="AH13" s="2946"/>
      <c r="AI13" s="2947"/>
      <c r="AJ13" s="2948"/>
      <c r="AK13" s="2949"/>
      <c r="AL13" s="2950"/>
      <c r="AM13" s="2951"/>
      <c r="AN13" s="2952"/>
      <c r="AO13" s="1319" t="e">
        <f t="shared" ca="1" si="8"/>
        <v>#REF!</v>
      </c>
      <c r="AP13" s="2966">
        <f t="shared" si="9"/>
        <v>0</v>
      </c>
      <c r="AQ13" s="1319">
        <f t="shared" si="10"/>
        <v>0</v>
      </c>
      <c r="AR13" s="1319">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pans="1:67" s="2769" customFormat="1" ht="14.25">
      <c r="A14" s="2803" t="s">
        <v>651</v>
      </c>
      <c r="B14" s="2795" t="s">
        <v>650</v>
      </c>
      <c r="C14" s="2804" t="s">
        <v>651</v>
      </c>
      <c r="D14" s="2797"/>
      <c r="E14" s="2798"/>
      <c r="F14" s="2799"/>
      <c r="G14" s="2800"/>
      <c r="H14" s="2805"/>
      <c r="I14" s="2805"/>
      <c r="J14" s="2805"/>
      <c r="K14" s="2889">
        <f>SUMIF('数据-汇总表'!C$19:C$33,A14,'数据-汇总表'!E$19:E$33)</f>
        <v>0</v>
      </c>
      <c r="L14" s="2894"/>
      <c r="M14" s="2891">
        <f t="shared" si="0"/>
        <v>0</v>
      </c>
      <c r="N14" s="2895"/>
      <c r="O14" s="2891" t="str">
        <f t="shared" si="3"/>
        <v>——</v>
      </c>
      <c r="P14" s="2893" t="str">
        <f t="shared" si="4"/>
        <v>——</v>
      </c>
      <c r="Q14" s="2920"/>
      <c r="R14" s="2910"/>
      <c r="S14" s="2911"/>
      <c r="T14" s="2912"/>
      <c r="U14" s="2921"/>
      <c r="V14" s="2922"/>
      <c r="W14" s="2922"/>
      <c r="X14" s="2923"/>
      <c r="Y14" s="2939"/>
      <c r="Z14" s="2940"/>
      <c r="AA14" s="2941"/>
      <c r="AB14" s="2941"/>
      <c r="AC14" s="2915"/>
      <c r="AD14" s="2923"/>
      <c r="AE14" s="2937"/>
      <c r="AF14" s="1319"/>
      <c r="AG14" s="1709"/>
      <c r="AH14" s="2937"/>
      <c r="AI14" s="1307"/>
      <c r="AJ14" s="1318"/>
      <c r="AK14" s="2960"/>
      <c r="AL14" s="2961"/>
      <c r="AM14" s="2962"/>
      <c r="AN14" s="2233"/>
      <c r="AO14" s="2815"/>
      <c r="AP14" s="2815"/>
      <c r="AQ14" s="2815"/>
      <c r="AR14" s="2815"/>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pans="1:67" s="2769" customFormat="1" ht="27">
      <c r="A15" s="2803" t="s">
        <v>652</v>
      </c>
      <c r="B15" s="2795" t="s">
        <v>650</v>
      </c>
      <c r="C15" s="2804" t="s">
        <v>698</v>
      </c>
      <c r="D15" s="2797"/>
      <c r="E15" s="2798"/>
      <c r="F15" s="2799"/>
      <c r="G15" s="2800"/>
      <c r="H15" s="2805"/>
      <c r="I15" s="2805"/>
      <c r="J15" s="2805"/>
      <c r="K15" s="2889">
        <f>SUMIF('数据-汇总表'!C$19:C$33,A15,'数据-汇总表'!E$19:E$33)</f>
        <v>0</v>
      </c>
      <c r="L15" s="2896"/>
      <c r="M15" s="2891"/>
      <c r="N15" s="2897"/>
      <c r="O15" s="2891"/>
      <c r="P15" s="2893"/>
      <c r="Q15" s="2920"/>
      <c r="R15" s="2910"/>
      <c r="S15" s="2911"/>
      <c r="T15" s="2912"/>
      <c r="U15" s="2921"/>
      <c r="V15" s="2922"/>
      <c r="W15" s="2922"/>
      <c r="X15" s="2923"/>
      <c r="Y15" s="2939"/>
      <c r="Z15" s="2940"/>
      <c r="AA15" s="2941"/>
      <c r="AB15" s="2941"/>
      <c r="AC15" s="2915"/>
      <c r="AD15" s="2923"/>
      <c r="AE15" s="2937"/>
      <c r="AF15" s="1319"/>
      <c r="AG15" s="1709"/>
      <c r="AH15" s="2937"/>
      <c r="AI15" s="1307"/>
      <c r="AJ15" s="1318"/>
      <c r="AK15" s="2960"/>
      <c r="AL15" s="2961"/>
      <c r="AM15" s="2962"/>
      <c r="AN15" s="2233"/>
      <c r="AO15" s="2815"/>
      <c r="AP15" s="2815"/>
      <c r="AQ15" s="2815"/>
      <c r="AR15" s="2815"/>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pans="1:67" s="2769" customFormat="1" ht="15">
      <c r="A16" s="2806" t="s">
        <v>653</v>
      </c>
      <c r="B16" s="2807"/>
      <c r="C16" s="2290"/>
      <c r="D16" s="2808"/>
      <c r="E16" s="2807"/>
      <c r="F16" s="2807"/>
      <c r="G16" s="2809">
        <f>ROUND(SUMPRODUCT(G6:G13,K6:K13)/SUMPRODUCT((G6:G13&gt;0)*(K6:K13)),3)</f>
        <v>0.89800000000000002</v>
      </c>
      <c r="H16" s="2810">
        <f>ROUND(SUMPRODUCT(H6:H13,K6:K13)/SUMPRODUCT((H6:H13&gt;0)*(K6:K13)),3)</f>
        <v>4.4999999999999998E-2</v>
      </c>
      <c r="I16" s="2898"/>
      <c r="J16" s="2898"/>
      <c r="K16" s="2899">
        <f>SUM(K6:K15)</f>
        <v>30.6</v>
      </c>
      <c r="L16" s="2900">
        <f>ROUND(M16*10000/SUM(K6:K14),0)</f>
        <v>3922</v>
      </c>
      <c r="M16" s="2900">
        <f>SUM(M6:M14)</f>
        <v>12</v>
      </c>
      <c r="N16" s="2901">
        <f>ROUND(SUMPRODUCT(M6:M14,N6:N14)/M16,3)</f>
        <v>0.81499999999999995</v>
      </c>
      <c r="O16" s="2900">
        <f>SUM(O6:O14)</f>
        <v>0</v>
      </c>
      <c r="P16" s="2900">
        <f>SUM(P6:P14)</f>
        <v>0</v>
      </c>
      <c r="Q16" s="2924">
        <f>ROUND(SUMPRODUCT(Q6:Q13,K6:K13)/SUMPRODUCT((Q6:Q13&gt;0)*(K6:K13)),2)</f>
        <v>0.05</v>
      </c>
      <c r="R16" s="2925">
        <f ca="1">SUM(R6:R13)</f>
        <v>0</v>
      </c>
      <c r="S16" s="2926">
        <f>SUM(S6:S13)</f>
        <v>0</v>
      </c>
      <c r="T16" s="2927">
        <f>IF(SUMIF(T6:T13,"&lt;9E307")=M14,SUMIF(T6:T13,"&lt;9E307"),"有误，请检查")</f>
        <v>0</v>
      </c>
      <c r="U16" s="2928"/>
      <c r="V16" s="2929"/>
      <c r="W16" s="2929"/>
      <c r="X16" s="2930"/>
      <c r="Y16" s="2942"/>
      <c r="Z16" s="2943"/>
      <c r="AA16" s="2929"/>
      <c r="AB16" s="2929"/>
      <c r="AC16" s="2930"/>
      <c r="AD16" s="2930"/>
      <c r="AE16" s="2928"/>
      <c r="AF16" s="2929"/>
      <c r="AG16" s="2942"/>
      <c r="AH16" s="2928"/>
      <c r="AI16" s="2943"/>
      <c r="AJ16" s="2943"/>
      <c r="AK16" s="2929"/>
      <c r="AL16" s="2929"/>
      <c r="AM16" s="2942"/>
      <c r="AN16" s="2233"/>
      <c r="AO16" s="2815"/>
      <c r="AP16" s="2815"/>
      <c r="AQ16" s="2815"/>
      <c r="AR16" s="2815"/>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spans="1:67">
      <c r="A17" s="2811"/>
      <c r="B17" s="2812"/>
      <c r="C17" s="2233"/>
      <c r="D17" s="2813"/>
      <c r="E17" s="2813"/>
      <c r="F17" s="2233"/>
      <c r="G17" s="2233"/>
      <c r="H17" s="2233"/>
      <c r="I17" s="2233"/>
      <c r="J17" s="2233"/>
      <c r="K17" s="2902"/>
      <c r="L17" s="2902"/>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spans="1:67" ht="14.25">
      <c r="A18" s="2340" t="s">
        <v>699</v>
      </c>
      <c r="B18" s="2814"/>
      <c r="C18" s="2815"/>
      <c r="D18" s="2816"/>
      <c r="E18" s="2815"/>
      <c r="F18" s="2815"/>
      <c r="G18" s="2815"/>
      <c r="H18" s="2815"/>
      <c r="I18" s="2815"/>
      <c r="J18" s="2815"/>
      <c r="K18" s="2902"/>
      <c r="L18" s="2902"/>
      <c r="M18" s="2233"/>
      <c r="N18" s="2233">
        <v>2013</v>
      </c>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spans="1:67" ht="14.25">
      <c r="A19" s="2817" t="s">
        <v>700</v>
      </c>
      <c r="B19" s="2818">
        <v>0</v>
      </c>
      <c r="C19" s="2819" t="s">
        <v>701</v>
      </c>
      <c r="D19" s="2816"/>
      <c r="E19" s="2815"/>
      <c r="F19" s="2815"/>
      <c r="G19" s="2815"/>
      <c r="H19" s="2815"/>
      <c r="I19" s="2815"/>
      <c r="J19" s="2815"/>
      <c r="K19" s="2902"/>
      <c r="L19" s="2902"/>
      <c r="M19" s="2233"/>
      <c r="N19" s="2233">
        <f>ROUND(1-(2025-N18)/60,2)</f>
        <v>0.8</v>
      </c>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spans="1:67" ht="14.25">
      <c r="A20" s="2820" t="s">
        <v>702</v>
      </c>
      <c r="B20" s="2821">
        <v>2</v>
      </c>
      <c r="C20" s="2822" t="s">
        <v>703</v>
      </c>
      <c r="D20" s="2816"/>
      <c r="E20" s="2815"/>
      <c r="F20" s="2815"/>
      <c r="G20" s="2815"/>
      <c r="H20" s="2815"/>
      <c r="I20" s="2815"/>
      <c r="J20" s="2815"/>
      <c r="K20" s="2902"/>
      <c r="L20" s="2902"/>
      <c r="M20" s="2233"/>
      <c r="N20" s="2233">
        <v>0.85</v>
      </c>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spans="1:67" ht="14.25">
      <c r="A21" s="2823" t="s">
        <v>704</v>
      </c>
      <c r="B21" s="2821">
        <v>2</v>
      </c>
      <c r="C21" s="2815"/>
      <c r="D21" s="2816"/>
      <c r="E21" s="2815"/>
      <c r="F21" s="2815"/>
      <c r="G21" s="2815"/>
      <c r="H21" s="2815"/>
      <c r="I21" s="2815"/>
      <c r="J21" s="2815"/>
      <c r="K21" s="2902"/>
      <c r="L21" s="2902"/>
      <c r="M21" s="2233"/>
      <c r="N21" s="2233">
        <f>(N19+N20)/2</f>
        <v>0.82499999999999996</v>
      </c>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spans="1:67" ht="14.25">
      <c r="A22" s="2820" t="s">
        <v>705</v>
      </c>
      <c r="B22" s="2824">
        <f>B19+B20</f>
        <v>2</v>
      </c>
      <c r="C22" s="2815"/>
      <c r="D22" s="2816"/>
      <c r="E22" s="2815"/>
      <c r="F22" s="2815"/>
      <c r="G22" s="2815"/>
      <c r="H22" s="2815"/>
      <c r="I22" s="2815"/>
      <c r="J22" s="2815"/>
      <c r="K22" s="2902"/>
      <c r="L22" s="2902"/>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spans="1:67" ht="14.25">
      <c r="A23" s="2823" t="s">
        <v>706</v>
      </c>
      <c r="B23" s="2824">
        <f>B19+B21</f>
        <v>2</v>
      </c>
      <c r="C23" s="2815"/>
      <c r="D23" s="2816"/>
      <c r="E23" s="2815"/>
      <c r="F23" s="2815"/>
      <c r="G23" s="2815"/>
      <c r="H23" s="2815"/>
      <c r="I23" s="2815"/>
      <c r="J23" s="2815"/>
      <c r="K23" s="2902"/>
      <c r="L23" s="2902"/>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spans="1:67" ht="14.25">
      <c r="A24" s="2825" t="s">
        <v>707</v>
      </c>
      <c r="B24" s="2826">
        <f>B20-B21</f>
        <v>0</v>
      </c>
      <c r="C24" s="2815"/>
      <c r="D24" s="2816"/>
      <c r="E24" s="2815"/>
      <c r="F24" s="2815"/>
      <c r="G24" s="2815"/>
      <c r="H24" s="2815"/>
      <c r="I24" s="2815"/>
      <c r="J24" s="2815"/>
      <c r="K24" s="2902"/>
      <c r="L24" s="2902"/>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spans="1:67" ht="14.25">
      <c r="A25" s="2784"/>
      <c r="B25" s="2785"/>
      <c r="C25" s="2815"/>
      <c r="D25" s="2816"/>
      <c r="E25" s="2815"/>
      <c r="F25" s="2815"/>
      <c r="G25" s="2815"/>
      <c r="H25" s="2815"/>
      <c r="I25" s="2815"/>
      <c r="J25" s="2815"/>
      <c r="K25" s="2902"/>
      <c r="L25" s="2902"/>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spans="1:67" ht="14.25">
      <c r="A26" s="2780" t="s">
        <v>708</v>
      </c>
      <c r="B26" s="2827" t="s">
        <v>709</v>
      </c>
      <c r="C26" s="2828" t="s">
        <v>710</v>
      </c>
      <c r="D26" s="2816"/>
      <c r="E26" s="2815"/>
      <c r="F26" s="2815"/>
      <c r="G26" s="2815"/>
      <c r="H26" s="2815"/>
      <c r="I26" s="2815"/>
      <c r="J26" s="2815"/>
      <c r="K26" s="2902"/>
      <c r="L26" s="2902"/>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spans="1:67" s="2771" customFormat="1" ht="27.75">
      <c r="A27" s="2829" t="s">
        <v>711</v>
      </c>
      <c r="B27" s="2830"/>
      <c r="C27" s="2831" t="s">
        <v>712</v>
      </c>
      <c r="D27" s="2832"/>
      <c r="E27" s="1434"/>
      <c r="F27" s="1434"/>
      <c r="G27" s="2815"/>
      <c r="H27" s="2815"/>
      <c r="I27" s="2815"/>
      <c r="J27" s="2815"/>
      <c r="K27" s="2902"/>
      <c r="L27" s="2902"/>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row>
    <row r="28" spans="1:67" s="2771" customFormat="1" ht="27.75">
      <c r="A28" s="2833" t="s">
        <v>713</v>
      </c>
      <c r="B28" s="2834">
        <v>190</v>
      </c>
      <c r="C28" s="2835"/>
      <c r="D28" s="2832"/>
      <c r="E28" s="1434"/>
      <c r="F28" s="1434"/>
      <c r="G28" s="2815"/>
      <c r="H28" s="2815"/>
      <c r="I28" s="2815"/>
      <c r="J28" s="2815"/>
      <c r="K28" s="2902"/>
      <c r="L28" s="2902"/>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21"/>
      <c r="AT28" s="2221"/>
      <c r="AU28" s="2221"/>
      <c r="AV28" s="2221"/>
      <c r="AW28" s="2221"/>
      <c r="AX28" s="2221"/>
      <c r="AY28" s="2221"/>
      <c r="AZ28" s="2221"/>
      <c r="BA28" s="2221"/>
      <c r="BB28" s="2221"/>
      <c r="BC28" s="2221"/>
      <c r="BD28" s="2221"/>
      <c r="BE28" s="2221"/>
      <c r="BF28" s="2221"/>
      <c r="BG28" s="2221"/>
      <c r="BH28" s="2221"/>
      <c r="BI28" s="2221"/>
      <c r="BJ28" s="2221"/>
      <c r="BK28" s="2221"/>
      <c r="BL28" s="2221"/>
      <c r="BM28" s="2221"/>
      <c r="BN28" s="2221"/>
      <c r="BO28" s="2221"/>
    </row>
    <row r="29" spans="1:67" s="2771" customFormat="1" ht="27.75">
      <c r="A29" s="2836" t="s">
        <v>714</v>
      </c>
      <c r="B29" s="2837"/>
      <c r="C29" s="2838" t="s">
        <v>715</v>
      </c>
      <c r="D29" s="2832"/>
      <c r="E29" s="1434"/>
      <c r="F29" s="1434"/>
      <c r="G29" s="2815"/>
      <c r="H29" s="2815"/>
      <c r="I29" s="2815"/>
      <c r="J29" s="2815"/>
      <c r="K29" s="2902"/>
      <c r="L29" s="2902"/>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21"/>
      <c r="AT29" s="2221"/>
      <c r="AU29" s="2221"/>
      <c r="AV29" s="2221"/>
      <c r="AW29" s="2221"/>
      <c r="AX29" s="2221"/>
      <c r="AY29" s="2221"/>
      <c r="AZ29" s="2221"/>
      <c r="BA29" s="2221"/>
      <c r="BB29" s="2221"/>
      <c r="BC29" s="2221"/>
      <c r="BD29" s="2221"/>
      <c r="BE29" s="2221"/>
      <c r="BF29" s="2221"/>
      <c r="BG29" s="2221"/>
      <c r="BH29" s="2221"/>
      <c r="BI29" s="2221"/>
      <c r="BJ29" s="2221"/>
      <c r="BK29" s="2221"/>
      <c r="BL29" s="2221"/>
      <c r="BM29" s="2221"/>
      <c r="BN29" s="2221"/>
      <c r="BO29" s="2221"/>
    </row>
    <row r="30" spans="1:67" s="2771" customFormat="1" ht="27">
      <c r="A30" s="2839" t="s">
        <v>716</v>
      </c>
      <c r="B30" s="2840">
        <v>200</v>
      </c>
      <c r="C30" s="2835"/>
      <c r="D30" s="2832"/>
      <c r="E30" s="1434"/>
      <c r="F30" s="1434"/>
      <c r="G30" s="2815"/>
      <c r="H30" s="2815"/>
      <c r="I30" s="2815"/>
      <c r="J30" s="2815"/>
      <c r="K30" s="2902"/>
      <c r="L30" s="2902"/>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21"/>
      <c r="AT30" s="2221"/>
      <c r="AU30" s="2221"/>
      <c r="AV30" s="2221"/>
      <c r="AW30" s="2221"/>
      <c r="AX30" s="2221"/>
      <c r="AY30" s="2221"/>
      <c r="AZ30" s="2221"/>
      <c r="BA30" s="2221"/>
      <c r="BB30" s="2221"/>
      <c r="BC30" s="2221"/>
      <c r="BD30" s="2221"/>
      <c r="BE30" s="2221"/>
      <c r="BF30" s="2221"/>
      <c r="BG30" s="2221"/>
      <c r="BH30" s="2221"/>
      <c r="BI30" s="2221"/>
      <c r="BJ30" s="2221"/>
      <c r="BK30" s="2221"/>
      <c r="BL30" s="2221"/>
      <c r="BM30" s="2221"/>
      <c r="BN30" s="2221"/>
      <c r="BO30" s="2221"/>
    </row>
    <row r="31" spans="1:67" s="2771" customFormat="1" ht="27">
      <c r="A31" s="2833" t="s">
        <v>717</v>
      </c>
      <c r="B31" s="2841">
        <f>B30-B32</f>
        <v>200</v>
      </c>
      <c r="C31" s="2842"/>
      <c r="D31" s="2832"/>
      <c r="E31" s="1434"/>
      <c r="F31" s="1434"/>
      <c r="G31" s="2815"/>
      <c r="H31" s="2815"/>
      <c r="I31" s="2815"/>
      <c r="J31" s="2815"/>
      <c r="K31" s="2902"/>
      <c r="L31" s="2902"/>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21"/>
      <c r="AT31" s="2221"/>
      <c r="AU31" s="2221"/>
      <c r="AV31" s="2221"/>
      <c r="AW31" s="2221"/>
      <c r="AX31" s="2221"/>
      <c r="AY31" s="2221"/>
      <c r="AZ31" s="2221"/>
      <c r="BA31" s="2221"/>
      <c r="BB31" s="2221"/>
      <c r="BC31" s="2221"/>
      <c r="BD31" s="2221"/>
      <c r="BE31" s="2221"/>
      <c r="BF31" s="2221"/>
      <c r="BG31" s="2221"/>
      <c r="BH31" s="2221"/>
      <c r="BI31" s="2221"/>
      <c r="BJ31" s="2221"/>
      <c r="BK31" s="2221"/>
      <c r="BL31" s="2221"/>
      <c r="BM31" s="2221"/>
      <c r="BN31" s="2221"/>
      <c r="BO31" s="2221"/>
    </row>
    <row r="32" spans="1:67" s="2771" customFormat="1" ht="27">
      <c r="A32" s="2843" t="s">
        <v>718</v>
      </c>
      <c r="B32" s="2844">
        <v>0</v>
      </c>
      <c r="C32" s="2835"/>
      <c r="D32" s="2816"/>
      <c r="E32" s="2815"/>
      <c r="F32" s="2815"/>
      <c r="G32" s="2815"/>
      <c r="H32" s="2815"/>
      <c r="I32" s="2815"/>
      <c r="J32" s="2815"/>
      <c r="K32" s="2902"/>
      <c r="L32" s="2902"/>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21"/>
      <c r="AT32" s="2221"/>
      <c r="AU32" s="2221"/>
      <c r="AV32" s="2221"/>
      <c r="AW32" s="2221"/>
      <c r="AX32" s="2221"/>
      <c r="AY32" s="2221"/>
      <c r="AZ32" s="2221"/>
      <c r="BA32" s="2221"/>
      <c r="BB32" s="2221"/>
      <c r="BC32" s="2221"/>
      <c r="BD32" s="2221"/>
      <c r="BE32" s="2221"/>
      <c r="BF32" s="2221"/>
      <c r="BG32" s="2221"/>
      <c r="BH32" s="2221"/>
      <c r="BI32" s="2221"/>
      <c r="BJ32" s="2221"/>
      <c r="BK32" s="2221"/>
      <c r="BL32" s="2221"/>
      <c r="BM32" s="2221"/>
      <c r="BN32" s="2221"/>
      <c r="BO32" s="2221"/>
    </row>
    <row r="33" spans="1:67" s="2771" customFormat="1" ht="14.25">
      <c r="A33" s="2829" t="s">
        <v>719</v>
      </c>
      <c r="B33" s="2845">
        <v>0.05</v>
      </c>
      <c r="C33" s="2846" t="s">
        <v>720</v>
      </c>
      <c r="D33" s="2816"/>
      <c r="E33" s="2815"/>
      <c r="F33" s="2815"/>
      <c r="G33" s="2815"/>
      <c r="H33" s="2815"/>
      <c r="I33" s="2815"/>
      <c r="J33" s="2815"/>
      <c r="K33" s="2902"/>
      <c r="L33" s="2902"/>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21"/>
      <c r="AT33" s="2221"/>
      <c r="AU33" s="2221"/>
      <c r="AV33" s="2221"/>
      <c r="AW33" s="2221"/>
      <c r="AX33" s="2221"/>
      <c r="AY33" s="2221"/>
      <c r="AZ33" s="2221"/>
      <c r="BA33" s="2221"/>
      <c r="BB33" s="2221"/>
      <c r="BC33" s="2221"/>
      <c r="BD33" s="2221"/>
      <c r="BE33" s="2221"/>
      <c r="BF33" s="2221"/>
      <c r="BG33" s="2221"/>
      <c r="BH33" s="2221"/>
      <c r="BI33" s="2221"/>
      <c r="BJ33" s="2221"/>
      <c r="BK33" s="2221"/>
      <c r="BL33" s="2221"/>
      <c r="BM33" s="2221"/>
      <c r="BN33" s="2221"/>
      <c r="BO33" s="2221"/>
    </row>
    <row r="34" spans="1:67" s="2771" customFormat="1" ht="14.25">
      <c r="A34" s="2833" t="s">
        <v>721</v>
      </c>
      <c r="B34" s="2847">
        <v>0</v>
      </c>
      <c r="C34" s="2846" t="s">
        <v>722</v>
      </c>
      <c r="D34" s="2848" t="s">
        <v>723</v>
      </c>
      <c r="E34" s="2812"/>
      <c r="F34" s="2815"/>
      <c r="G34" s="2815"/>
      <c r="H34" s="2815"/>
      <c r="I34" s="2815"/>
      <c r="J34" s="2815"/>
      <c r="K34" s="2902"/>
      <c r="L34" s="2902"/>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21"/>
      <c r="AT34" s="2221"/>
      <c r="AU34" s="2221"/>
      <c r="AV34" s="2221"/>
      <c r="AW34" s="2221"/>
      <c r="AX34" s="2221"/>
      <c r="AY34" s="2221"/>
      <c r="AZ34" s="2221"/>
      <c r="BA34" s="2221"/>
      <c r="BB34" s="2221"/>
      <c r="BC34" s="2221"/>
      <c r="BD34" s="2221"/>
      <c r="BE34" s="2221"/>
      <c r="BF34" s="2221"/>
      <c r="BG34" s="2221"/>
      <c r="BH34" s="2221"/>
      <c r="BI34" s="2221"/>
      <c r="BJ34" s="2221"/>
      <c r="BK34" s="2221"/>
      <c r="BL34" s="2221"/>
      <c r="BM34" s="2221"/>
      <c r="BN34" s="2221"/>
      <c r="BO34" s="2221"/>
    </row>
    <row r="35" spans="1:67" s="2771" customFormat="1" ht="14.25">
      <c r="A35" s="2833" t="s">
        <v>724</v>
      </c>
      <c r="B35" s="2834">
        <v>200</v>
      </c>
      <c r="C35" s="2846" t="s">
        <v>725</v>
      </c>
      <c r="D35" s="2832"/>
      <c r="E35" s="1434"/>
      <c r="F35" s="1434"/>
      <c r="G35" s="2815"/>
      <c r="H35" s="2815"/>
      <c r="I35" s="2815"/>
      <c r="J35" s="2815"/>
      <c r="K35" s="2902"/>
      <c r="L35" s="2902"/>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c r="AS35" s="2221"/>
      <c r="AT35" s="2221"/>
      <c r="AU35" s="2221"/>
      <c r="AV35" s="2221"/>
      <c r="AW35" s="2221"/>
      <c r="AX35" s="2221"/>
      <c r="AY35" s="2221"/>
      <c r="AZ35" s="2221"/>
      <c r="BA35" s="2221"/>
      <c r="BB35" s="2221"/>
      <c r="BC35" s="2221"/>
      <c r="BD35" s="2221"/>
      <c r="BE35" s="2221"/>
      <c r="BF35" s="2221"/>
      <c r="BG35" s="2221"/>
      <c r="BH35" s="2221"/>
      <c r="BI35" s="2221"/>
      <c r="BJ35" s="2221"/>
      <c r="BK35" s="2221"/>
      <c r="BL35" s="2221"/>
      <c r="BM35" s="2221"/>
      <c r="BN35" s="2221"/>
      <c r="BO35" s="2221"/>
    </row>
    <row r="36" spans="1:67" ht="14.25">
      <c r="A36" s="2836" t="s">
        <v>726</v>
      </c>
      <c r="B36" s="2849">
        <v>0.02</v>
      </c>
      <c r="C36" s="2846" t="s">
        <v>727</v>
      </c>
      <c r="D36" s="2816"/>
      <c r="E36" s="2815"/>
      <c r="F36" s="2815"/>
      <c r="G36" s="2815"/>
      <c r="H36" s="2815"/>
      <c r="I36" s="2815"/>
      <c r="J36" s="2815"/>
      <c r="K36" s="2902"/>
      <c r="L36" s="2902"/>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spans="1:67" ht="14.25">
      <c r="A37" s="2839" t="s">
        <v>728</v>
      </c>
      <c r="B37" s="2850">
        <v>0.02</v>
      </c>
      <c r="C37" s="2846" t="s">
        <v>729</v>
      </c>
      <c r="D37" s="2816"/>
      <c r="E37" s="2815"/>
      <c r="F37" s="2815"/>
      <c r="G37" s="2815"/>
      <c r="H37" s="2815"/>
      <c r="I37" s="2815"/>
      <c r="J37" s="2815"/>
      <c r="K37" s="2902"/>
      <c r="L37" s="2902"/>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spans="1:67" ht="14.25">
      <c r="A38" s="2833" t="s">
        <v>730</v>
      </c>
      <c r="B38" s="2847">
        <v>0.02</v>
      </c>
      <c r="C38" s="2846" t="s">
        <v>731</v>
      </c>
      <c r="D38" s="2816"/>
      <c r="E38" s="2815"/>
      <c r="F38" s="2815"/>
      <c r="G38" s="2815"/>
      <c r="H38" s="2815"/>
      <c r="I38" s="2815"/>
      <c r="J38" s="2815"/>
      <c r="K38" s="2902"/>
      <c r="L38" s="2902"/>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spans="1:67" ht="14.25">
      <c r="A39" s="2843" t="s">
        <v>732</v>
      </c>
      <c r="B39" s="2851">
        <f ca="1">存贷款利率!I1</f>
        <v>1.4999999999999999E-2</v>
      </c>
      <c r="C39" s="2852"/>
      <c r="D39" s="2816"/>
      <c r="E39" s="2815"/>
      <c r="F39" s="2815"/>
      <c r="G39" s="2815"/>
      <c r="H39" s="2815"/>
      <c r="I39" s="2815"/>
      <c r="J39" s="2815"/>
      <c r="K39" s="2902"/>
      <c r="L39" s="2902"/>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spans="1:67" ht="14.25">
      <c r="A40" s="2853" t="s">
        <v>733</v>
      </c>
      <c r="B40" s="2854">
        <f ca="1">IF(A40="利息：取LPR",存贷款利率!G1,存贷款利率!G1+C40)</f>
        <v>3.1300000000000001E-2</v>
      </c>
      <c r="C40" s="2855"/>
      <c r="D40" s="2233"/>
      <c r="E40" s="2816"/>
      <c r="F40" s="2815"/>
      <c r="G40" s="2815"/>
      <c r="H40" s="2815"/>
      <c r="I40" s="2815"/>
      <c r="J40" s="2815"/>
      <c r="K40" s="2902"/>
      <c r="L40" s="2902"/>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spans="1:67" ht="14.25">
      <c r="A41" s="2829" t="s">
        <v>734</v>
      </c>
      <c r="B41" s="2856">
        <f>B42+B43</f>
        <v>5.5E-2</v>
      </c>
      <c r="C41" s="2842"/>
      <c r="D41" s="2233"/>
      <c r="E41" s="2816"/>
      <c r="F41" s="2815"/>
      <c r="G41" s="2815"/>
      <c r="H41" s="2815"/>
      <c r="I41" s="2815"/>
      <c r="J41" s="2815"/>
      <c r="K41" s="2902"/>
      <c r="L41" s="2902"/>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spans="1:67" ht="14.25">
      <c r="A42" s="2857" t="s">
        <v>735</v>
      </c>
      <c r="B42" s="2858">
        <v>0.05</v>
      </c>
      <c r="C42" s="2859">
        <f>IF(B2&lt;DATE(2016,5,1),0,B42)</f>
        <v>0.05</v>
      </c>
      <c r="D42" s="2816"/>
      <c r="E42" s="2815"/>
      <c r="F42" s="2815"/>
      <c r="G42" s="2815"/>
      <c r="H42" s="2815"/>
      <c r="I42" s="2815"/>
      <c r="J42" s="2815"/>
      <c r="K42" s="2902"/>
      <c r="L42" s="2902"/>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spans="1:67" ht="14.25">
      <c r="A43" s="2857" t="s">
        <v>736</v>
      </c>
      <c r="B43" s="2860">
        <f>B42*(B44+B45+B46)+B47</f>
        <v>5.0000000000000001E-3</v>
      </c>
      <c r="C43" s="2842"/>
      <c r="D43" s="2816"/>
      <c r="E43" s="2815"/>
      <c r="F43" s="2815"/>
      <c r="G43" s="2815"/>
      <c r="H43" s="2815"/>
      <c r="I43" s="2815"/>
      <c r="J43" s="2815"/>
      <c r="K43" s="2902"/>
      <c r="L43" s="2902"/>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spans="1:67" ht="14.25">
      <c r="A44" s="2861" t="s">
        <v>737</v>
      </c>
      <c r="B44" s="2862">
        <v>0.05</v>
      </c>
      <c r="C44" s="2846" t="s">
        <v>738</v>
      </c>
      <c r="D44" s="2816"/>
      <c r="E44" s="2815"/>
      <c r="F44" s="2815"/>
      <c r="G44" s="2815"/>
      <c r="H44" s="2815"/>
      <c r="I44" s="2815"/>
      <c r="J44" s="2815"/>
      <c r="K44" s="2902"/>
      <c r="L44" s="2902"/>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spans="1:67" ht="14.25">
      <c r="A45" s="2861" t="s">
        <v>739</v>
      </c>
      <c r="B45" s="2858">
        <v>0.03</v>
      </c>
      <c r="C45" s="2838" t="s">
        <v>740</v>
      </c>
      <c r="D45" s="2816"/>
      <c r="E45" s="2815"/>
      <c r="F45" s="2815"/>
      <c r="G45" s="2815"/>
      <c r="H45" s="2815"/>
      <c r="I45" s="2815"/>
      <c r="J45" s="2815"/>
      <c r="K45" s="2902"/>
      <c r="L45" s="2902"/>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spans="1:67" ht="14.25">
      <c r="A46" s="2861" t="s">
        <v>741</v>
      </c>
      <c r="B46" s="2858">
        <v>0.02</v>
      </c>
      <c r="C46" s="2838" t="s">
        <v>742</v>
      </c>
      <c r="D46" s="2816"/>
      <c r="E46" s="2815"/>
      <c r="F46" s="2815"/>
      <c r="G46" s="2815"/>
      <c r="H46" s="2815"/>
      <c r="I46" s="2815"/>
      <c r="J46" s="2815"/>
      <c r="K46" s="2902"/>
      <c r="L46" s="2902"/>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spans="1:67" ht="14.25">
      <c r="A47" s="2863" t="s">
        <v>743</v>
      </c>
      <c r="B47" s="2864"/>
      <c r="C47" s="2865" t="s">
        <v>744</v>
      </c>
      <c r="D47" s="2816"/>
      <c r="E47" s="2815"/>
      <c r="F47" s="2815"/>
      <c r="G47" s="2815"/>
      <c r="H47" s="2815"/>
      <c r="I47" s="2815"/>
      <c r="J47" s="2815"/>
      <c r="K47" s="2902"/>
      <c r="L47" s="2902"/>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spans="1:67" ht="14.25">
      <c r="A48" s="2866" t="s">
        <v>745</v>
      </c>
      <c r="B48" s="2867">
        <v>0.03</v>
      </c>
      <c r="C48" s="2838" t="s">
        <v>740</v>
      </c>
      <c r="D48" s="2816"/>
      <c r="E48" s="2815"/>
      <c r="F48" s="2815"/>
      <c r="G48" s="2815"/>
      <c r="H48" s="2815"/>
      <c r="I48" s="2815"/>
      <c r="J48" s="2815"/>
      <c r="K48" s="2902"/>
      <c r="L48" s="2902"/>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spans="1:44" ht="14.25">
      <c r="A49" s="2843" t="s">
        <v>746</v>
      </c>
      <c r="B49" s="2858">
        <v>5.0000000000000001E-4</v>
      </c>
      <c r="C49" s="2838" t="s">
        <v>747</v>
      </c>
      <c r="D49" s="2816"/>
      <c r="E49" s="2815"/>
      <c r="F49" s="2815"/>
      <c r="G49" s="2815"/>
      <c r="H49" s="2815"/>
      <c r="I49" s="2815"/>
      <c r="J49" s="2815"/>
      <c r="K49" s="2902"/>
      <c r="L49" s="2902"/>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spans="1:44" ht="14.25">
      <c r="A50" s="2868" t="s">
        <v>748</v>
      </c>
      <c r="B50" s="2869">
        <v>1.2E-2</v>
      </c>
      <c r="C50" s="1434"/>
      <c r="D50" s="2816"/>
      <c r="E50" s="2815"/>
      <c r="F50" s="2815"/>
      <c r="G50" s="2815"/>
      <c r="H50" s="2815"/>
      <c r="I50" s="2815"/>
      <c r="J50" s="2815"/>
      <c r="K50" s="2902"/>
      <c r="L50" s="2902"/>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spans="1:44" ht="14.25">
      <c r="A51" s="2836" t="s">
        <v>749</v>
      </c>
      <c r="B51" s="2870">
        <v>0.12</v>
      </c>
      <c r="C51" s="1434"/>
      <c r="D51" s="2816"/>
      <c r="E51" s="2815"/>
      <c r="F51" s="2815"/>
      <c r="G51" s="2815"/>
      <c r="H51" s="2815"/>
      <c r="I51" s="2815"/>
      <c r="J51" s="2815"/>
      <c r="K51" s="2902"/>
      <c r="L51" s="2902"/>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spans="1:44" ht="14.25">
      <c r="A52" s="2868" t="s">
        <v>750</v>
      </c>
      <c r="B52" s="2871">
        <f>SUMIF(A54:A63,B53,B54:B63)</f>
        <v>0</v>
      </c>
      <c r="C52" s="1434"/>
      <c r="D52" s="2816"/>
      <c r="E52" s="2815"/>
      <c r="F52" s="2815"/>
      <c r="G52" s="2815"/>
      <c r="H52" s="2815"/>
      <c r="I52" s="2815"/>
      <c r="J52" s="2815"/>
      <c r="K52" s="2902"/>
      <c r="L52" s="2902"/>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spans="1:44" ht="27">
      <c r="A53" s="2833" t="s">
        <v>751</v>
      </c>
      <c r="B53" s="2872"/>
      <c r="C53" s="1434" t="s">
        <v>752</v>
      </c>
      <c r="D53" s="2873" t="s">
        <v>753</v>
      </c>
      <c r="E53" s="2815"/>
      <c r="F53" s="2815"/>
      <c r="G53" s="2815"/>
      <c r="H53" s="2815"/>
      <c r="I53" s="2815"/>
      <c r="J53" s="2815"/>
      <c r="K53" s="2902"/>
      <c r="L53" s="2902"/>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spans="1:44" ht="14.25">
      <c r="A54" s="2874" t="s">
        <v>754</v>
      </c>
      <c r="B54" s="2875"/>
      <c r="C54" s="1434">
        <v>30</v>
      </c>
      <c r="D54" s="2816"/>
      <c r="E54" s="2815"/>
      <c r="F54" s="2815"/>
      <c r="G54" s="2815"/>
      <c r="H54" s="2815"/>
      <c r="I54" s="2815"/>
      <c r="J54" s="2815"/>
      <c r="K54" s="2902"/>
      <c r="L54" s="2902"/>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spans="1:44" ht="14.25">
      <c r="A55" s="2874" t="s">
        <v>755</v>
      </c>
      <c r="B55" s="2875"/>
      <c r="C55" s="1434">
        <v>24</v>
      </c>
      <c r="D55" s="2816"/>
      <c r="E55" s="2815"/>
      <c r="F55" s="2815"/>
      <c r="G55" s="2815"/>
      <c r="H55" s="2815"/>
      <c r="I55" s="2903"/>
      <c r="J55" s="2815"/>
      <c r="K55" s="2902"/>
      <c r="L55" s="2902"/>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spans="1:44" ht="14.25">
      <c r="A56" s="2874" t="s">
        <v>756</v>
      </c>
      <c r="B56" s="2875"/>
      <c r="C56" s="1434">
        <v>18</v>
      </c>
      <c r="D56" s="2816"/>
      <c r="E56" s="2815"/>
      <c r="F56" s="2815"/>
      <c r="G56" s="2815"/>
      <c r="H56" s="2815"/>
      <c r="I56" s="2815"/>
      <c r="J56" s="2815"/>
      <c r="K56" s="2902"/>
      <c r="L56" s="2902"/>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spans="1:44" ht="14.25">
      <c r="A57" s="2874" t="s">
        <v>757</v>
      </c>
      <c r="B57" s="2875"/>
      <c r="C57" s="1434">
        <v>12</v>
      </c>
      <c r="D57" s="2816"/>
      <c r="E57" s="2815"/>
      <c r="F57" s="2815"/>
      <c r="G57" s="2815"/>
      <c r="H57" s="2815"/>
      <c r="I57" s="2815"/>
      <c r="J57" s="2815"/>
      <c r="K57" s="2902"/>
      <c r="L57" s="2902"/>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spans="1:44" ht="14.25">
      <c r="A58" s="2874" t="s">
        <v>758</v>
      </c>
      <c r="B58" s="2875"/>
      <c r="C58" s="1434">
        <v>3</v>
      </c>
      <c r="D58" s="2816"/>
      <c r="E58" s="2815"/>
      <c r="F58" s="2815"/>
      <c r="G58" s="2815"/>
      <c r="H58" s="2815"/>
      <c r="I58" s="2815"/>
      <c r="J58" s="2815"/>
      <c r="K58" s="2902"/>
      <c r="L58" s="2902"/>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spans="1:44" ht="14.25">
      <c r="A59" s="2874" t="s">
        <v>759</v>
      </c>
      <c r="B59" s="2875"/>
      <c r="C59" s="1434">
        <v>1.5</v>
      </c>
      <c r="D59" s="2816"/>
      <c r="E59" s="2815"/>
      <c r="F59" s="2815"/>
      <c r="G59" s="2815"/>
      <c r="H59" s="2815"/>
      <c r="I59" s="2815"/>
      <c r="J59" s="2815"/>
      <c r="K59" s="2902"/>
      <c r="L59" s="2902"/>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spans="1:44" ht="14.25">
      <c r="A60" s="2874" t="s">
        <v>760</v>
      </c>
      <c r="B60" s="2875"/>
      <c r="C60" s="2815"/>
      <c r="D60" s="2816"/>
      <c r="E60" s="2815"/>
      <c r="F60" s="2815"/>
      <c r="G60" s="2815"/>
      <c r="H60" s="2815"/>
      <c r="I60" s="2815"/>
      <c r="J60" s="2815"/>
      <c r="K60" s="2902"/>
      <c r="L60" s="2902"/>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spans="1:44" ht="14.25">
      <c r="A61" s="2874" t="s">
        <v>761</v>
      </c>
      <c r="B61" s="2875"/>
      <c r="C61" s="2815"/>
      <c r="D61" s="2816"/>
      <c r="E61" s="2815"/>
      <c r="F61" s="2815"/>
      <c r="G61" s="2815"/>
      <c r="H61" s="2815"/>
      <c r="I61" s="2815"/>
      <c r="J61" s="2815"/>
      <c r="K61" s="2902"/>
      <c r="L61" s="2902"/>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spans="1:44" ht="14.25">
      <c r="A62" s="2874" t="s">
        <v>762</v>
      </c>
      <c r="B62" s="2875"/>
      <c r="C62" s="2815"/>
      <c r="D62" s="2816"/>
      <c r="E62" s="2815"/>
      <c r="F62" s="2815"/>
      <c r="G62" s="2815"/>
      <c r="H62" s="2815"/>
      <c r="I62" s="2815"/>
      <c r="J62" s="2815"/>
      <c r="K62" s="2902"/>
      <c r="L62" s="2902"/>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spans="1:44" ht="14.25">
      <c r="A63" s="2876" t="s">
        <v>763</v>
      </c>
      <c r="B63" s="2877"/>
      <c r="C63" s="2815"/>
      <c r="D63" s="2816"/>
      <c r="E63" s="2815"/>
      <c r="F63" s="2815"/>
      <c r="G63" s="2815"/>
      <c r="H63" s="2815"/>
      <c r="I63" s="2815"/>
      <c r="J63" s="2815"/>
      <c r="K63" s="2902"/>
      <c r="L63" s="2902"/>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pans="1:44" s="2305" customFormat="1">
      <c r="A64" s="2878"/>
      <c r="B64" s="2233"/>
      <c r="C64" s="2233"/>
      <c r="D64" s="2813"/>
      <c r="E64" s="2233"/>
      <c r="F64" s="2233"/>
      <c r="G64" s="2233"/>
      <c r="H64" s="2233"/>
      <c r="I64" s="2233"/>
      <c r="J64" s="2233"/>
      <c r="K64" s="2902"/>
      <c r="L64" s="2902"/>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pans="1:44" s="2305" customFormat="1">
      <c r="A65" s="2878"/>
      <c r="B65" s="2233"/>
      <c r="C65" s="2233"/>
      <c r="D65" s="2813"/>
      <c r="E65" s="2233"/>
      <c r="F65" s="2233"/>
      <c r="G65" s="2233"/>
      <c r="H65" s="2233"/>
      <c r="I65" s="2233"/>
      <c r="J65" s="2233"/>
      <c r="K65" s="2902"/>
      <c r="L65" s="2902"/>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pans="1:44" s="2305" customFormat="1">
      <c r="A66" s="2878"/>
      <c r="B66" s="2233"/>
      <c r="C66" s="2233"/>
      <c r="D66" s="2813"/>
      <c r="E66" s="2233"/>
      <c r="F66" s="2233"/>
      <c r="G66" s="2233"/>
      <c r="H66" s="2233"/>
      <c r="I66" s="2233"/>
      <c r="J66" s="2233"/>
      <c r="K66" s="2902"/>
      <c r="L66" s="2902"/>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pans="1:44" s="2305" customFormat="1">
      <c r="A67" s="2878"/>
      <c r="B67" s="2233"/>
      <c r="C67" s="2233"/>
      <c r="D67" s="2813"/>
      <c r="E67" s="2233"/>
      <c r="F67" s="2233"/>
      <c r="G67" s="2233"/>
      <c r="H67" s="2233"/>
      <c r="I67" s="2233"/>
      <c r="J67" s="2233"/>
      <c r="K67" s="2902"/>
      <c r="L67" s="2902"/>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pans="1:44" s="2305" customFormat="1">
      <c r="A68" s="2878"/>
      <c r="B68" s="2233"/>
      <c r="C68" s="2233"/>
      <c r="D68" s="2813"/>
      <c r="E68" s="2233"/>
      <c r="F68" s="2233"/>
      <c r="G68" s="2233"/>
      <c r="H68" s="2233"/>
      <c r="I68" s="2233"/>
      <c r="J68" s="2233"/>
      <c r="K68" s="2902"/>
      <c r="L68" s="2902"/>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pans="1:44" s="2305" customFormat="1">
      <c r="A69" s="2659"/>
      <c r="D69" s="2967"/>
      <c r="K69" s="663"/>
      <c r="L69" s="663"/>
    </row>
    <row r="70" spans="1:44" s="2305" customFormat="1">
      <c r="A70" s="2659"/>
      <c r="D70" s="2967"/>
      <c r="K70" s="663"/>
      <c r="L70" s="663"/>
    </row>
    <row r="71" spans="1:44" s="2305" customFormat="1">
      <c r="A71" s="2659"/>
      <c r="D71" s="2967"/>
      <c r="K71" s="663"/>
      <c r="L71" s="663"/>
    </row>
    <row r="72" spans="1:44" s="2305" customFormat="1">
      <c r="A72" s="2659"/>
      <c r="D72" s="2967"/>
      <c r="K72" s="663"/>
      <c r="L72" s="663"/>
    </row>
    <row r="73" spans="1:44" s="2305" customFormat="1">
      <c r="A73" s="2659"/>
      <c r="D73" s="2967"/>
      <c r="K73" s="663"/>
      <c r="L73" s="663"/>
    </row>
    <row r="74" spans="1:44" s="2305" customFormat="1">
      <c r="A74" s="2659"/>
      <c r="D74" s="2967"/>
      <c r="K74" s="663"/>
      <c r="L74" s="663"/>
    </row>
    <row r="75" spans="1:44" s="2305" customFormat="1">
      <c r="A75" s="2659"/>
      <c r="D75" s="2967"/>
      <c r="K75" s="663"/>
      <c r="L75" s="663"/>
    </row>
    <row r="76" spans="1:44" s="2305" customFormat="1">
      <c r="A76" s="2659"/>
      <c r="D76" s="2967"/>
      <c r="K76" s="663"/>
      <c r="L76" s="663"/>
    </row>
    <row r="77" spans="1:44" s="2305" customFormat="1">
      <c r="A77" s="2659"/>
      <c r="D77" s="2967"/>
      <c r="K77" s="663"/>
      <c r="L77" s="663"/>
    </row>
    <row r="78" spans="1:44" s="2305" customFormat="1">
      <c r="A78" s="2659"/>
      <c r="D78" s="2967"/>
      <c r="K78" s="663"/>
      <c r="L78" s="663"/>
    </row>
    <row r="79" spans="1:44" s="2305" customFormat="1">
      <c r="A79" s="2659"/>
      <c r="D79" s="2967"/>
      <c r="K79" s="663"/>
      <c r="L79" s="663"/>
    </row>
    <row r="80" spans="1:44" s="2305" customFormat="1">
      <c r="A80" s="2659"/>
      <c r="D80" s="2967"/>
      <c r="K80" s="663"/>
      <c r="L80" s="663"/>
    </row>
    <row r="81" spans="1:12" s="2305" customFormat="1">
      <c r="A81" s="2659"/>
      <c r="D81" s="2967"/>
      <c r="K81" s="663"/>
      <c r="L81" s="663"/>
    </row>
    <row r="82" spans="1:12" s="2305" customFormat="1">
      <c r="A82" s="2659"/>
      <c r="D82" s="2967"/>
      <c r="K82" s="663"/>
      <c r="L82" s="663"/>
    </row>
    <row r="83" spans="1:12" s="2305" customFormat="1">
      <c r="A83" s="2659"/>
      <c r="D83" s="2967"/>
      <c r="K83" s="663"/>
      <c r="L83" s="663"/>
    </row>
    <row r="84" spans="1:12" s="2305" customFormat="1">
      <c r="A84" s="2659"/>
      <c r="D84" s="2967"/>
      <c r="K84" s="663"/>
      <c r="L84" s="663"/>
    </row>
    <row r="85" spans="1:12" s="2305" customFormat="1">
      <c r="A85" s="2659"/>
      <c r="D85" s="2967"/>
      <c r="K85" s="663"/>
      <c r="L85" s="663"/>
    </row>
    <row r="86" spans="1:12" s="2305" customFormat="1">
      <c r="A86" s="2659"/>
      <c r="D86" s="2967"/>
      <c r="K86" s="663"/>
      <c r="L86" s="663"/>
    </row>
    <row r="87" spans="1:12" s="2305" customFormat="1">
      <c r="A87" s="2659"/>
      <c r="D87" s="2967"/>
      <c r="K87" s="663"/>
      <c r="L87" s="663"/>
    </row>
    <row r="88" spans="1:12" s="2305" customFormat="1">
      <c r="A88" s="2659"/>
      <c r="D88" s="2967"/>
      <c r="K88" s="663"/>
      <c r="L88" s="663"/>
    </row>
    <row r="89" spans="1:12" s="2305" customFormat="1">
      <c r="A89" s="2659"/>
      <c r="D89" s="2967"/>
      <c r="K89" s="663"/>
      <c r="L89" s="663"/>
    </row>
    <row r="90" spans="1:12" s="2305" customFormat="1">
      <c r="A90" s="2659"/>
      <c r="D90" s="2967"/>
      <c r="K90" s="663"/>
      <c r="L90" s="663"/>
    </row>
    <row r="91" spans="1:12" s="2305" customFormat="1">
      <c r="A91" s="2659"/>
      <c r="D91" s="2967"/>
      <c r="K91" s="663"/>
      <c r="L91" s="663"/>
    </row>
    <row r="92" spans="1:12" s="2305" customFormat="1">
      <c r="A92" s="2659"/>
      <c r="D92" s="2967"/>
      <c r="K92" s="663"/>
      <c r="L92" s="663"/>
    </row>
    <row r="93" spans="1:12" s="2305" customFormat="1">
      <c r="A93" s="2659"/>
      <c r="D93" s="2967"/>
      <c r="K93" s="663"/>
      <c r="L93" s="663"/>
    </row>
    <row r="94" spans="1:12" s="2305" customFormat="1">
      <c r="A94" s="2659"/>
      <c r="D94" s="2967"/>
      <c r="K94" s="663"/>
      <c r="L94" s="663"/>
    </row>
    <row r="95" spans="1:12" s="2305" customFormat="1">
      <c r="A95" s="2659"/>
      <c r="D95" s="2967"/>
      <c r="K95" s="663"/>
      <c r="L95" s="663"/>
    </row>
    <row r="96" spans="1:12" s="2305" customFormat="1">
      <c r="A96" s="2659"/>
      <c r="D96" s="2967"/>
      <c r="K96" s="663"/>
      <c r="L96" s="663"/>
    </row>
    <row r="97" spans="1:12" s="2305" customFormat="1">
      <c r="A97" s="2659"/>
      <c r="D97" s="2967"/>
      <c r="K97" s="663"/>
      <c r="L97" s="663"/>
    </row>
    <row r="98" spans="1:12" s="2305" customFormat="1">
      <c r="A98" s="2659"/>
      <c r="D98" s="2967"/>
      <c r="K98" s="663"/>
      <c r="L98" s="663"/>
    </row>
    <row r="99" spans="1:12" s="2305" customFormat="1">
      <c r="A99" s="2659"/>
      <c r="D99" s="2967"/>
      <c r="K99" s="663"/>
      <c r="L99" s="663"/>
    </row>
    <row r="100" spans="1:12" s="2305" customFormat="1">
      <c r="A100" s="2659"/>
      <c r="D100" s="2967"/>
      <c r="K100" s="663"/>
      <c r="L100" s="663"/>
    </row>
    <row r="101" spans="1:12" s="2305" customFormat="1">
      <c r="A101" s="2659"/>
      <c r="D101" s="2967"/>
      <c r="K101" s="663"/>
      <c r="L101" s="663"/>
    </row>
    <row r="102" spans="1:12" s="2305" customFormat="1">
      <c r="A102" s="2659"/>
      <c r="D102" s="2967"/>
      <c r="K102" s="663"/>
      <c r="L102" s="663"/>
    </row>
    <row r="103" spans="1:12" s="2305" customFormat="1">
      <c r="A103" s="2659"/>
      <c r="D103" s="2967"/>
      <c r="K103" s="663"/>
      <c r="L103" s="663"/>
    </row>
    <row r="104" spans="1:12" s="2305" customFormat="1">
      <c r="A104" s="2659"/>
      <c r="D104" s="2967"/>
      <c r="K104" s="663"/>
      <c r="L104" s="663"/>
    </row>
    <row r="105" spans="1:12" s="2305" customFormat="1">
      <c r="A105" s="2659"/>
      <c r="D105" s="2967"/>
      <c r="K105" s="663"/>
      <c r="L105" s="663"/>
    </row>
    <row r="106" spans="1:12" s="2305" customFormat="1">
      <c r="A106" s="2659"/>
      <c r="D106" s="2967"/>
      <c r="K106" s="663"/>
      <c r="L106" s="663"/>
    </row>
    <row r="107" spans="1:12" s="2305" customFormat="1">
      <c r="A107" s="2659"/>
      <c r="D107" s="2967"/>
      <c r="K107" s="663"/>
      <c r="L107" s="663"/>
    </row>
    <row r="108" spans="1:12" s="2305" customFormat="1">
      <c r="A108" s="2659"/>
      <c r="D108" s="2967"/>
      <c r="K108" s="663"/>
      <c r="L108" s="663"/>
    </row>
    <row r="109" spans="1:12" s="2305" customFormat="1">
      <c r="A109" s="2659"/>
      <c r="D109" s="2967"/>
      <c r="K109" s="663"/>
      <c r="L109" s="663"/>
    </row>
    <row r="110" spans="1:12" s="2305" customFormat="1">
      <c r="A110" s="2659"/>
      <c r="D110" s="2967"/>
      <c r="K110" s="663"/>
      <c r="L110" s="663"/>
    </row>
    <row r="111" spans="1:12" s="2305" customFormat="1">
      <c r="A111" s="2659"/>
      <c r="D111" s="2967"/>
      <c r="K111" s="663"/>
      <c r="L111" s="663"/>
    </row>
    <row r="112" spans="1:12" s="2305" customFormat="1">
      <c r="A112" s="2659"/>
      <c r="D112" s="2967"/>
      <c r="K112" s="663"/>
      <c r="L112" s="663"/>
    </row>
    <row r="113" spans="1:12" s="2305" customFormat="1">
      <c r="A113" s="2659"/>
      <c r="D113" s="2967"/>
      <c r="K113" s="663"/>
      <c r="L113" s="663"/>
    </row>
    <row r="114" spans="1:12" s="2305" customFormat="1">
      <c r="A114" s="2659"/>
      <c r="D114" s="2967"/>
      <c r="K114" s="663"/>
      <c r="L114" s="663"/>
    </row>
    <row r="115" spans="1:12" s="2305" customFormat="1">
      <c r="A115" s="2659"/>
      <c r="D115" s="2967"/>
      <c r="K115" s="663"/>
      <c r="L115" s="663"/>
    </row>
    <row r="116" spans="1:12" s="2305" customFormat="1">
      <c r="A116" s="2659"/>
      <c r="D116" s="2967"/>
      <c r="K116" s="663"/>
      <c r="L116" s="663"/>
    </row>
    <row r="117" spans="1:12" s="2305" customFormat="1">
      <c r="A117" s="2659"/>
      <c r="D117" s="2967"/>
      <c r="K117" s="663"/>
      <c r="L117" s="663"/>
    </row>
    <row r="118" spans="1:12" s="2305" customFormat="1">
      <c r="A118" s="2659"/>
      <c r="D118" s="2967"/>
      <c r="K118" s="663"/>
      <c r="L118" s="663"/>
    </row>
    <row r="119" spans="1:12" s="2305" customFormat="1">
      <c r="A119" s="2659"/>
      <c r="D119" s="2967"/>
      <c r="K119" s="663"/>
      <c r="L119" s="663"/>
    </row>
    <row r="120" spans="1:12" s="2305" customFormat="1">
      <c r="A120" s="2659"/>
      <c r="D120" s="2967"/>
      <c r="K120" s="663"/>
      <c r="L120" s="663"/>
    </row>
    <row r="121" spans="1:12" s="2305" customFormat="1">
      <c r="A121" s="2659"/>
      <c r="D121" s="2967"/>
      <c r="K121" s="663"/>
      <c r="L121" s="663"/>
    </row>
    <row r="122" spans="1:12" s="2305" customFormat="1">
      <c r="A122" s="2659"/>
      <c r="D122" s="2967"/>
      <c r="K122" s="663"/>
      <c r="L122" s="663"/>
    </row>
    <row r="123" spans="1:12" s="2305" customFormat="1">
      <c r="A123" s="2659"/>
      <c r="D123" s="2967"/>
      <c r="K123" s="663"/>
      <c r="L123" s="663"/>
    </row>
    <row r="124" spans="1:12" s="2305" customFormat="1">
      <c r="A124" s="2659"/>
      <c r="D124" s="2967"/>
      <c r="K124" s="663"/>
      <c r="L124" s="663"/>
    </row>
    <row r="125" spans="1:12" s="2305" customFormat="1">
      <c r="A125" s="2659"/>
      <c r="D125" s="2967"/>
      <c r="K125" s="663"/>
      <c r="L125" s="663"/>
    </row>
    <row r="126" spans="1:12" s="2305" customFormat="1">
      <c r="A126" s="2659"/>
      <c r="D126" s="2967"/>
      <c r="K126" s="663"/>
      <c r="L126" s="663"/>
    </row>
    <row r="127" spans="1:12" s="2305" customFormat="1">
      <c r="A127" s="2659"/>
      <c r="D127" s="2967"/>
      <c r="K127" s="663"/>
      <c r="L127" s="663"/>
    </row>
    <row r="128" spans="1:12" s="2305" customFormat="1">
      <c r="A128" s="2659"/>
      <c r="D128" s="2967"/>
      <c r="K128" s="663"/>
      <c r="L128" s="663"/>
    </row>
    <row r="129" spans="1:12" s="2305" customFormat="1">
      <c r="A129" s="2659"/>
      <c r="D129" s="2967"/>
      <c r="K129" s="663"/>
      <c r="L129" s="663"/>
    </row>
    <row r="130" spans="1:12" s="2305" customFormat="1">
      <c r="A130" s="2659"/>
      <c r="D130" s="2967"/>
      <c r="K130" s="663"/>
      <c r="L130" s="663"/>
    </row>
    <row r="131" spans="1:12" s="2305" customFormat="1">
      <c r="A131" s="2659"/>
      <c r="D131" s="2967"/>
      <c r="K131" s="663"/>
      <c r="L131" s="663"/>
    </row>
    <row r="132" spans="1:12" s="2305" customFormat="1">
      <c r="A132" s="2659"/>
      <c r="D132" s="2967"/>
      <c r="K132" s="663"/>
      <c r="L132" s="663"/>
    </row>
    <row r="133" spans="1:12" s="2305" customFormat="1">
      <c r="A133" s="2659"/>
      <c r="D133" s="2967"/>
      <c r="K133" s="663"/>
      <c r="L133" s="663"/>
    </row>
    <row r="134" spans="1:12" s="2772" customFormat="1">
      <c r="A134" s="2968"/>
      <c r="D134" s="2969"/>
      <c r="K134" s="563"/>
      <c r="L134" s="563"/>
    </row>
    <row r="135" spans="1:12" s="2772" customFormat="1">
      <c r="A135" s="2968"/>
      <c r="D135" s="2969"/>
      <c r="K135" s="563"/>
      <c r="L135" s="563"/>
    </row>
    <row r="136" spans="1:12" s="2772" customFormat="1">
      <c r="A136" s="2968"/>
      <c r="D136" s="2969"/>
      <c r="K136" s="563"/>
      <c r="L136" s="563"/>
    </row>
    <row r="137" spans="1:12" s="2772" customFormat="1">
      <c r="A137" s="2968"/>
      <c r="D137" s="2969"/>
      <c r="K137" s="563"/>
      <c r="L137" s="563"/>
    </row>
    <row r="138" spans="1:12" s="2772" customFormat="1">
      <c r="A138" s="2968"/>
      <c r="D138" s="2969"/>
      <c r="K138" s="563"/>
      <c r="L138" s="563"/>
    </row>
    <row r="139" spans="1:12" s="2772" customFormat="1">
      <c r="A139" s="2968"/>
      <c r="D139" s="2969"/>
      <c r="K139" s="563"/>
      <c r="L139" s="563"/>
    </row>
    <row r="140" spans="1:12" s="2772" customFormat="1">
      <c r="A140" s="2968"/>
      <c r="D140" s="2969"/>
      <c r="K140" s="563"/>
      <c r="L140" s="563"/>
    </row>
    <row r="141" spans="1:12" s="2772" customFormat="1">
      <c r="A141" s="2968"/>
      <c r="D141" s="2969"/>
      <c r="K141" s="563"/>
      <c r="L141" s="563"/>
    </row>
    <row r="142" spans="1:12" s="2772" customFormat="1">
      <c r="A142" s="2968"/>
      <c r="D142" s="2969"/>
      <c r="K142" s="563"/>
      <c r="L142" s="563"/>
    </row>
    <row r="143" spans="1:12" s="2772" customFormat="1">
      <c r="A143" s="2968"/>
      <c r="D143" s="2969"/>
      <c r="K143" s="563"/>
      <c r="L143" s="563"/>
    </row>
    <row r="144" spans="1:12" s="2772" customFormat="1">
      <c r="A144" s="2968"/>
      <c r="D144" s="2969"/>
      <c r="K144" s="563"/>
      <c r="L144" s="563"/>
    </row>
    <row r="145" spans="1:12" s="2772" customFormat="1">
      <c r="A145" s="2968"/>
      <c r="D145" s="2969"/>
      <c r="K145" s="563"/>
      <c r="L145" s="563"/>
    </row>
    <row r="146" spans="1:12" s="2772" customFormat="1">
      <c r="A146" s="2968"/>
      <c r="D146" s="2969"/>
      <c r="K146" s="563"/>
      <c r="L146" s="563"/>
    </row>
    <row r="147" spans="1:12" s="2772" customFormat="1">
      <c r="A147" s="2968"/>
      <c r="D147" s="2969"/>
      <c r="K147" s="563"/>
      <c r="L147" s="563"/>
    </row>
    <row r="148" spans="1:12" s="2772" customFormat="1">
      <c r="A148" s="2968"/>
      <c r="D148" s="2969"/>
      <c r="K148" s="563"/>
      <c r="L148" s="563"/>
    </row>
    <row r="149" spans="1:12" s="2772" customFormat="1">
      <c r="A149" s="2968"/>
      <c r="D149" s="2969"/>
      <c r="K149" s="563"/>
      <c r="L149" s="563"/>
    </row>
    <row r="150" spans="1:12" s="2772" customFormat="1">
      <c r="A150" s="2968"/>
      <c r="D150" s="2969"/>
      <c r="K150" s="563"/>
      <c r="L150" s="563"/>
    </row>
    <row r="151" spans="1:12" s="2772" customFormat="1">
      <c r="A151" s="2968"/>
      <c r="D151" s="2969"/>
      <c r="K151" s="563"/>
      <c r="L151" s="563"/>
    </row>
    <row r="152" spans="1:12" s="2772" customFormat="1">
      <c r="A152" s="2968"/>
      <c r="D152" s="2969"/>
      <c r="K152" s="563"/>
      <c r="L152" s="563"/>
    </row>
    <row r="153" spans="1:12" s="2772" customFormat="1">
      <c r="A153" s="2968"/>
      <c r="D153" s="2969"/>
      <c r="K153" s="563"/>
      <c r="L153" s="563"/>
    </row>
    <row r="154" spans="1:12" s="2772" customFormat="1">
      <c r="A154" s="2968"/>
      <c r="D154" s="2969"/>
      <c r="K154" s="563"/>
      <c r="L154" s="563"/>
    </row>
    <row r="155" spans="1:12" s="2772" customFormat="1">
      <c r="A155" s="2968"/>
      <c r="D155" s="2969"/>
      <c r="K155" s="563"/>
      <c r="L155" s="563"/>
    </row>
    <row r="156" spans="1:12" s="2772" customFormat="1">
      <c r="A156" s="2968"/>
      <c r="D156" s="2969"/>
      <c r="K156" s="563"/>
      <c r="L156" s="563"/>
    </row>
    <row r="157" spans="1:12" s="2772" customFormat="1">
      <c r="A157" s="2968"/>
      <c r="D157" s="2969"/>
      <c r="K157" s="563"/>
      <c r="L157" s="563"/>
    </row>
    <row r="158" spans="1:12" s="2772" customFormat="1">
      <c r="A158" s="2968"/>
      <c r="D158" s="2969"/>
      <c r="K158" s="563"/>
      <c r="L158" s="563"/>
    </row>
    <row r="159" spans="1:12" s="2772" customFormat="1">
      <c r="A159" s="2968"/>
      <c r="D159" s="2969"/>
      <c r="K159" s="563"/>
      <c r="L159" s="563"/>
    </row>
    <row r="160" spans="1:12" s="2772" customFormat="1">
      <c r="A160" s="2968"/>
      <c r="D160" s="2969"/>
      <c r="K160" s="563"/>
      <c r="L160" s="563"/>
    </row>
    <row r="161" spans="1:12" s="2772" customFormat="1">
      <c r="A161" s="2968"/>
      <c r="D161" s="2969"/>
      <c r="K161" s="563"/>
      <c r="L161" s="563"/>
    </row>
    <row r="162" spans="1:12" s="2772" customFormat="1">
      <c r="A162" s="2968"/>
      <c r="D162" s="2969"/>
      <c r="K162" s="563"/>
      <c r="L162" s="563"/>
    </row>
    <row r="163" spans="1:12" s="2772" customFormat="1">
      <c r="A163" s="2968"/>
      <c r="D163" s="2969"/>
      <c r="K163" s="563"/>
      <c r="L163" s="563"/>
    </row>
    <row r="164" spans="1:12" s="2772" customFormat="1">
      <c r="A164" s="2968"/>
      <c r="D164" s="2969"/>
      <c r="K164" s="563"/>
      <c r="L164" s="563"/>
    </row>
    <row r="165" spans="1:12" s="2772" customFormat="1">
      <c r="A165" s="2968"/>
      <c r="D165" s="2969"/>
      <c r="K165" s="563"/>
      <c r="L165" s="563"/>
    </row>
    <row r="166" spans="1:12" s="2772" customFormat="1">
      <c r="A166" s="2968"/>
      <c r="D166" s="2969"/>
      <c r="K166" s="563"/>
      <c r="L166" s="563"/>
    </row>
    <row r="167" spans="1:12" s="2772" customFormat="1">
      <c r="A167" s="2968"/>
      <c r="D167" s="2969"/>
      <c r="K167" s="563"/>
      <c r="L167" s="563"/>
    </row>
    <row r="168" spans="1:12" s="2772" customFormat="1">
      <c r="A168" s="2968"/>
      <c r="D168" s="2969"/>
      <c r="K168" s="563"/>
      <c r="L168" s="563"/>
    </row>
    <row r="169" spans="1:12" s="2772" customFormat="1">
      <c r="A169" s="2968"/>
      <c r="D169" s="2969"/>
      <c r="K169" s="563"/>
      <c r="L169" s="563"/>
    </row>
    <row r="170" spans="1:12" s="2772" customFormat="1">
      <c r="A170" s="2968"/>
      <c r="D170" s="2969"/>
      <c r="K170" s="563"/>
      <c r="L170" s="563"/>
    </row>
    <row r="171" spans="1:12" s="2772" customFormat="1">
      <c r="A171" s="2968"/>
      <c r="D171" s="2969"/>
      <c r="K171" s="563"/>
      <c r="L171" s="563"/>
    </row>
    <row r="172" spans="1:12" s="2772" customFormat="1">
      <c r="A172" s="2968"/>
      <c r="D172" s="2969"/>
      <c r="K172" s="563"/>
      <c r="L172" s="563"/>
    </row>
    <row r="173" spans="1:12" s="2772" customFormat="1">
      <c r="A173" s="2968"/>
      <c r="D173" s="2969"/>
      <c r="K173" s="563"/>
      <c r="L173" s="563"/>
    </row>
    <row r="174" spans="1:12" s="2772" customFormat="1">
      <c r="A174" s="2968"/>
      <c r="D174" s="2969"/>
      <c r="K174" s="563"/>
      <c r="L174" s="563"/>
    </row>
  </sheetData>
  <sheetProtection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0" customWidth="1"/>
    <col min="2" max="2" width="24.5" style="2701" customWidth="1"/>
    <col min="3" max="3" width="24.5" style="2702" customWidth="1"/>
    <col min="4" max="4" width="2.625" style="2702" customWidth="1"/>
    <col min="5" max="5" width="5.875" style="2702" customWidth="1"/>
    <col min="6" max="6" width="27" style="2701" customWidth="1"/>
    <col min="7" max="7" width="27" style="2703"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222"/>
    <col min="30" max="16384" width="9" style="2700"/>
  </cols>
  <sheetData>
    <row r="1" spans="1:29" s="2698" customFormat="1" ht="18">
      <c r="A1" s="3578" t="s">
        <v>764</v>
      </c>
      <c r="B1" s="3579"/>
      <c r="C1" s="3579"/>
      <c r="D1" s="3579"/>
      <c r="E1" s="3579"/>
      <c r="F1" s="3579"/>
      <c r="G1" s="3579"/>
      <c r="H1" s="2707"/>
      <c r="I1" s="2759"/>
      <c r="J1" s="2707"/>
      <c r="K1" s="2707"/>
      <c r="L1" s="2759"/>
      <c r="M1" s="2707"/>
      <c r="N1" s="2707"/>
      <c r="O1" s="2759"/>
      <c r="P1" s="2707"/>
      <c r="Q1" s="2766"/>
      <c r="R1" s="2767"/>
      <c r="S1" s="2768"/>
      <c r="T1" s="2768"/>
      <c r="U1" s="2768"/>
      <c r="V1" s="2768"/>
      <c r="W1" s="2768"/>
      <c r="X1" s="2768"/>
      <c r="Y1" s="2768"/>
      <c r="Z1" s="2768"/>
      <c r="AA1" s="2768"/>
      <c r="AB1" s="2768"/>
      <c r="AC1" s="2768"/>
    </row>
    <row r="2" spans="1:29">
      <c r="A2" s="2708"/>
      <c r="B2" s="2709"/>
      <c r="C2" s="2710" t="s">
        <v>765</v>
      </c>
      <c r="D2" s="2711"/>
      <c r="E2" s="2708"/>
      <c r="F2" s="2712"/>
      <c r="G2" s="2710" t="s">
        <v>766</v>
      </c>
      <c r="H2" s="2222"/>
      <c r="I2" s="2222"/>
      <c r="J2" s="2222"/>
      <c r="K2" s="2222"/>
      <c r="L2" s="2222"/>
      <c r="M2" s="2222"/>
      <c r="N2" s="2222"/>
      <c r="O2" s="2222"/>
      <c r="P2" s="2222"/>
      <c r="Q2" s="2222"/>
      <c r="R2" s="2222"/>
    </row>
    <row r="3" spans="1:29" ht="48">
      <c r="A3" s="2713" t="s">
        <v>767</v>
      </c>
      <c r="B3" s="2714" t="s">
        <v>768</v>
      </c>
      <c r="C3" s="2715" t="s">
        <v>769</v>
      </c>
      <c r="D3" s="2716"/>
      <c r="E3" s="2717" t="s">
        <v>767</v>
      </c>
      <c r="F3" s="2718" t="s">
        <v>770</v>
      </c>
      <c r="G3" s="2719" t="s">
        <v>771</v>
      </c>
      <c r="H3" s="2222"/>
      <c r="I3" s="2222"/>
      <c r="J3" s="2222"/>
      <c r="K3" s="2222"/>
      <c r="L3" s="2222"/>
      <c r="M3" s="2222"/>
      <c r="N3" s="2222"/>
      <c r="O3" s="2222"/>
      <c r="P3" s="2222"/>
      <c r="Q3" s="2222"/>
      <c r="R3" s="2222"/>
    </row>
    <row r="4" spans="1:29" ht="36.75">
      <c r="A4" s="2717"/>
      <c r="B4" s="2012" t="s">
        <v>772</v>
      </c>
      <c r="C4" s="2720" t="s">
        <v>773</v>
      </c>
      <c r="D4" s="2716"/>
      <c r="E4" s="2721"/>
      <c r="F4" s="2088" t="s">
        <v>774</v>
      </c>
      <c r="G4" s="2722" t="s">
        <v>775</v>
      </c>
      <c r="H4" s="2222"/>
      <c r="I4" s="2222"/>
      <c r="J4" s="2222"/>
      <c r="K4" s="2222"/>
      <c r="L4" s="2222"/>
      <c r="M4" s="2222"/>
      <c r="N4" s="2222"/>
      <c r="O4" s="2222"/>
      <c r="P4" s="2222"/>
      <c r="Q4" s="2222"/>
      <c r="R4" s="2222"/>
    </row>
    <row r="5" spans="1:29" ht="36.75">
      <c r="A5" s="2717"/>
      <c r="B5" s="2012" t="s">
        <v>776</v>
      </c>
      <c r="C5" s="2720" t="s">
        <v>777</v>
      </c>
      <c r="D5" s="2716"/>
      <c r="E5" s="2721"/>
      <c r="F5" s="2012" t="s">
        <v>596</v>
      </c>
      <c r="G5" s="2722" t="s">
        <v>778</v>
      </c>
      <c r="H5" s="2222"/>
      <c r="I5" s="2222"/>
      <c r="J5" s="2222"/>
      <c r="K5" s="2222"/>
      <c r="L5" s="2222"/>
      <c r="M5" s="2222"/>
      <c r="N5" s="2222"/>
      <c r="O5" s="2222"/>
      <c r="P5" s="2222"/>
      <c r="Q5" s="2222"/>
      <c r="R5" s="2222"/>
    </row>
    <row r="6" spans="1:29" ht="36">
      <c r="A6" s="2717"/>
      <c r="B6" s="2012" t="s">
        <v>774</v>
      </c>
      <c r="C6" s="2722" t="s">
        <v>775</v>
      </c>
      <c r="D6" s="2716"/>
      <c r="E6" s="2721"/>
      <c r="F6" s="2012" t="s">
        <v>779</v>
      </c>
      <c r="G6" s="2722" t="s">
        <v>780</v>
      </c>
      <c r="H6" s="2222"/>
      <c r="I6" s="2222"/>
      <c r="J6" s="2222"/>
      <c r="K6" s="2222"/>
      <c r="L6" s="2222"/>
      <c r="M6" s="2222"/>
      <c r="N6" s="2222"/>
      <c r="O6" s="2222"/>
      <c r="P6" s="2222"/>
      <c r="Q6" s="2222"/>
      <c r="R6" s="2222"/>
    </row>
    <row r="7" spans="1:29" ht="24">
      <c r="A7" s="2717"/>
      <c r="B7" s="2012" t="s">
        <v>596</v>
      </c>
      <c r="C7" s="2722" t="s">
        <v>778</v>
      </c>
      <c r="D7" s="2723"/>
      <c r="E7" s="2724"/>
      <c r="F7" s="2725" t="s">
        <v>781</v>
      </c>
      <c r="G7" s="2726" t="s">
        <v>782</v>
      </c>
      <c r="H7" s="2222"/>
      <c r="I7" s="2222"/>
      <c r="J7" s="2222"/>
      <c r="K7" s="2222"/>
      <c r="L7" s="2222"/>
      <c r="M7" s="2222"/>
      <c r="N7" s="2222"/>
      <c r="O7" s="2222"/>
      <c r="P7" s="2222"/>
      <c r="Q7" s="2222"/>
      <c r="R7" s="2222"/>
    </row>
    <row r="8" spans="1:29">
      <c r="A8" s="2717"/>
      <c r="B8" s="2012" t="s">
        <v>779</v>
      </c>
      <c r="C8" s="2722" t="s">
        <v>780</v>
      </c>
      <c r="D8" s="2723"/>
      <c r="E8" s="2723"/>
      <c r="F8" s="2132"/>
      <c r="G8" s="2132"/>
      <c r="H8" s="2222"/>
      <c r="I8" s="2222"/>
      <c r="J8" s="2222"/>
      <c r="K8" s="2222"/>
      <c r="L8" s="2222"/>
      <c r="M8" s="2222"/>
      <c r="N8" s="2222"/>
      <c r="O8" s="2222"/>
      <c r="P8" s="2222"/>
      <c r="Q8" s="2222"/>
      <c r="R8" s="2222"/>
    </row>
    <row r="9" spans="1:29" ht="24">
      <c r="A9" s="2717"/>
      <c r="B9" s="2012" t="s">
        <v>783</v>
      </c>
      <c r="C9" s="2720" t="s">
        <v>784</v>
      </c>
      <c r="D9" s="2716"/>
      <c r="E9" s="2723"/>
      <c r="F9" s="2132"/>
      <c r="G9" s="2132"/>
      <c r="H9" s="2222"/>
      <c r="I9" s="2222"/>
      <c r="J9" s="2222"/>
      <c r="K9" s="2222"/>
      <c r="L9" s="2222"/>
      <c r="M9" s="2222"/>
      <c r="N9" s="2222"/>
      <c r="O9" s="2222"/>
      <c r="P9" s="2222"/>
      <c r="Q9" s="2222"/>
      <c r="R9" s="2222"/>
    </row>
    <row r="10" spans="1:29" s="2699" customFormat="1">
      <c r="A10" s="2727"/>
      <c r="B10" s="2728" t="s">
        <v>785</v>
      </c>
      <c r="C10" s="2729"/>
      <c r="D10" s="2716"/>
      <c r="E10" s="2716"/>
      <c r="F10" s="2132"/>
      <c r="G10" s="2132"/>
      <c r="H10" s="2730"/>
      <c r="I10" s="2760"/>
      <c r="J10" s="2761"/>
      <c r="K10" s="2730"/>
      <c r="L10" s="2760"/>
      <c r="M10" s="2761"/>
      <c r="N10" s="2730"/>
      <c r="O10" s="2760"/>
      <c r="P10" s="2761"/>
      <c r="Q10" s="2730"/>
      <c r="R10" s="2760"/>
      <c r="S10" s="2222"/>
      <c r="T10" s="2222"/>
      <c r="U10" s="2222"/>
      <c r="V10" s="2222"/>
      <c r="W10" s="2222"/>
      <c r="X10" s="2222"/>
      <c r="Y10" s="2222"/>
      <c r="Z10" s="2222"/>
      <c r="AA10" s="2222"/>
      <c r="AB10" s="2222"/>
      <c r="AC10" s="2222"/>
    </row>
    <row r="11" spans="1:29" s="2699" customFormat="1">
      <c r="A11" s="2731"/>
      <c r="B11" s="2723"/>
      <c r="C11" s="2716"/>
      <c r="D11" s="2716"/>
      <c r="E11" s="2716"/>
      <c r="F11" s="2723"/>
      <c r="G11" s="2732"/>
      <c r="H11" s="2730"/>
      <c r="I11" s="2760"/>
      <c r="J11" s="2761"/>
      <c r="K11" s="2730"/>
      <c r="L11" s="2760"/>
      <c r="M11" s="2761"/>
      <c r="N11" s="2730"/>
      <c r="O11" s="2760"/>
      <c r="P11" s="2761"/>
      <c r="Q11" s="2730"/>
      <c r="R11" s="2760"/>
      <c r="S11" s="2222"/>
      <c r="T11" s="2222"/>
      <c r="U11" s="2222"/>
      <c r="V11" s="2222"/>
      <c r="W11" s="2222"/>
      <c r="X11" s="2222"/>
      <c r="Y11" s="2222"/>
      <c r="Z11" s="2222"/>
      <c r="AA11" s="2222"/>
      <c r="AB11" s="2222"/>
      <c r="AC11" s="2222"/>
    </row>
    <row r="12" spans="1:29" s="2698" customFormat="1" ht="18">
      <c r="A12" s="2731"/>
      <c r="B12" s="2723"/>
      <c r="C12" s="2716"/>
      <c r="D12" s="2733"/>
      <c r="E12" s="2716"/>
      <c r="F12" s="2723"/>
      <c r="G12" s="2732"/>
      <c r="H12" s="2734"/>
      <c r="I12" s="2762"/>
      <c r="J12" s="2734"/>
      <c r="K12" s="2734"/>
      <c r="L12" s="2763"/>
      <c r="M12" s="2734"/>
      <c r="N12" s="2764"/>
      <c r="O12" s="2765"/>
      <c r="P12" s="2764"/>
      <c r="Q12" s="2764"/>
      <c r="R12" s="2767"/>
      <c r="S12" s="2768"/>
      <c r="T12" s="2768"/>
      <c r="U12" s="2768"/>
      <c r="V12" s="2768"/>
      <c r="W12" s="2768"/>
      <c r="X12" s="2768"/>
      <c r="Y12" s="2768"/>
      <c r="Z12" s="2768"/>
      <c r="AA12" s="2768"/>
      <c r="AB12" s="2768"/>
      <c r="AC12" s="2768"/>
    </row>
    <row r="13" spans="1:29" ht="15">
      <c r="A13" s="2735" t="s">
        <v>786</v>
      </c>
      <c r="B13" s="2733"/>
      <c r="C13" s="2733"/>
      <c r="D13" s="2731"/>
      <c r="E13" s="2733"/>
      <c r="F13" s="2733"/>
      <c r="G13" s="2733"/>
    </row>
    <row r="14" spans="1:29">
      <c r="A14" s="2736"/>
      <c r="B14" s="2736"/>
      <c r="C14" s="2737" t="s">
        <v>765</v>
      </c>
      <c r="D14" s="2716"/>
      <c r="E14" s="2738"/>
      <c r="F14" s="2738"/>
      <c r="G14" s="2710" t="s">
        <v>766</v>
      </c>
    </row>
    <row r="15" spans="1:29" ht="51">
      <c r="A15" s="2739" t="s">
        <v>767</v>
      </c>
      <c r="B15" s="2740" t="s">
        <v>768</v>
      </c>
      <c r="C15" s="2741" t="str">
        <f>C3</f>
        <v>估价对象周边居住用地比例、居住小区规模和社区发展完善程度，综合评价居住社区成熟度一般</v>
      </c>
      <c r="D15" s="2716"/>
      <c r="E15" s="2742" t="s">
        <v>767</v>
      </c>
      <c r="F15" s="2740" t="s">
        <v>770</v>
      </c>
      <c r="G15" s="2743" t="str">
        <f>G3</f>
        <v>估价对象位于XX开发区，园区建设成熟度XX，产业集聚程度XX</v>
      </c>
    </row>
    <row r="16" spans="1:29" ht="38.25">
      <c r="A16" s="2744"/>
      <c r="B16" s="2745" t="s">
        <v>772</v>
      </c>
      <c r="C16" s="2746" t="str">
        <f>C4</f>
        <v>估价对象位于XX商圈，周边商业氛围成熟，人流量大，商业繁华度好</v>
      </c>
      <c r="D16" s="2716"/>
      <c r="E16" s="2747"/>
      <c r="F16" s="2748" t="s">
        <v>774</v>
      </c>
      <c r="G16" s="2749" t="str">
        <f>G4</f>
        <v>估价对象周边道路状况、公共交通通达情况、停车便捷程度，综合评价交通便捷度较好</v>
      </c>
    </row>
    <row r="17" spans="1:18" ht="38.25">
      <c r="A17" s="2744"/>
      <c r="B17" s="2745" t="s">
        <v>776</v>
      </c>
      <c r="C17" s="2746" t="str">
        <f>C5</f>
        <v>估价对象位于XX商圈，周边办公楼项目较多，入驻率高，办公集聚程度较好</v>
      </c>
      <c r="D17" s="2723"/>
      <c r="E17" s="2747"/>
      <c r="F17" s="2748" t="s">
        <v>787</v>
      </c>
      <c r="G17" s="2750"/>
    </row>
    <row r="18" spans="1:18" ht="38.25">
      <c r="A18" s="2744"/>
      <c r="B18" s="2748" t="s">
        <v>774</v>
      </c>
      <c r="C18" s="2749" t="str">
        <f>C6</f>
        <v>估价对象周边道路状况、公共交通通达情况、停车便捷程度，综合评价交通便捷度较好</v>
      </c>
      <c r="D18" s="2723"/>
      <c r="E18" s="2747"/>
      <c r="F18" s="2748" t="s">
        <v>781</v>
      </c>
      <c r="G18" s="2749" t="str">
        <f>G7</f>
        <v>该园区内是否有污染型企业，绿化情况，卫生条件，整体环境状况判断</v>
      </c>
    </row>
    <row r="19" spans="1:18" ht="25.5">
      <c r="A19" s="2744"/>
      <c r="B19" s="2748" t="s">
        <v>787</v>
      </c>
      <c r="C19" s="2750"/>
      <c r="D19" s="2716"/>
      <c r="E19" s="2747"/>
      <c r="F19" s="2012" t="s">
        <v>596</v>
      </c>
      <c r="G19" s="2749" t="str">
        <f>G5</f>
        <v>估价对象所在区域公共配套设施齐备情况</v>
      </c>
    </row>
    <row r="20" spans="1:18" ht="25.5">
      <c r="A20" s="2744"/>
      <c r="B20" s="2748" t="s">
        <v>788</v>
      </c>
      <c r="C20" s="2746" t="str">
        <f>C9</f>
        <v>区域自然环境：；人文环境；综合评价环境状况一般</v>
      </c>
      <c r="D20" s="2723"/>
      <c r="E20" s="2747"/>
      <c r="F20" s="2012" t="s">
        <v>779</v>
      </c>
      <c r="G20" s="2749" t="str">
        <f>G6</f>
        <v>估价对象所在区域基础设施水平</v>
      </c>
    </row>
    <row r="21" spans="1:18" ht="25.5">
      <c r="A21" s="2744"/>
      <c r="B21" s="2012" t="s">
        <v>596</v>
      </c>
      <c r="C21" s="2749" t="str">
        <f>C7</f>
        <v>估价对象所在区域公共配套设施齐备情况</v>
      </c>
      <c r="D21" s="2716"/>
      <c r="E21" s="2747"/>
      <c r="F21" s="2748" t="s">
        <v>789</v>
      </c>
      <c r="G21" s="2751"/>
    </row>
    <row r="22" spans="1:18" ht="13.5" customHeight="1">
      <c r="A22" s="2744"/>
      <c r="B22" s="2012" t="s">
        <v>779</v>
      </c>
      <c r="C22" s="2749" t="str">
        <f>C8</f>
        <v>估价对象所在区域基础设施水平</v>
      </c>
      <c r="D22" s="2716"/>
      <c r="E22" s="2747"/>
      <c r="F22" s="2748" t="s">
        <v>785</v>
      </c>
      <c r="G22" s="2750"/>
    </row>
    <row r="23" spans="1:18" s="2222" customFormat="1">
      <c r="A23" s="2744"/>
      <c r="B23" s="2748" t="s">
        <v>789</v>
      </c>
      <c r="C23" s="2751"/>
      <c r="D23" s="2659"/>
      <c r="E23" s="2752"/>
      <c r="F23" s="2753" t="s">
        <v>545</v>
      </c>
      <c r="G23" s="2754"/>
      <c r="H23" s="2704"/>
      <c r="I23" s="2705"/>
      <c r="J23" s="2704"/>
      <c r="K23" s="2704"/>
      <c r="L23" s="2705"/>
      <c r="M23" s="2704"/>
      <c r="N23" s="2704"/>
      <c r="O23" s="2705"/>
      <c r="P23" s="2704"/>
      <c r="Q23" s="2704"/>
      <c r="R23" s="2706"/>
    </row>
    <row r="24" spans="1:18" s="2222" customFormat="1">
      <c r="A24" s="2755"/>
      <c r="B24" s="2753" t="s">
        <v>785</v>
      </c>
      <c r="C24" s="2756">
        <f>C10</f>
        <v>0</v>
      </c>
      <c r="D24" s="2659"/>
      <c r="E24" s="2757"/>
      <c r="F24" s="2757"/>
      <c r="G24" s="2758"/>
      <c r="H24" s="2704"/>
      <c r="I24" s="2705"/>
      <c r="J24" s="2704"/>
      <c r="K24" s="2704"/>
      <c r="L24" s="2705"/>
      <c r="M24" s="2704"/>
      <c r="N24" s="2704"/>
      <c r="O24" s="2705"/>
      <c r="P24" s="2704"/>
      <c r="Q24" s="2704"/>
      <c r="R24" s="2706"/>
    </row>
    <row r="25" spans="1:18" s="2222" customFormat="1">
      <c r="B25" s="2704"/>
      <c r="C25" s="2704"/>
      <c r="D25" s="2704"/>
      <c r="H25" s="2704"/>
      <c r="I25" s="2705"/>
      <c r="J25" s="2704"/>
      <c r="K25" s="2704"/>
      <c r="L25" s="2705"/>
      <c r="M25" s="2704"/>
      <c r="N25" s="2704"/>
      <c r="O25" s="2705"/>
      <c r="P25" s="2704"/>
      <c r="Q25" s="2704"/>
      <c r="R25" s="2706"/>
    </row>
    <row r="26" spans="1:18" s="2222" customFormat="1">
      <c r="B26" s="2704"/>
      <c r="C26" s="2704"/>
      <c r="D26" s="2704"/>
      <c r="H26" s="2704"/>
      <c r="I26" s="2705"/>
      <c r="J26" s="2704"/>
      <c r="K26" s="2704"/>
      <c r="L26" s="2705"/>
      <c r="M26" s="2704"/>
      <c r="N26" s="2704"/>
      <c r="O26" s="2705"/>
      <c r="P26" s="2704"/>
      <c r="Q26" s="2704"/>
      <c r="R26" s="2706"/>
    </row>
    <row r="27" spans="1:18" s="2222" customFormat="1">
      <c r="B27" s="2704"/>
      <c r="C27" s="2704"/>
      <c r="D27" s="2704"/>
      <c r="H27" s="2704"/>
      <c r="I27" s="2705"/>
      <c r="J27" s="2704"/>
      <c r="K27" s="2704"/>
      <c r="L27" s="2705"/>
      <c r="M27" s="2704"/>
      <c r="N27" s="2704"/>
      <c r="O27" s="2705"/>
      <c r="P27" s="2704"/>
      <c r="Q27" s="2704"/>
      <c r="R27" s="2706"/>
    </row>
    <row r="28" spans="1:18" s="2222" customFormat="1">
      <c r="B28" s="2704"/>
      <c r="C28" s="2704"/>
      <c r="D28" s="2704"/>
      <c r="H28" s="2704"/>
      <c r="I28" s="2705"/>
      <c r="J28" s="2704"/>
      <c r="K28" s="2704"/>
      <c r="L28" s="2705"/>
      <c r="M28" s="2704"/>
      <c r="N28" s="2704"/>
      <c r="O28" s="2705"/>
      <c r="P28" s="2704"/>
      <c r="Q28" s="2704"/>
      <c r="R28" s="2706"/>
    </row>
    <row r="29" spans="1:18" s="2222" customFormat="1">
      <c r="B29" s="2704"/>
      <c r="C29" s="2704"/>
      <c r="D29" s="2704"/>
      <c r="H29" s="2704"/>
      <c r="I29" s="2705"/>
      <c r="J29" s="2704"/>
      <c r="K29" s="2704"/>
      <c r="L29" s="2705"/>
      <c r="M29" s="2704"/>
      <c r="N29" s="2704"/>
      <c r="O29" s="2705"/>
      <c r="P29" s="2704"/>
      <c r="Q29" s="2704"/>
      <c r="R29" s="2706"/>
    </row>
    <row r="30" spans="1:18" s="2222" customFormat="1">
      <c r="B30" s="2704"/>
      <c r="C30" s="2704"/>
      <c r="D30" s="2704"/>
      <c r="H30" s="2704"/>
      <c r="I30" s="2705"/>
      <c r="J30" s="2704"/>
      <c r="K30" s="2704"/>
      <c r="L30" s="2705"/>
      <c r="M30" s="2704"/>
      <c r="N30" s="2704"/>
      <c r="O30" s="2705"/>
      <c r="P30" s="2704"/>
      <c r="Q30" s="2704"/>
      <c r="R30" s="2706"/>
    </row>
    <row r="31" spans="1:18" s="2222" customFormat="1">
      <c r="B31" s="2704"/>
      <c r="C31" s="2704"/>
      <c r="D31" s="2704"/>
      <c r="H31" s="2704"/>
      <c r="I31" s="2705"/>
      <c r="J31" s="2704"/>
      <c r="K31" s="2704"/>
      <c r="L31" s="2705"/>
      <c r="M31" s="2704"/>
      <c r="N31" s="2704"/>
      <c r="O31" s="2705"/>
      <c r="P31" s="2704"/>
      <c r="Q31" s="2704"/>
      <c r="R31" s="2706"/>
    </row>
    <row r="32" spans="1:18" s="2222" customFormat="1">
      <c r="B32" s="2704"/>
      <c r="C32" s="2704"/>
      <c r="D32" s="2704"/>
      <c r="H32" s="2704"/>
      <c r="I32" s="2705"/>
      <c r="J32" s="2704"/>
      <c r="K32" s="2704"/>
      <c r="L32" s="2705"/>
      <c r="M32" s="2704"/>
      <c r="N32" s="2704"/>
      <c r="O32" s="2705"/>
      <c r="P32" s="2704"/>
      <c r="Q32" s="2704"/>
      <c r="R32" s="2706"/>
    </row>
    <row r="33" spans="2:18" s="2222" customFormat="1">
      <c r="B33" s="2704"/>
      <c r="C33" s="2704"/>
      <c r="D33" s="2704"/>
      <c r="H33" s="2704"/>
      <c r="I33" s="2705"/>
      <c r="J33" s="2704"/>
      <c r="K33" s="2704"/>
      <c r="L33" s="2705"/>
      <c r="M33" s="2704"/>
      <c r="N33" s="2704"/>
      <c r="O33" s="2705"/>
      <c r="P33" s="2704"/>
      <c r="Q33" s="2704"/>
      <c r="R33" s="2706"/>
    </row>
    <row r="34" spans="2:18" s="2222" customFormat="1">
      <c r="B34" s="2704"/>
      <c r="C34" s="2704"/>
      <c r="D34" s="2704"/>
      <c r="H34" s="2704"/>
      <c r="I34" s="2705"/>
      <c r="J34" s="2704"/>
      <c r="K34" s="2704"/>
      <c r="L34" s="2705"/>
      <c r="M34" s="2704"/>
      <c r="N34" s="2704"/>
      <c r="O34" s="2705"/>
      <c r="P34" s="2704"/>
      <c r="Q34" s="2704"/>
      <c r="R34" s="2706"/>
    </row>
    <row r="35" spans="2:18" s="2222" customFormat="1">
      <c r="B35" s="2704"/>
      <c r="C35" s="2704"/>
      <c r="D35" s="2704"/>
      <c r="H35" s="2704"/>
      <c r="I35" s="2705"/>
      <c r="J35" s="2704"/>
      <c r="K35" s="2704"/>
      <c r="L35" s="2705"/>
      <c r="M35" s="2704"/>
      <c r="N35" s="2704"/>
      <c r="O35" s="2705"/>
      <c r="P35" s="2704"/>
      <c r="Q35" s="2704"/>
      <c r="R35" s="2706"/>
    </row>
    <row r="36" spans="2:18" s="2222" customFormat="1">
      <c r="B36" s="2704"/>
      <c r="C36" s="2704"/>
      <c r="D36" s="2704"/>
      <c r="H36" s="2704"/>
      <c r="I36" s="2705"/>
      <c r="J36" s="2704"/>
      <c r="K36" s="2704"/>
      <c r="L36" s="2705"/>
      <c r="M36" s="2704"/>
      <c r="N36" s="2704"/>
      <c r="O36" s="2705"/>
      <c r="P36" s="2704"/>
      <c r="Q36" s="2704"/>
      <c r="R36" s="2706"/>
    </row>
    <row r="37" spans="2:18" s="2222" customFormat="1">
      <c r="B37" s="2704"/>
      <c r="C37" s="2704"/>
      <c r="D37" s="2704"/>
      <c r="H37" s="2704"/>
      <c r="I37" s="2705"/>
      <c r="J37" s="2704"/>
      <c r="K37" s="2704"/>
      <c r="L37" s="2705"/>
      <c r="M37" s="2704"/>
      <c r="N37" s="2704"/>
      <c r="O37" s="2705"/>
      <c r="P37" s="2704"/>
      <c r="Q37" s="2704"/>
      <c r="R37" s="2706"/>
    </row>
    <row r="38" spans="2:18" s="2222" customFormat="1">
      <c r="B38" s="2704"/>
      <c r="C38" s="2704"/>
      <c r="D38" s="2704"/>
      <c r="E38" s="2704"/>
      <c r="F38" s="2704"/>
      <c r="G38" s="2705"/>
      <c r="H38" s="2704"/>
      <c r="I38" s="2705"/>
      <c r="J38" s="2704"/>
      <c r="K38" s="2704"/>
      <c r="L38" s="2705"/>
      <c r="M38" s="2704"/>
      <c r="N38" s="2704"/>
      <c r="O38" s="2705"/>
      <c r="P38" s="2704"/>
      <c r="Q38" s="2704"/>
      <c r="R38" s="2706"/>
    </row>
    <row r="39" spans="2:18" s="2222" customFormat="1">
      <c r="B39" s="2704"/>
      <c r="C39" s="2704"/>
      <c r="D39" s="2704"/>
      <c r="E39" s="2704"/>
      <c r="F39" s="2704"/>
      <c r="G39" s="2705"/>
      <c r="H39" s="2704"/>
      <c r="I39" s="2705"/>
      <c r="J39" s="2704"/>
      <c r="K39" s="2704"/>
      <c r="L39" s="2705"/>
      <c r="M39" s="2704"/>
      <c r="N39" s="2704"/>
      <c r="O39" s="2705"/>
      <c r="P39" s="2704"/>
      <c r="Q39" s="2704"/>
      <c r="R39" s="2706"/>
    </row>
    <row r="40" spans="2:18" s="2222" customFormat="1">
      <c r="B40" s="2704"/>
      <c r="C40" s="2704"/>
      <c r="D40" s="2704"/>
      <c r="E40" s="2704"/>
      <c r="F40" s="2704"/>
      <c r="G40" s="2705"/>
      <c r="H40" s="2704"/>
      <c r="I40" s="2705"/>
      <c r="J40" s="2704"/>
      <c r="K40" s="2704"/>
      <c r="L40" s="2705"/>
      <c r="M40" s="2704"/>
      <c r="N40" s="2704"/>
      <c r="O40" s="2705"/>
      <c r="P40" s="2704"/>
      <c r="Q40" s="2704"/>
      <c r="R40" s="2706"/>
    </row>
    <row r="41" spans="2:18" s="2222" customFormat="1">
      <c r="B41" s="2704"/>
      <c r="C41" s="2704"/>
      <c r="D41" s="2704"/>
      <c r="E41" s="2704"/>
      <c r="F41" s="2704"/>
      <c r="G41" s="2705"/>
      <c r="H41" s="2704"/>
      <c r="I41" s="2705"/>
      <c r="J41" s="2704"/>
      <c r="K41" s="2704"/>
      <c r="L41" s="2705"/>
      <c r="M41" s="2704"/>
      <c r="N41" s="2704"/>
      <c r="O41" s="2705"/>
      <c r="P41" s="2704"/>
      <c r="Q41" s="2704"/>
      <c r="R41" s="2706"/>
    </row>
    <row r="42" spans="2:18" s="2222" customFormat="1">
      <c r="B42" s="2704"/>
      <c r="C42" s="2704"/>
      <c r="D42" s="2704"/>
      <c r="E42" s="2704"/>
      <c r="F42" s="2704"/>
      <c r="G42" s="2705"/>
      <c r="H42" s="2704"/>
      <c r="I42" s="2705"/>
      <c r="J42" s="2704"/>
      <c r="K42" s="2704"/>
      <c r="L42" s="2705"/>
      <c r="M42" s="2704"/>
      <c r="N42" s="2704"/>
      <c r="O42" s="2705"/>
      <c r="P42" s="2704"/>
      <c r="Q42" s="2704"/>
      <c r="R42" s="2706"/>
    </row>
    <row r="43" spans="2:18" s="2222" customFormat="1">
      <c r="B43" s="2704"/>
      <c r="C43" s="2704"/>
      <c r="D43" s="2704"/>
      <c r="E43" s="2704"/>
      <c r="F43" s="2704"/>
      <c r="G43" s="2705"/>
      <c r="H43" s="2704"/>
      <c r="I43" s="2705"/>
      <c r="J43" s="2704"/>
      <c r="K43" s="2704"/>
      <c r="L43" s="2705"/>
      <c r="M43" s="2704"/>
      <c r="N43" s="2704"/>
      <c r="O43" s="2705"/>
      <c r="P43" s="2704"/>
      <c r="Q43" s="2704"/>
      <c r="R43" s="2706"/>
    </row>
    <row r="44" spans="2:18" s="2222" customFormat="1">
      <c r="B44" s="2704"/>
      <c r="C44" s="2704"/>
      <c r="D44" s="2704"/>
      <c r="E44" s="2704"/>
      <c r="F44" s="2704"/>
      <c r="G44" s="2705"/>
      <c r="H44" s="2704"/>
      <c r="I44" s="2705"/>
      <c r="J44" s="2704"/>
      <c r="K44" s="2704"/>
      <c r="L44" s="2705"/>
      <c r="M44" s="2704"/>
      <c r="N44" s="2704"/>
      <c r="O44" s="2705"/>
      <c r="P44" s="2704"/>
      <c r="Q44" s="2704"/>
      <c r="R44" s="2706"/>
    </row>
    <row r="45" spans="2:18" s="2222" customFormat="1">
      <c r="B45" s="2704"/>
      <c r="C45" s="2704"/>
      <c r="D45" s="2704"/>
      <c r="E45" s="2704"/>
      <c r="F45" s="2704"/>
      <c r="G45" s="2705"/>
      <c r="H45" s="2704"/>
      <c r="I45" s="2705"/>
      <c r="J45" s="2704"/>
      <c r="K45" s="2704"/>
      <c r="L45" s="2705"/>
      <c r="M45" s="2704"/>
      <c r="N45" s="2704"/>
      <c r="O45" s="2705"/>
      <c r="P45" s="2704"/>
      <c r="Q45" s="2704"/>
      <c r="R45" s="2706"/>
    </row>
    <row r="46" spans="2:18" s="2222" customFormat="1">
      <c r="B46" s="2704"/>
      <c r="C46" s="2704"/>
      <c r="D46" s="2704"/>
      <c r="E46" s="2704"/>
      <c r="F46" s="2704"/>
      <c r="G46" s="2705"/>
      <c r="H46" s="2704"/>
      <c r="I46" s="2705"/>
      <c r="J46" s="2704"/>
      <c r="K46" s="2704"/>
      <c r="L46" s="2705"/>
      <c r="M46" s="2704"/>
      <c r="N46" s="2704"/>
      <c r="O46" s="2705"/>
      <c r="P46" s="2704"/>
      <c r="Q46" s="2704"/>
      <c r="R46" s="2706"/>
    </row>
    <row r="47" spans="2:18" s="2222" customFormat="1">
      <c r="B47" s="2704"/>
      <c r="C47" s="2704"/>
      <c r="D47" s="2704"/>
      <c r="E47" s="2704"/>
      <c r="F47" s="2704"/>
      <c r="G47" s="2705"/>
      <c r="H47" s="2704"/>
      <c r="I47" s="2705"/>
      <c r="J47" s="2704"/>
      <c r="K47" s="2704"/>
      <c r="L47" s="2705"/>
      <c r="M47" s="2704"/>
      <c r="N47" s="2704"/>
      <c r="O47" s="2705"/>
      <c r="P47" s="2704"/>
      <c r="Q47" s="2704"/>
      <c r="R47" s="2706"/>
    </row>
    <row r="48" spans="2:18" s="2222" customFormat="1">
      <c r="B48" s="2704"/>
      <c r="C48" s="2704"/>
      <c r="D48" s="2704"/>
      <c r="E48" s="2704"/>
      <c r="F48" s="2704"/>
      <c r="G48" s="2705"/>
      <c r="H48" s="2704"/>
      <c r="I48" s="2705"/>
      <c r="J48" s="2704"/>
      <c r="K48" s="2704"/>
      <c r="L48" s="2705"/>
      <c r="M48" s="2704"/>
      <c r="N48" s="2704"/>
      <c r="O48" s="2705"/>
      <c r="P48" s="2704"/>
      <c r="Q48" s="2704"/>
      <c r="R48" s="2706"/>
    </row>
    <row r="49" spans="2:18" s="2222" customFormat="1">
      <c r="B49" s="2704"/>
      <c r="C49" s="2704"/>
      <c r="D49" s="2704"/>
      <c r="E49" s="2704"/>
      <c r="F49" s="2704"/>
      <c r="G49" s="2705"/>
      <c r="H49" s="2704"/>
      <c r="I49" s="2705"/>
      <c r="J49" s="2704"/>
      <c r="K49" s="2704"/>
      <c r="L49" s="2705"/>
      <c r="M49" s="2704"/>
      <c r="N49" s="2704"/>
      <c r="O49" s="2705"/>
      <c r="P49" s="2704"/>
      <c r="Q49" s="2704"/>
      <c r="R49" s="2706"/>
    </row>
    <row r="50" spans="2:18" s="2222" customFormat="1">
      <c r="B50" s="2704"/>
      <c r="C50" s="2704"/>
      <c r="D50" s="2704"/>
      <c r="E50" s="2704"/>
      <c r="F50" s="2704"/>
      <c r="G50" s="2705"/>
      <c r="H50" s="2704"/>
      <c r="I50" s="2705"/>
      <c r="J50" s="2704"/>
      <c r="K50" s="2704"/>
      <c r="L50" s="2705"/>
      <c r="M50" s="2704"/>
      <c r="N50" s="2704"/>
      <c r="O50" s="2705"/>
      <c r="P50" s="2704"/>
      <c r="Q50" s="2704"/>
      <c r="R50" s="2706"/>
    </row>
    <row r="51" spans="2:18" s="2222" customFormat="1">
      <c r="B51" s="2704"/>
      <c r="C51" s="2704"/>
      <c r="D51" s="2704"/>
      <c r="E51" s="2704"/>
      <c r="F51" s="2704"/>
      <c r="G51" s="2705"/>
      <c r="H51" s="2704"/>
      <c r="I51" s="2705"/>
      <c r="J51" s="2704"/>
      <c r="K51" s="2704"/>
      <c r="L51" s="2705"/>
      <c r="M51" s="2704"/>
      <c r="N51" s="2704"/>
      <c r="O51" s="2705"/>
      <c r="P51" s="2704"/>
      <c r="Q51" s="2704"/>
      <c r="R51" s="2706"/>
    </row>
    <row r="52" spans="2:18" s="2222" customFormat="1">
      <c r="B52" s="2704"/>
      <c r="C52" s="2704"/>
      <c r="D52" s="2704"/>
      <c r="E52" s="2704"/>
      <c r="F52" s="2704"/>
      <c r="G52" s="2705"/>
      <c r="H52" s="2704"/>
      <c r="I52" s="2705"/>
      <c r="J52" s="2704"/>
      <c r="K52" s="2704"/>
      <c r="L52" s="2705"/>
      <c r="M52" s="2704"/>
      <c r="N52" s="2704"/>
      <c r="O52" s="2705"/>
      <c r="P52" s="2704"/>
      <c r="Q52" s="2704"/>
      <c r="R52" s="2706"/>
    </row>
    <row r="53" spans="2:18" s="2222" customFormat="1">
      <c r="B53" s="2704"/>
      <c r="C53" s="2704"/>
      <c r="D53" s="2704"/>
      <c r="E53" s="2704"/>
      <c r="F53" s="2704"/>
      <c r="G53" s="2705"/>
      <c r="H53" s="2704"/>
      <c r="I53" s="2705"/>
      <c r="J53" s="2704"/>
      <c r="K53" s="2704"/>
      <c r="L53" s="2705"/>
      <c r="M53" s="2704"/>
      <c r="N53" s="2704"/>
      <c r="O53" s="2705"/>
      <c r="P53" s="2704"/>
      <c r="Q53" s="2704"/>
      <c r="R53" s="2706"/>
    </row>
    <row r="54" spans="2:18" s="2222" customFormat="1">
      <c r="B54" s="2704"/>
      <c r="C54" s="2704"/>
      <c r="D54" s="2704"/>
      <c r="E54" s="2704"/>
      <c r="F54" s="2704"/>
      <c r="G54" s="2705"/>
      <c r="H54" s="2704"/>
      <c r="I54" s="2705"/>
      <c r="J54" s="2704"/>
      <c r="K54" s="2704"/>
      <c r="L54" s="2705"/>
      <c r="M54" s="2704"/>
      <c r="N54" s="2704"/>
      <c r="O54" s="2705"/>
      <c r="P54" s="2704"/>
      <c r="Q54" s="2704"/>
      <c r="R54" s="2706"/>
    </row>
    <row r="55" spans="2:18" s="2222" customFormat="1">
      <c r="B55" s="2704"/>
      <c r="C55" s="2704"/>
      <c r="D55" s="2704"/>
      <c r="E55" s="2704"/>
      <c r="F55" s="2704"/>
      <c r="G55" s="2705"/>
      <c r="H55" s="2704"/>
      <c r="I55" s="2705"/>
      <c r="J55" s="2704"/>
      <c r="K55" s="2704"/>
      <c r="L55" s="2705"/>
      <c r="M55" s="2704"/>
      <c r="N55" s="2704"/>
      <c r="O55" s="2705"/>
      <c r="P55" s="2704"/>
      <c r="Q55" s="2704"/>
      <c r="R55" s="2706"/>
    </row>
    <row r="56" spans="2:18" s="2222" customFormat="1">
      <c r="B56" s="2704"/>
      <c r="C56" s="2704"/>
      <c r="D56" s="2704"/>
      <c r="E56" s="2704"/>
      <c r="F56" s="2704"/>
      <c r="G56" s="2705"/>
      <c r="H56" s="2704"/>
      <c r="I56" s="2705"/>
      <c r="J56" s="2704"/>
      <c r="K56" s="2704"/>
      <c r="L56" s="2705"/>
      <c r="M56" s="2704"/>
      <c r="N56" s="2704"/>
      <c r="O56" s="2705"/>
      <c r="P56" s="2704"/>
      <c r="Q56" s="2704"/>
      <c r="R56" s="2706"/>
    </row>
    <row r="57" spans="2:18" s="2222" customFormat="1">
      <c r="B57" s="2704"/>
      <c r="C57" s="2704"/>
      <c r="D57" s="2704"/>
      <c r="E57" s="2704"/>
      <c r="F57" s="2704"/>
      <c r="G57" s="2705"/>
      <c r="H57" s="2704"/>
      <c r="I57" s="2705"/>
      <c r="J57" s="2704"/>
      <c r="K57" s="2704"/>
      <c r="L57" s="2705"/>
      <c r="M57" s="2704"/>
      <c r="N57" s="2704"/>
      <c r="O57" s="2705"/>
      <c r="P57" s="2704"/>
      <c r="Q57" s="2704"/>
      <c r="R57" s="2706"/>
    </row>
    <row r="58" spans="2:18" s="2222" customFormat="1">
      <c r="B58" s="2704"/>
      <c r="C58" s="2704"/>
      <c r="D58" s="2704"/>
      <c r="E58" s="2704"/>
      <c r="F58" s="2704"/>
      <c r="G58" s="2705"/>
      <c r="H58" s="2704"/>
      <c r="I58" s="2705"/>
      <c r="J58" s="2704"/>
      <c r="K58" s="2704"/>
      <c r="L58" s="2705"/>
      <c r="M58" s="2704"/>
      <c r="N58" s="2704"/>
      <c r="O58" s="2705"/>
      <c r="P58" s="2704"/>
      <c r="Q58" s="2704"/>
      <c r="R58" s="2706"/>
    </row>
    <row r="59" spans="2:18" s="2222" customFormat="1">
      <c r="B59" s="2704"/>
      <c r="C59" s="2704"/>
      <c r="D59" s="2704"/>
      <c r="E59" s="2704"/>
      <c r="F59" s="2704"/>
      <c r="G59" s="2705"/>
      <c r="H59" s="2704"/>
      <c r="I59" s="2705"/>
      <c r="J59" s="2704"/>
      <c r="K59" s="2704"/>
      <c r="L59" s="2705"/>
      <c r="M59" s="2704"/>
      <c r="N59" s="2704"/>
      <c r="O59" s="2705"/>
      <c r="P59" s="2704"/>
      <c r="Q59" s="2704"/>
      <c r="R59" s="2706"/>
    </row>
    <row r="60" spans="2:18" s="2222" customFormat="1">
      <c r="B60" s="2704"/>
      <c r="C60" s="2704"/>
      <c r="D60" s="2704"/>
      <c r="E60" s="2704"/>
      <c r="F60" s="2704"/>
      <c r="G60" s="2705"/>
      <c r="H60" s="2704"/>
      <c r="I60" s="2705"/>
      <c r="J60" s="2704"/>
      <c r="K60" s="2704"/>
      <c r="L60" s="2705"/>
      <c r="M60" s="2704"/>
      <c r="N60" s="2704"/>
      <c r="O60" s="2705"/>
      <c r="P60" s="2704"/>
      <c r="Q60" s="2704"/>
      <c r="R60" s="2706"/>
    </row>
    <row r="61" spans="2:18" s="2222" customFormat="1">
      <c r="B61" s="2704"/>
      <c r="C61" s="2704"/>
      <c r="D61" s="2704"/>
      <c r="E61" s="2704"/>
      <c r="F61" s="2704"/>
      <c r="G61" s="2705"/>
      <c r="H61" s="2704"/>
      <c r="I61" s="2705"/>
      <c r="J61" s="2704"/>
      <c r="K61" s="2704"/>
      <c r="L61" s="2705"/>
      <c r="M61" s="2704"/>
      <c r="N61" s="2704"/>
      <c r="O61" s="2705"/>
      <c r="P61" s="2704"/>
      <c r="Q61" s="2704"/>
      <c r="R61" s="2706"/>
    </row>
    <row r="62" spans="2:18" s="2222" customFormat="1">
      <c r="B62" s="2704"/>
      <c r="C62" s="2704"/>
      <c r="D62" s="2704"/>
      <c r="E62" s="2704"/>
      <c r="F62" s="2704"/>
      <c r="G62" s="2705"/>
      <c r="H62" s="2704"/>
      <c r="I62" s="2705"/>
      <c r="J62" s="2704"/>
      <c r="K62" s="2704"/>
      <c r="L62" s="2705"/>
      <c r="M62" s="2704"/>
      <c r="N62" s="2704"/>
      <c r="O62" s="2705"/>
      <c r="P62" s="2704"/>
      <c r="Q62" s="2704"/>
      <c r="R62" s="2706"/>
    </row>
    <row r="63" spans="2:18" s="2222" customFormat="1">
      <c r="B63" s="2704"/>
      <c r="C63" s="2704"/>
      <c r="D63" s="2704"/>
      <c r="E63" s="2704"/>
      <c r="F63" s="2704"/>
      <c r="G63" s="2705"/>
      <c r="H63" s="2704"/>
      <c r="I63" s="2705"/>
      <c r="J63" s="2704"/>
      <c r="K63" s="2704"/>
      <c r="L63" s="2705"/>
      <c r="M63" s="2704"/>
      <c r="N63" s="2704"/>
      <c r="O63" s="2705"/>
      <c r="P63" s="2704"/>
      <c r="Q63" s="2704"/>
      <c r="R63" s="2706"/>
    </row>
    <row r="64" spans="2:18" s="2222" customFormat="1">
      <c r="B64" s="2704"/>
      <c r="C64" s="2704"/>
      <c r="D64" s="2704"/>
      <c r="E64" s="2704"/>
      <c r="F64" s="2704"/>
      <c r="G64" s="2705"/>
      <c r="H64" s="2704"/>
      <c r="I64" s="2705"/>
      <c r="J64" s="2704"/>
      <c r="K64" s="2704"/>
      <c r="L64" s="2705"/>
      <c r="M64" s="2704"/>
      <c r="N64" s="2704"/>
      <c r="O64" s="2705"/>
      <c r="P64" s="2704"/>
      <c r="Q64" s="2704"/>
      <c r="R64" s="2706"/>
    </row>
    <row r="65" spans="2:18" s="2222" customFormat="1">
      <c r="B65" s="2704"/>
      <c r="C65" s="2704"/>
      <c r="D65" s="2704"/>
      <c r="E65" s="2704"/>
      <c r="F65" s="2704"/>
      <c r="G65" s="2705"/>
      <c r="H65" s="2704"/>
      <c r="I65" s="2705"/>
      <c r="J65" s="2704"/>
      <c r="K65" s="2704"/>
      <c r="L65" s="2705"/>
      <c r="M65" s="2704"/>
      <c r="N65" s="2704"/>
      <c r="O65" s="2705"/>
      <c r="P65" s="2704"/>
      <c r="Q65" s="2704"/>
      <c r="R65" s="2706"/>
    </row>
    <row r="66" spans="2:18" s="2222" customFormat="1">
      <c r="B66" s="2704"/>
      <c r="C66" s="2704"/>
      <c r="D66" s="2704"/>
      <c r="E66" s="2704"/>
      <c r="F66" s="2704"/>
      <c r="G66" s="2705"/>
      <c r="H66" s="2704"/>
      <c r="I66" s="2705"/>
      <c r="J66" s="2704"/>
      <c r="K66" s="2704"/>
      <c r="L66" s="2705"/>
      <c r="M66" s="2704"/>
      <c r="N66" s="2704"/>
      <c r="O66" s="2705"/>
      <c r="P66" s="2704"/>
      <c r="Q66" s="2704"/>
      <c r="R66" s="2706"/>
    </row>
    <row r="67" spans="2:18" s="2222" customFormat="1">
      <c r="B67" s="2704"/>
      <c r="C67" s="2704"/>
      <c r="D67" s="2704"/>
      <c r="E67" s="2704"/>
      <c r="F67" s="2704"/>
      <c r="G67" s="2705"/>
      <c r="H67" s="2704"/>
      <c r="I67" s="2705"/>
      <c r="J67" s="2704"/>
      <c r="K67" s="2704"/>
      <c r="L67" s="2705"/>
      <c r="M67" s="2704"/>
      <c r="N67" s="2704"/>
      <c r="O67" s="2705"/>
      <c r="P67" s="2704"/>
      <c r="Q67" s="2704"/>
      <c r="R67" s="2706"/>
    </row>
    <row r="68" spans="2:18" s="2222" customFormat="1">
      <c r="B68" s="2704"/>
      <c r="C68" s="2704"/>
      <c r="D68" s="2704"/>
      <c r="E68" s="2704"/>
      <c r="F68" s="2704"/>
      <c r="G68" s="2705"/>
      <c r="H68" s="2704"/>
      <c r="I68" s="2705"/>
      <c r="J68" s="2704"/>
      <c r="K68" s="2704"/>
      <c r="L68" s="2705"/>
      <c r="M68" s="2704"/>
      <c r="N68" s="2704"/>
      <c r="O68" s="2705"/>
      <c r="P68" s="2704"/>
      <c r="Q68" s="2704"/>
      <c r="R68" s="2706"/>
    </row>
    <row r="69" spans="2:18" s="2222" customFormat="1">
      <c r="B69" s="2704"/>
      <c r="C69" s="2704"/>
      <c r="D69" s="2704"/>
      <c r="E69" s="2704"/>
      <c r="F69" s="2704"/>
      <c r="G69" s="2705"/>
      <c r="H69" s="2704"/>
      <c r="I69" s="2705"/>
      <c r="J69" s="2704"/>
      <c r="K69" s="2704"/>
      <c r="L69" s="2705"/>
      <c r="M69" s="2704"/>
      <c r="N69" s="2704"/>
      <c r="O69" s="2705"/>
      <c r="P69" s="2704"/>
      <c r="Q69" s="2704"/>
      <c r="R69" s="2706"/>
    </row>
    <row r="70" spans="2:18" s="2222" customFormat="1">
      <c r="B70" s="2704"/>
      <c r="C70" s="2704"/>
      <c r="D70" s="2704"/>
      <c r="E70" s="2704"/>
      <c r="F70" s="2704"/>
      <c r="G70" s="2705"/>
      <c r="H70" s="2704"/>
      <c r="I70" s="2705"/>
      <c r="J70" s="2704"/>
      <c r="K70" s="2704"/>
      <c r="L70" s="2705"/>
      <c r="M70" s="2704"/>
      <c r="N70" s="2704"/>
      <c r="O70" s="2705"/>
      <c r="P70" s="2704"/>
      <c r="Q70" s="2704"/>
      <c r="R70" s="2706"/>
    </row>
    <row r="71" spans="2:18" s="2222" customFormat="1">
      <c r="B71" s="2704"/>
      <c r="C71" s="2704"/>
      <c r="D71" s="2704"/>
      <c r="E71" s="2704"/>
      <c r="F71" s="2704"/>
      <c r="G71" s="2705"/>
      <c r="H71" s="2704"/>
      <c r="I71" s="2705"/>
      <c r="J71" s="2704"/>
      <c r="K71" s="2704"/>
      <c r="L71" s="2705"/>
      <c r="M71" s="2704"/>
      <c r="N71" s="2704"/>
      <c r="O71" s="2705"/>
      <c r="P71" s="2704"/>
      <c r="Q71" s="2704"/>
      <c r="R71" s="2706"/>
    </row>
    <row r="72" spans="2:18" s="2222" customFormat="1">
      <c r="B72" s="2704"/>
      <c r="C72" s="2704"/>
      <c r="D72" s="2704"/>
      <c r="E72" s="2704"/>
      <c r="F72" s="2704"/>
      <c r="G72" s="2705"/>
      <c r="H72" s="2704"/>
      <c r="I72" s="2705"/>
      <c r="J72" s="2704"/>
      <c r="K72" s="2704"/>
      <c r="L72" s="2705"/>
      <c r="M72" s="2704"/>
      <c r="N72" s="2704"/>
      <c r="O72" s="2705"/>
      <c r="P72" s="2704"/>
      <c r="Q72" s="2704"/>
      <c r="R72" s="2706"/>
    </row>
    <row r="73" spans="2:18" s="2222" customFormat="1">
      <c r="B73" s="2704"/>
      <c r="C73" s="2704"/>
      <c r="D73" s="2704"/>
      <c r="E73" s="2704"/>
      <c r="F73" s="2704"/>
      <c r="G73" s="2705"/>
      <c r="H73" s="2704"/>
      <c r="I73" s="2705"/>
      <c r="J73" s="2704"/>
      <c r="K73" s="2704"/>
      <c r="L73" s="2705"/>
      <c r="M73" s="2704"/>
      <c r="N73" s="2704"/>
      <c r="O73" s="2705"/>
      <c r="P73" s="2704"/>
      <c r="Q73" s="2704"/>
      <c r="R73" s="2706"/>
    </row>
    <row r="74" spans="2:18" s="2222" customFormat="1">
      <c r="B74" s="2704"/>
      <c r="C74" s="2704"/>
      <c r="D74" s="2704"/>
      <c r="E74" s="2704"/>
      <c r="F74" s="2704"/>
      <c r="G74" s="2705"/>
      <c r="H74" s="2704"/>
      <c r="I74" s="2705"/>
      <c r="J74" s="2704"/>
      <c r="K74" s="2704"/>
      <c r="L74" s="2705"/>
      <c r="M74" s="2704"/>
      <c r="N74" s="2704"/>
      <c r="O74" s="2705"/>
      <c r="P74" s="2704"/>
      <c r="Q74" s="2704"/>
      <c r="R74" s="2706"/>
    </row>
    <row r="75" spans="2:18" s="2222" customFormat="1">
      <c r="B75" s="2704"/>
      <c r="C75" s="2704"/>
      <c r="D75" s="2704"/>
      <c r="E75" s="2704"/>
      <c r="F75" s="2704"/>
      <c r="G75" s="2705"/>
      <c r="H75" s="2704"/>
      <c r="I75" s="2705"/>
      <c r="J75" s="2704"/>
      <c r="K75" s="2704"/>
      <c r="L75" s="2705"/>
      <c r="M75" s="2704"/>
      <c r="N75" s="2704"/>
      <c r="O75" s="2705"/>
      <c r="P75" s="2704"/>
      <c r="Q75" s="2704"/>
      <c r="R75" s="2706"/>
    </row>
    <row r="76" spans="2:18" s="2222" customFormat="1">
      <c r="B76" s="2704"/>
      <c r="C76" s="2704"/>
      <c r="D76" s="2704"/>
      <c r="E76" s="2704"/>
      <c r="F76" s="2704"/>
      <c r="G76" s="2705"/>
      <c r="H76" s="2704"/>
      <c r="I76" s="2705"/>
      <c r="J76" s="2704"/>
      <c r="K76" s="2704"/>
      <c r="L76" s="2705"/>
      <c r="M76" s="2704"/>
      <c r="N76" s="2704"/>
      <c r="O76" s="2705"/>
      <c r="P76" s="2704"/>
      <c r="Q76" s="2704"/>
      <c r="R76" s="2706"/>
    </row>
    <row r="77" spans="2:18" s="2222" customFormat="1">
      <c r="B77" s="2704"/>
      <c r="C77" s="2704"/>
      <c r="D77" s="2704"/>
      <c r="E77" s="2704"/>
      <c r="F77" s="2704"/>
      <c r="G77" s="2705"/>
      <c r="H77" s="2704"/>
      <c r="I77" s="2705"/>
      <c r="J77" s="2704"/>
      <c r="K77" s="2704"/>
      <c r="L77" s="2705"/>
      <c r="M77" s="2704"/>
      <c r="N77" s="2704"/>
      <c r="O77" s="2705"/>
      <c r="P77" s="2704"/>
      <c r="Q77" s="2704"/>
      <c r="R77" s="2706"/>
    </row>
    <row r="78" spans="2:18" s="2222" customFormat="1">
      <c r="B78" s="2704"/>
      <c r="C78" s="2704"/>
      <c r="D78" s="2704"/>
      <c r="E78" s="2704"/>
      <c r="F78" s="2704"/>
      <c r="G78" s="2705"/>
      <c r="H78" s="2704"/>
      <c r="I78" s="2705"/>
      <c r="J78" s="2704"/>
      <c r="K78" s="2704"/>
      <c r="L78" s="2705"/>
      <c r="M78" s="2704"/>
      <c r="N78" s="2704"/>
      <c r="O78" s="2705"/>
      <c r="P78" s="2704"/>
      <c r="Q78" s="2704"/>
      <c r="R78" s="2706"/>
    </row>
    <row r="79" spans="2:18" s="2222" customFormat="1">
      <c r="B79" s="2704"/>
      <c r="C79" s="2704"/>
      <c r="D79" s="2704"/>
      <c r="E79" s="2704"/>
      <c r="F79" s="2704"/>
      <c r="G79" s="2705"/>
      <c r="H79" s="2704"/>
      <c r="I79" s="2705"/>
      <c r="J79" s="2704"/>
      <c r="K79" s="2704"/>
      <c r="L79" s="2705"/>
      <c r="M79" s="2704"/>
      <c r="N79" s="2704"/>
      <c r="O79" s="2705"/>
      <c r="P79" s="2704"/>
      <c r="Q79" s="2704"/>
      <c r="R79" s="2706"/>
    </row>
    <row r="80" spans="2:18" s="2222" customFormat="1">
      <c r="B80" s="2704"/>
      <c r="C80" s="2704"/>
      <c r="D80" s="2704"/>
      <c r="E80" s="2704"/>
      <c r="F80" s="2704"/>
      <c r="G80" s="2705"/>
      <c r="H80" s="2704"/>
      <c r="I80" s="2705"/>
      <c r="J80" s="2704"/>
      <c r="K80" s="2704"/>
      <c r="L80" s="2705"/>
      <c r="M80" s="2704"/>
      <c r="N80" s="2704"/>
      <c r="O80" s="2705"/>
      <c r="P80" s="2704"/>
      <c r="Q80" s="2704"/>
      <c r="R80" s="2706"/>
    </row>
    <row r="81" spans="2:18" s="2222" customFormat="1">
      <c r="B81" s="2704"/>
      <c r="C81" s="2704"/>
      <c r="D81" s="2704"/>
      <c r="E81" s="2704"/>
      <c r="F81" s="2704"/>
      <c r="G81" s="2705"/>
      <c r="H81" s="2704"/>
      <c r="I81" s="2705"/>
      <c r="J81" s="2704"/>
      <c r="K81" s="2704"/>
      <c r="L81" s="2705"/>
      <c r="M81" s="2704"/>
      <c r="N81" s="2704"/>
      <c r="O81" s="2705"/>
      <c r="P81" s="2704"/>
      <c r="Q81" s="2704"/>
      <c r="R81" s="2706"/>
    </row>
    <row r="82" spans="2:18" s="2222" customFormat="1">
      <c r="B82" s="2704"/>
      <c r="C82" s="2704"/>
      <c r="D82" s="2704"/>
      <c r="E82" s="2704"/>
      <c r="F82" s="2704"/>
      <c r="G82" s="2705"/>
      <c r="H82" s="2704"/>
      <c r="I82" s="2705"/>
      <c r="J82" s="2704"/>
      <c r="K82" s="2704"/>
      <c r="L82" s="2705"/>
      <c r="M82" s="2704"/>
      <c r="N82" s="2704"/>
      <c r="O82" s="2705"/>
      <c r="P82" s="2704"/>
      <c r="Q82" s="2704"/>
      <c r="R82" s="2706"/>
    </row>
    <row r="83" spans="2:18" s="2222" customFormat="1">
      <c r="B83" s="2704"/>
      <c r="C83" s="2704"/>
      <c r="D83" s="2704"/>
      <c r="E83" s="2704"/>
      <c r="F83" s="2704"/>
      <c r="G83" s="2705"/>
      <c r="H83" s="2704"/>
      <c r="I83" s="2705"/>
      <c r="J83" s="2704"/>
      <c r="K83" s="2704"/>
      <c r="L83" s="2705"/>
      <c r="M83" s="2704"/>
      <c r="N83" s="2704"/>
      <c r="O83" s="2705"/>
      <c r="P83" s="2704"/>
      <c r="Q83" s="2704"/>
      <c r="R83" s="2706"/>
    </row>
    <row r="84" spans="2:18" s="2222" customFormat="1">
      <c r="B84" s="2704"/>
      <c r="C84" s="2704"/>
      <c r="D84" s="2704"/>
      <c r="E84" s="2704"/>
      <c r="F84" s="2704"/>
      <c r="G84" s="2705"/>
      <c r="H84" s="2704"/>
      <c r="I84" s="2705"/>
      <c r="J84" s="2704"/>
      <c r="K84" s="2704"/>
      <c r="L84" s="2705"/>
      <c r="M84" s="2704"/>
      <c r="N84" s="2704"/>
      <c r="O84" s="2705"/>
      <c r="P84" s="2704"/>
      <c r="Q84" s="2704"/>
      <c r="R84" s="2706"/>
    </row>
    <row r="85" spans="2:18" s="2222" customFormat="1">
      <c r="B85" s="2704"/>
      <c r="C85" s="2704"/>
      <c r="D85" s="2704"/>
      <c r="E85" s="2704"/>
      <c r="F85" s="2704"/>
      <c r="G85" s="2705"/>
      <c r="H85" s="2704"/>
      <c r="I85" s="2705"/>
      <c r="J85" s="2704"/>
      <c r="K85" s="2704"/>
      <c r="L85" s="2705"/>
      <c r="M85" s="2704"/>
      <c r="N85" s="2704"/>
      <c r="O85" s="2705"/>
      <c r="P85" s="2704"/>
      <c r="Q85" s="2704"/>
      <c r="R85" s="2706"/>
    </row>
    <row r="86" spans="2:18" s="2222" customFormat="1">
      <c r="B86" s="2704"/>
      <c r="C86" s="2704"/>
      <c r="D86" s="2704"/>
      <c r="E86" s="2704"/>
      <c r="F86" s="2704"/>
      <c r="G86" s="2705"/>
      <c r="H86" s="2704"/>
      <c r="I86" s="2705"/>
      <c r="J86" s="2704"/>
      <c r="K86" s="2704"/>
      <c r="L86" s="2705"/>
      <c r="M86" s="2704"/>
      <c r="N86" s="2704"/>
      <c r="O86" s="2705"/>
      <c r="P86" s="2704"/>
      <c r="Q86" s="2704"/>
      <c r="R86" s="2706"/>
    </row>
    <row r="87" spans="2:18" s="2222" customFormat="1">
      <c r="B87" s="2704"/>
      <c r="C87" s="2704"/>
      <c r="D87" s="2704"/>
      <c r="E87" s="2704"/>
      <c r="F87" s="2704"/>
      <c r="G87" s="2705"/>
      <c r="H87" s="2704"/>
      <c r="I87" s="2705"/>
      <c r="J87" s="2704"/>
      <c r="K87" s="2704"/>
      <c r="L87" s="2705"/>
      <c r="M87" s="2704"/>
      <c r="N87" s="2704"/>
      <c r="O87" s="2705"/>
      <c r="P87" s="2704"/>
      <c r="Q87" s="2704"/>
      <c r="R87" s="2706"/>
    </row>
    <row r="88" spans="2:18" s="2222" customFormat="1">
      <c r="B88" s="2704"/>
      <c r="C88" s="2704"/>
      <c r="D88" s="2704"/>
      <c r="E88" s="2704"/>
      <c r="F88" s="2704"/>
      <c r="G88" s="2705"/>
      <c r="H88" s="2704"/>
      <c r="I88" s="2705"/>
      <c r="J88" s="2704"/>
      <c r="K88" s="2704"/>
      <c r="L88" s="2705"/>
      <c r="M88" s="2704"/>
      <c r="N88" s="2704"/>
      <c r="O88" s="2705"/>
      <c r="P88" s="2704"/>
      <c r="Q88" s="2704"/>
      <c r="R88" s="2706"/>
    </row>
    <row r="89" spans="2:18" s="2222" customFormat="1">
      <c r="B89" s="2704"/>
      <c r="C89" s="2704"/>
      <c r="D89" s="2704"/>
      <c r="E89" s="2704"/>
      <c r="F89" s="2704"/>
      <c r="G89" s="2705"/>
      <c r="H89" s="2704"/>
      <c r="I89" s="2705"/>
      <c r="J89" s="2704"/>
      <c r="K89" s="2704"/>
      <c r="L89" s="2705"/>
      <c r="M89" s="2704"/>
      <c r="N89" s="2704"/>
      <c r="O89" s="2705"/>
      <c r="P89" s="2704"/>
      <c r="Q89" s="2704"/>
      <c r="R89" s="2706"/>
    </row>
    <row r="90" spans="2:18" s="2222" customFormat="1">
      <c r="B90" s="2704"/>
      <c r="C90" s="2704"/>
      <c r="D90" s="2704"/>
      <c r="E90" s="2704"/>
      <c r="F90" s="2704"/>
      <c r="G90" s="2705"/>
      <c r="H90" s="2704"/>
      <c r="I90" s="2705"/>
      <c r="J90" s="2704"/>
      <c r="K90" s="2704"/>
      <c r="L90" s="2705"/>
      <c r="M90" s="2704"/>
      <c r="N90" s="2704"/>
      <c r="O90" s="2705"/>
      <c r="P90" s="2704"/>
      <c r="Q90" s="2704"/>
      <c r="R90" s="2706"/>
    </row>
    <row r="91" spans="2:18" s="2222" customFormat="1">
      <c r="B91" s="2704"/>
      <c r="C91" s="2704"/>
      <c r="D91" s="2704"/>
      <c r="E91" s="2704"/>
      <c r="F91" s="2704"/>
      <c r="G91" s="2705"/>
      <c r="H91" s="2704"/>
      <c r="I91" s="2705"/>
      <c r="J91" s="2704"/>
      <c r="K91" s="2704"/>
      <c r="L91" s="2705"/>
      <c r="M91" s="2704"/>
      <c r="N91" s="2704"/>
      <c r="O91" s="2705"/>
      <c r="P91" s="2704"/>
      <c r="Q91" s="2704"/>
      <c r="R91" s="2706"/>
    </row>
    <row r="92" spans="2:18" s="2222" customFormat="1">
      <c r="B92" s="2704"/>
      <c r="C92" s="2704"/>
      <c r="D92" s="2704"/>
      <c r="E92" s="2704"/>
      <c r="F92" s="2704"/>
      <c r="G92" s="2705"/>
      <c r="H92" s="2704"/>
      <c r="I92" s="2705"/>
      <c r="J92" s="2704"/>
      <c r="K92" s="2704"/>
      <c r="L92" s="2705"/>
      <c r="M92" s="2704"/>
      <c r="N92" s="2704"/>
      <c r="O92" s="2705"/>
      <c r="P92" s="2704"/>
      <c r="Q92" s="2704"/>
      <c r="R92" s="2706"/>
    </row>
    <row r="93" spans="2:18" s="2222" customFormat="1">
      <c r="B93" s="2704"/>
      <c r="C93" s="2704"/>
      <c r="D93" s="2704"/>
      <c r="E93" s="2704"/>
      <c r="F93" s="2704"/>
      <c r="G93" s="2705"/>
      <c r="H93" s="2704"/>
      <c r="I93" s="2705"/>
      <c r="J93" s="2704"/>
      <c r="K93" s="2704"/>
      <c r="L93" s="2705"/>
      <c r="M93" s="2704"/>
      <c r="N93" s="2704"/>
      <c r="O93" s="2705"/>
      <c r="P93" s="2704"/>
      <c r="Q93" s="2704"/>
      <c r="R93" s="2706"/>
    </row>
    <row r="94" spans="2:18" s="2222" customFormat="1">
      <c r="B94" s="2704"/>
      <c r="C94" s="2704"/>
      <c r="D94" s="2704"/>
      <c r="E94" s="2704"/>
      <c r="F94" s="2704"/>
      <c r="G94" s="2705"/>
      <c r="H94" s="2704"/>
      <c r="I94" s="2705"/>
      <c r="J94" s="2704"/>
      <c r="K94" s="2704"/>
      <c r="L94" s="2705"/>
      <c r="M94" s="2704"/>
      <c r="N94" s="2704"/>
      <c r="O94" s="2705"/>
      <c r="P94" s="2704"/>
      <c r="Q94" s="2704"/>
      <c r="R94" s="2706"/>
    </row>
    <row r="95" spans="2:18" s="2222" customFormat="1">
      <c r="B95" s="2704"/>
      <c r="C95" s="2704"/>
      <c r="D95" s="2704"/>
      <c r="E95" s="2704"/>
      <c r="F95" s="2704"/>
      <c r="G95" s="2705"/>
      <c r="H95" s="2704"/>
      <c r="I95" s="2705"/>
      <c r="J95" s="2704"/>
      <c r="K95" s="2704"/>
      <c r="L95" s="2705"/>
      <c r="M95" s="2704"/>
      <c r="N95" s="2704"/>
      <c r="O95" s="2705"/>
      <c r="P95" s="2704"/>
      <c r="Q95" s="2704"/>
      <c r="R95" s="2706"/>
    </row>
    <row r="96" spans="2:18" s="2222" customFormat="1">
      <c r="B96" s="2704"/>
      <c r="C96" s="2704"/>
      <c r="D96" s="2704"/>
      <c r="E96" s="2704"/>
      <c r="F96" s="2704"/>
      <c r="G96" s="2705"/>
      <c r="H96" s="2704"/>
      <c r="I96" s="2705"/>
      <c r="J96" s="2704"/>
      <c r="K96" s="2704"/>
      <c r="L96" s="2705"/>
      <c r="M96" s="2704"/>
      <c r="N96" s="2704"/>
      <c r="O96" s="2705"/>
      <c r="P96" s="2704"/>
      <c r="Q96" s="2704"/>
      <c r="R96" s="2706"/>
    </row>
    <row r="97" spans="2:18" s="2222" customFormat="1">
      <c r="B97" s="2704"/>
      <c r="C97" s="2704"/>
      <c r="D97" s="2704"/>
      <c r="E97" s="2704"/>
      <c r="F97" s="2704"/>
      <c r="G97" s="2705"/>
      <c r="H97" s="2704"/>
      <c r="I97" s="2705"/>
      <c r="J97" s="2704"/>
      <c r="K97" s="2704"/>
      <c r="L97" s="2705"/>
      <c r="M97" s="2704"/>
      <c r="N97" s="2704"/>
      <c r="O97" s="2705"/>
      <c r="P97" s="2704"/>
      <c r="Q97" s="2704"/>
      <c r="R97" s="2706"/>
    </row>
    <row r="98" spans="2:18" s="2222" customFormat="1">
      <c r="B98" s="2704"/>
      <c r="C98" s="2704"/>
      <c r="D98" s="2704"/>
      <c r="E98" s="2704"/>
      <c r="F98" s="2704"/>
      <c r="G98" s="2705"/>
      <c r="H98" s="2704"/>
      <c r="I98" s="2705"/>
      <c r="J98" s="2704"/>
      <c r="K98" s="2704"/>
      <c r="L98" s="2705"/>
      <c r="M98" s="2704"/>
      <c r="N98" s="2704"/>
      <c r="O98" s="2705"/>
      <c r="P98" s="2704"/>
      <c r="Q98" s="2704"/>
      <c r="R98" s="2706"/>
    </row>
    <row r="99" spans="2:18" s="2222" customFormat="1">
      <c r="B99" s="2704"/>
      <c r="C99" s="2704"/>
      <c r="D99" s="2704"/>
      <c r="E99" s="2704"/>
      <c r="F99" s="2704"/>
      <c r="G99" s="2705"/>
      <c r="H99" s="2704"/>
      <c r="I99" s="2705"/>
      <c r="J99" s="2704"/>
      <c r="K99" s="2704"/>
      <c r="L99" s="2705"/>
      <c r="M99" s="2704"/>
      <c r="N99" s="2704"/>
      <c r="O99" s="2705"/>
      <c r="P99" s="2704"/>
      <c r="Q99" s="2704"/>
      <c r="R99" s="2706"/>
    </row>
    <row r="100" spans="2:18" s="2222" customFormat="1">
      <c r="B100" s="2704"/>
      <c r="C100" s="2704"/>
      <c r="D100" s="2704"/>
      <c r="E100" s="2704"/>
      <c r="F100" s="2704"/>
      <c r="G100" s="2705"/>
      <c r="H100" s="2704"/>
      <c r="I100" s="2705"/>
      <c r="J100" s="2704"/>
      <c r="K100" s="2704"/>
      <c r="L100" s="2705"/>
      <c r="M100" s="2704"/>
      <c r="N100" s="2704"/>
      <c r="O100" s="2705"/>
      <c r="P100" s="2704"/>
      <c r="Q100" s="2704"/>
      <c r="R100" s="2706"/>
    </row>
    <row r="101" spans="2:18" s="2222" customFormat="1">
      <c r="B101" s="2704"/>
      <c r="C101" s="2704"/>
      <c r="D101" s="2704"/>
      <c r="E101" s="2704"/>
      <c r="F101" s="2704"/>
      <c r="G101" s="2705"/>
      <c r="H101" s="2704"/>
      <c r="I101" s="2705"/>
      <c r="J101" s="2704"/>
      <c r="K101" s="2704"/>
      <c r="L101" s="2705"/>
      <c r="M101" s="2704"/>
      <c r="N101" s="2704"/>
      <c r="O101" s="2705"/>
      <c r="P101" s="2704"/>
      <c r="Q101" s="2704"/>
      <c r="R101" s="2706"/>
    </row>
    <row r="102" spans="2:18" s="2222" customFormat="1">
      <c r="B102" s="2704"/>
      <c r="C102" s="2704"/>
      <c r="D102" s="2704"/>
      <c r="E102" s="2704"/>
      <c r="F102" s="2704"/>
      <c r="G102" s="2705"/>
      <c r="H102" s="2704"/>
      <c r="I102" s="2705"/>
      <c r="J102" s="2704"/>
      <c r="K102" s="2704"/>
      <c r="L102" s="2705"/>
      <c r="M102" s="2704"/>
      <c r="N102" s="2704"/>
      <c r="O102" s="2705"/>
      <c r="P102" s="2704"/>
      <c r="Q102" s="2704"/>
      <c r="R102" s="2706"/>
    </row>
    <row r="103" spans="2:18" s="2222" customFormat="1">
      <c r="B103" s="2704"/>
      <c r="C103" s="2704"/>
      <c r="D103" s="2704"/>
      <c r="E103" s="2704"/>
      <c r="F103" s="2704"/>
      <c r="G103" s="2705"/>
      <c r="H103" s="2704"/>
      <c r="I103" s="2705"/>
      <c r="J103" s="2704"/>
      <c r="K103" s="2704"/>
      <c r="L103" s="2705"/>
      <c r="M103" s="2704"/>
      <c r="N103" s="2704"/>
      <c r="O103" s="2705"/>
      <c r="P103" s="2704"/>
      <c r="Q103" s="2704"/>
      <c r="R103" s="2706"/>
    </row>
    <row r="104" spans="2:18" s="2222" customFormat="1">
      <c r="B104" s="2704"/>
      <c r="C104" s="2704"/>
      <c r="D104" s="2704"/>
      <c r="E104" s="2704"/>
      <c r="F104" s="2704"/>
      <c r="G104" s="2705"/>
      <c r="H104" s="2704"/>
      <c r="I104" s="2705"/>
      <c r="J104" s="2704"/>
      <c r="K104" s="2704"/>
      <c r="L104" s="2705"/>
      <c r="M104" s="2704"/>
      <c r="N104" s="2704"/>
      <c r="O104" s="2705"/>
      <c r="P104" s="2704"/>
      <c r="Q104" s="2704"/>
      <c r="R104" s="2706"/>
    </row>
    <row r="105" spans="2:18" s="2222" customFormat="1">
      <c r="B105" s="2704"/>
      <c r="C105" s="2704"/>
      <c r="D105" s="2704"/>
      <c r="E105" s="2704"/>
      <c r="F105" s="2704"/>
      <c r="G105" s="2705"/>
      <c r="H105" s="2704"/>
      <c r="I105" s="2705"/>
      <c r="J105" s="2704"/>
      <c r="K105" s="2704"/>
      <c r="L105" s="2705"/>
      <c r="M105" s="2704"/>
      <c r="N105" s="2704"/>
      <c r="O105" s="2705"/>
      <c r="P105" s="2704"/>
      <c r="Q105" s="2704"/>
      <c r="R105" s="2706"/>
    </row>
    <row r="106" spans="2:18" s="2222" customFormat="1">
      <c r="B106" s="2704"/>
      <c r="C106" s="2704"/>
      <c r="D106" s="2704"/>
      <c r="E106" s="2704"/>
      <c r="F106" s="2704"/>
      <c r="G106" s="2705"/>
      <c r="H106" s="2704"/>
      <c r="I106" s="2705"/>
      <c r="J106" s="2704"/>
      <c r="K106" s="2704"/>
      <c r="L106" s="2705"/>
      <c r="M106" s="2704"/>
      <c r="N106" s="2704"/>
      <c r="O106" s="2705"/>
      <c r="P106" s="2704"/>
      <c r="Q106" s="2704"/>
      <c r="R106" s="2706"/>
    </row>
    <row r="107" spans="2:18" s="2222" customFormat="1">
      <c r="B107" s="2704"/>
      <c r="C107" s="2704"/>
      <c r="D107" s="2704"/>
      <c r="E107" s="2704"/>
      <c r="F107" s="2704"/>
      <c r="G107" s="2705"/>
      <c r="H107" s="2704"/>
      <c r="I107" s="2705"/>
      <c r="J107" s="2704"/>
      <c r="K107" s="2704"/>
      <c r="L107" s="2705"/>
      <c r="M107" s="2704"/>
      <c r="N107" s="2704"/>
      <c r="O107" s="2705"/>
      <c r="P107" s="2704"/>
      <c r="Q107" s="2704"/>
      <c r="R107" s="2706"/>
    </row>
    <row r="108" spans="2:18" s="2222" customFormat="1">
      <c r="B108" s="2704"/>
      <c r="C108" s="2704"/>
      <c r="D108" s="2704"/>
      <c r="E108" s="2704"/>
      <c r="F108" s="2704"/>
      <c r="G108" s="2705"/>
      <c r="H108" s="2704"/>
      <c r="I108" s="2705"/>
      <c r="J108" s="2704"/>
      <c r="K108" s="2704"/>
      <c r="L108" s="2705"/>
      <c r="M108" s="2704"/>
      <c r="N108" s="2704"/>
      <c r="O108" s="2705"/>
      <c r="P108" s="2704"/>
      <c r="Q108" s="2704"/>
      <c r="R108" s="2706"/>
    </row>
    <row r="109" spans="2:18" s="2222" customFormat="1">
      <c r="B109" s="2704"/>
      <c r="C109" s="2704"/>
      <c r="D109" s="2704"/>
      <c r="E109" s="2704"/>
      <c r="F109" s="2704"/>
      <c r="G109" s="2705"/>
      <c r="H109" s="2704"/>
      <c r="I109" s="2705"/>
      <c r="J109" s="2704"/>
      <c r="K109" s="2704"/>
      <c r="L109" s="2705"/>
      <c r="M109" s="2704"/>
      <c r="N109" s="2704"/>
      <c r="O109" s="2705"/>
      <c r="P109" s="2704"/>
      <c r="Q109" s="2704"/>
      <c r="R109" s="2706"/>
    </row>
    <row r="110" spans="2:18" s="2222" customFormat="1">
      <c r="B110" s="2704"/>
      <c r="C110" s="2704"/>
      <c r="D110" s="2704"/>
      <c r="E110" s="2704"/>
      <c r="F110" s="2704"/>
      <c r="G110" s="2705"/>
      <c r="H110" s="2704"/>
      <c r="I110" s="2705"/>
      <c r="J110" s="2704"/>
      <c r="K110" s="2704"/>
      <c r="L110" s="2705"/>
      <c r="M110" s="2704"/>
      <c r="N110" s="2704"/>
      <c r="O110" s="2705"/>
      <c r="P110" s="2704"/>
      <c r="Q110" s="2704"/>
      <c r="R110" s="2706"/>
    </row>
    <row r="111" spans="2:18" s="2222" customFormat="1">
      <c r="B111" s="2704"/>
      <c r="C111" s="2704"/>
      <c r="D111" s="2704"/>
      <c r="E111" s="2704"/>
      <c r="F111" s="2704"/>
      <c r="G111" s="2705"/>
      <c r="H111" s="2704"/>
      <c r="I111" s="2705"/>
      <c r="J111" s="2704"/>
      <c r="K111" s="2704"/>
      <c r="L111" s="2705"/>
      <c r="M111" s="2704"/>
      <c r="N111" s="2704"/>
      <c r="O111" s="2705"/>
      <c r="P111" s="2704"/>
      <c r="Q111" s="2704"/>
      <c r="R111" s="2706"/>
    </row>
    <row r="112" spans="2:18" s="2222" customFormat="1">
      <c r="B112" s="2704"/>
      <c r="C112" s="2704"/>
      <c r="D112" s="2704"/>
      <c r="E112" s="2704"/>
      <c r="F112" s="2704"/>
      <c r="G112" s="2705"/>
      <c r="H112" s="2704"/>
      <c r="I112" s="2705"/>
      <c r="J112" s="2704"/>
      <c r="K112" s="2704"/>
      <c r="L112" s="2705"/>
      <c r="M112" s="2704"/>
      <c r="N112" s="2704"/>
      <c r="O112" s="2705"/>
      <c r="P112" s="2704"/>
      <c r="Q112" s="2704"/>
      <c r="R112" s="2706"/>
    </row>
    <row r="113" spans="2:18" s="2222" customFormat="1">
      <c r="B113" s="2704"/>
      <c r="C113" s="2704"/>
      <c r="D113" s="2704"/>
      <c r="E113" s="2704"/>
      <c r="F113" s="2704"/>
      <c r="G113" s="2705"/>
      <c r="H113" s="2704"/>
      <c r="I113" s="2705"/>
      <c r="J113" s="2704"/>
      <c r="K113" s="2704"/>
      <c r="L113" s="2705"/>
      <c r="M113" s="2704"/>
      <c r="N113" s="2704"/>
      <c r="O113" s="2705"/>
      <c r="P113" s="2704"/>
      <c r="Q113" s="2704"/>
      <c r="R113" s="2706"/>
    </row>
    <row r="114" spans="2:18" s="2222" customFormat="1">
      <c r="B114" s="2704"/>
      <c r="C114" s="2704"/>
      <c r="D114" s="2704"/>
      <c r="E114" s="2704"/>
      <c r="F114" s="2704"/>
      <c r="G114" s="2705"/>
      <c r="H114" s="2704"/>
      <c r="I114" s="2705"/>
      <c r="J114" s="2704"/>
      <c r="K114" s="2704"/>
      <c r="L114" s="2705"/>
      <c r="M114" s="2704"/>
      <c r="N114" s="2704"/>
      <c r="O114" s="2705"/>
      <c r="P114" s="2704"/>
      <c r="Q114" s="2704"/>
      <c r="R114" s="2706"/>
    </row>
    <row r="115" spans="2:18" s="2222" customFormat="1">
      <c r="B115" s="2704"/>
      <c r="C115" s="2704"/>
      <c r="D115" s="2704"/>
      <c r="E115" s="2704"/>
      <c r="F115" s="2704"/>
      <c r="G115" s="2705"/>
      <c r="H115" s="2704"/>
      <c r="I115" s="2705"/>
      <c r="J115" s="2704"/>
      <c r="K115" s="2704"/>
      <c r="L115" s="2705"/>
      <c r="M115" s="2704"/>
      <c r="N115" s="2704"/>
      <c r="O115" s="2705"/>
      <c r="P115" s="2704"/>
      <c r="Q115" s="2704"/>
      <c r="R115" s="2706"/>
    </row>
    <row r="116" spans="2:18" s="2222" customFormat="1">
      <c r="B116" s="2704"/>
      <c r="C116" s="2704"/>
      <c r="D116" s="2704"/>
      <c r="E116" s="2704"/>
      <c r="F116" s="2704"/>
      <c r="G116" s="2705"/>
      <c r="H116" s="2704"/>
      <c r="I116" s="2705"/>
      <c r="J116" s="2704"/>
      <c r="K116" s="2704"/>
      <c r="L116" s="2705"/>
      <c r="M116" s="2704"/>
      <c r="N116" s="2704"/>
      <c r="O116" s="2705"/>
      <c r="P116" s="2704"/>
      <c r="Q116" s="2704"/>
      <c r="R116" s="2706"/>
    </row>
    <row r="117" spans="2:18" s="2222" customFormat="1">
      <c r="B117" s="2704"/>
      <c r="C117" s="2704"/>
      <c r="D117" s="2704"/>
      <c r="E117" s="2704"/>
      <c r="F117" s="2704"/>
      <c r="G117" s="2705"/>
      <c r="H117" s="2704"/>
      <c r="I117" s="2705"/>
      <c r="J117" s="2704"/>
      <c r="K117" s="2704"/>
      <c r="L117" s="2705"/>
      <c r="M117" s="2704"/>
      <c r="N117" s="2704"/>
      <c r="O117" s="2705"/>
      <c r="P117" s="2704"/>
      <c r="Q117" s="2704"/>
      <c r="R117" s="2706"/>
    </row>
    <row r="118" spans="2:18" s="2222" customFormat="1">
      <c r="B118" s="2704"/>
      <c r="C118" s="2704"/>
      <c r="D118" s="2704"/>
      <c r="E118" s="2704"/>
      <c r="F118" s="2704"/>
      <c r="G118" s="2705"/>
      <c r="H118" s="2704"/>
      <c r="I118" s="2705"/>
      <c r="J118" s="2704"/>
      <c r="K118" s="2704"/>
      <c r="L118" s="2705"/>
      <c r="M118" s="2704"/>
      <c r="N118" s="2704"/>
      <c r="O118" s="2705"/>
      <c r="P118" s="2704"/>
      <c r="Q118" s="2704"/>
      <c r="R118" s="2706"/>
    </row>
    <row r="119" spans="2:18" s="2222" customFormat="1">
      <c r="B119" s="2704"/>
      <c r="C119" s="2704"/>
      <c r="D119" s="2704"/>
      <c r="E119" s="2704"/>
      <c r="F119" s="2704"/>
      <c r="G119" s="2705"/>
      <c r="H119" s="2704"/>
      <c r="I119" s="2705"/>
      <c r="J119" s="2704"/>
      <c r="K119" s="2704"/>
      <c r="L119" s="2705"/>
      <c r="M119" s="2704"/>
      <c r="N119" s="2704"/>
      <c r="O119" s="2705"/>
      <c r="P119" s="2704"/>
      <c r="Q119" s="2704"/>
      <c r="R119" s="2706"/>
    </row>
    <row r="120" spans="2:18" s="2222" customFormat="1">
      <c r="B120" s="2704"/>
      <c r="C120" s="2704"/>
      <c r="D120" s="2704"/>
      <c r="E120" s="2704"/>
      <c r="F120" s="2704"/>
      <c r="G120" s="2705"/>
      <c r="H120" s="2704"/>
      <c r="I120" s="2705"/>
      <c r="J120" s="2704"/>
      <c r="K120" s="2704"/>
      <c r="L120" s="2705"/>
      <c r="M120" s="2704"/>
      <c r="N120" s="2704"/>
      <c r="O120" s="2705"/>
      <c r="P120" s="2704"/>
      <c r="Q120" s="2704"/>
      <c r="R120" s="2706"/>
    </row>
    <row r="121" spans="2:18" s="2222" customFormat="1">
      <c r="B121" s="2704"/>
      <c r="C121" s="2704"/>
      <c r="D121" s="2704"/>
      <c r="E121" s="2704"/>
      <c r="F121" s="2704"/>
      <c r="G121" s="2705"/>
      <c r="H121" s="2704"/>
      <c r="I121" s="2705"/>
      <c r="J121" s="2704"/>
      <c r="K121" s="2704"/>
      <c r="L121" s="2705"/>
      <c r="M121" s="2704"/>
      <c r="N121" s="2704"/>
      <c r="O121" s="2705"/>
      <c r="P121" s="2704"/>
      <c r="Q121" s="2704"/>
      <c r="R121" s="2706"/>
    </row>
    <row r="122" spans="2:18" s="2222" customFormat="1">
      <c r="B122" s="2704"/>
      <c r="C122" s="2704"/>
      <c r="D122" s="2704"/>
      <c r="E122" s="2704"/>
      <c r="F122" s="2704"/>
      <c r="G122" s="2705"/>
      <c r="H122" s="2704"/>
      <c r="I122" s="2705"/>
      <c r="J122" s="2704"/>
      <c r="K122" s="2704"/>
      <c r="L122" s="2705"/>
      <c r="M122" s="2704"/>
      <c r="N122" s="2704"/>
      <c r="O122" s="2705"/>
      <c r="P122" s="2704"/>
      <c r="Q122" s="2704"/>
      <c r="R122" s="2706"/>
    </row>
    <row r="123" spans="2:18" s="2222" customFormat="1">
      <c r="B123" s="2704"/>
      <c r="C123" s="2704"/>
      <c r="D123" s="2704"/>
      <c r="E123" s="2704"/>
      <c r="F123" s="2704"/>
      <c r="G123" s="2705"/>
      <c r="H123" s="2704"/>
      <c r="I123" s="2705"/>
      <c r="J123" s="2704"/>
      <c r="K123" s="2704"/>
      <c r="L123" s="2705"/>
      <c r="M123" s="2704"/>
      <c r="N123" s="2704"/>
      <c r="O123" s="2705"/>
      <c r="P123" s="2704"/>
      <c r="Q123" s="2704"/>
      <c r="R123" s="2706"/>
    </row>
    <row r="124" spans="2:18" s="2222" customFormat="1">
      <c r="B124" s="2704"/>
      <c r="C124" s="2704"/>
      <c r="D124" s="2704"/>
      <c r="E124" s="2704"/>
      <c r="F124" s="2704"/>
      <c r="G124" s="2705"/>
      <c r="H124" s="2704"/>
      <c r="I124" s="2705"/>
      <c r="J124" s="2704"/>
      <c r="K124" s="2704"/>
      <c r="L124" s="2705"/>
      <c r="M124" s="2704"/>
      <c r="N124" s="2704"/>
      <c r="O124" s="2705"/>
      <c r="P124" s="2704"/>
      <c r="Q124" s="2704"/>
      <c r="R124" s="2706"/>
    </row>
    <row r="125" spans="2:18" s="2222" customFormat="1">
      <c r="B125" s="2704"/>
      <c r="C125" s="2704"/>
      <c r="D125" s="2704"/>
      <c r="E125" s="2704"/>
      <c r="F125" s="2704"/>
      <c r="G125" s="2705"/>
      <c r="H125" s="2704"/>
      <c r="I125" s="2705"/>
      <c r="J125" s="2704"/>
      <c r="K125" s="2704"/>
      <c r="L125" s="2705"/>
      <c r="M125" s="2704"/>
      <c r="N125" s="2704"/>
      <c r="O125" s="2705"/>
      <c r="P125" s="2704"/>
      <c r="Q125" s="2704"/>
      <c r="R125" s="2706"/>
    </row>
    <row r="126" spans="2:18" s="2222" customFormat="1">
      <c r="B126" s="2704"/>
      <c r="C126" s="2704"/>
      <c r="D126" s="2704"/>
      <c r="E126" s="2704"/>
      <c r="F126" s="2704"/>
      <c r="G126" s="2705"/>
      <c r="H126" s="2704"/>
      <c r="I126" s="2705"/>
      <c r="J126" s="2704"/>
      <c r="K126" s="2704"/>
      <c r="L126" s="2705"/>
      <c r="M126" s="2704"/>
      <c r="N126" s="2704"/>
      <c r="O126" s="2705"/>
      <c r="P126" s="2704"/>
      <c r="Q126" s="2704"/>
      <c r="R126" s="2706"/>
    </row>
    <row r="127" spans="2:18" s="2222" customFormat="1">
      <c r="B127" s="2704"/>
      <c r="C127" s="2704"/>
      <c r="D127" s="2704"/>
      <c r="E127" s="2704"/>
      <c r="F127" s="2704"/>
      <c r="G127" s="2705"/>
      <c r="H127" s="2704"/>
      <c r="I127" s="2705"/>
      <c r="J127" s="2704"/>
      <c r="K127" s="2704"/>
      <c r="L127" s="2705"/>
      <c r="M127" s="2704"/>
      <c r="N127" s="2704"/>
      <c r="O127" s="2705"/>
      <c r="P127" s="2704"/>
      <c r="Q127" s="2704"/>
      <c r="R127" s="2706"/>
    </row>
    <row r="128" spans="2:18" s="2222" customFormat="1">
      <c r="B128" s="2704"/>
      <c r="C128" s="2704"/>
      <c r="D128" s="2704"/>
      <c r="E128" s="2704"/>
      <c r="F128" s="2704"/>
      <c r="G128" s="2705"/>
      <c r="H128" s="2704"/>
      <c r="I128" s="2705"/>
      <c r="J128" s="2704"/>
      <c r="K128" s="2704"/>
      <c r="L128" s="2705"/>
      <c r="M128" s="2704"/>
      <c r="N128" s="2704"/>
      <c r="O128" s="2705"/>
      <c r="P128" s="2704"/>
      <c r="Q128" s="2704"/>
      <c r="R128" s="2706"/>
    </row>
    <row r="129" spans="2:18" s="2222" customFormat="1">
      <c r="B129" s="2704"/>
      <c r="C129" s="2704"/>
      <c r="D129" s="2704"/>
      <c r="E129" s="2704"/>
      <c r="F129" s="2704"/>
      <c r="G129" s="2705"/>
      <c r="H129" s="2704"/>
      <c r="I129" s="2705"/>
      <c r="J129" s="2704"/>
      <c r="K129" s="2704"/>
      <c r="L129" s="2705"/>
      <c r="M129" s="2704"/>
      <c r="N129" s="2704"/>
      <c r="O129" s="2705"/>
      <c r="P129" s="2704"/>
      <c r="Q129" s="2704"/>
      <c r="R129" s="2706"/>
    </row>
    <row r="130" spans="2:18" s="2222" customFormat="1">
      <c r="B130" s="2704"/>
      <c r="C130" s="2704"/>
      <c r="D130" s="2704"/>
      <c r="E130" s="2704"/>
      <c r="F130" s="2704"/>
      <c r="G130" s="2705"/>
      <c r="H130" s="2704"/>
      <c r="I130" s="2705"/>
      <c r="J130" s="2704"/>
      <c r="K130" s="2704"/>
      <c r="L130" s="2705"/>
      <c r="M130" s="2704"/>
      <c r="N130" s="2704"/>
      <c r="O130" s="2705"/>
      <c r="P130" s="2704"/>
      <c r="Q130" s="2704"/>
      <c r="R130" s="2706"/>
    </row>
    <row r="131" spans="2:18" s="2222" customFormat="1">
      <c r="B131" s="2704"/>
      <c r="C131" s="2704"/>
      <c r="D131" s="2704"/>
      <c r="E131" s="2704"/>
      <c r="F131" s="2704"/>
      <c r="G131" s="2705"/>
      <c r="H131" s="2704"/>
      <c r="I131" s="2705"/>
      <c r="J131" s="2704"/>
      <c r="K131" s="2704"/>
      <c r="L131" s="2705"/>
      <c r="M131" s="2704"/>
      <c r="N131" s="2704"/>
      <c r="O131" s="2705"/>
      <c r="P131" s="2704"/>
      <c r="Q131" s="2704"/>
      <c r="R131" s="2706"/>
    </row>
    <row r="132" spans="2:18" s="2222" customFormat="1">
      <c r="B132" s="2704"/>
      <c r="C132" s="2704"/>
      <c r="D132" s="2704"/>
      <c r="E132" s="2704"/>
      <c r="F132" s="2704"/>
      <c r="G132" s="2705"/>
      <c r="H132" s="2704"/>
      <c r="I132" s="2705"/>
      <c r="J132" s="2704"/>
      <c r="K132" s="2704"/>
      <c r="L132" s="2705"/>
      <c r="M132" s="2704"/>
      <c r="N132" s="2704"/>
      <c r="O132" s="2705"/>
      <c r="P132" s="2704"/>
      <c r="Q132" s="2704"/>
      <c r="R132" s="2706"/>
    </row>
    <row r="133" spans="2:18" s="2222" customFormat="1">
      <c r="B133" s="2704"/>
      <c r="C133" s="2704"/>
      <c r="D133" s="2704"/>
      <c r="E133" s="2704"/>
      <c r="F133" s="2704"/>
      <c r="G133" s="2705"/>
      <c r="H133" s="2704"/>
      <c r="I133" s="2705"/>
      <c r="J133" s="2704"/>
      <c r="K133" s="2704"/>
      <c r="L133" s="2705"/>
      <c r="M133" s="2704"/>
      <c r="N133" s="2704"/>
      <c r="O133" s="2705"/>
      <c r="P133" s="2704"/>
      <c r="Q133" s="2704"/>
      <c r="R133" s="2706"/>
    </row>
    <row r="134" spans="2:18" s="2222" customFormat="1">
      <c r="B134" s="2704"/>
      <c r="C134" s="2704"/>
      <c r="D134" s="2704"/>
      <c r="E134" s="2704"/>
      <c r="F134" s="2704"/>
      <c r="G134" s="2705"/>
      <c r="H134" s="2704"/>
      <c r="I134" s="2705"/>
      <c r="J134" s="2704"/>
      <c r="K134" s="2704"/>
      <c r="L134" s="2705"/>
      <c r="M134" s="2704"/>
      <c r="N134" s="2704"/>
      <c r="O134" s="2705"/>
      <c r="P134" s="2704"/>
      <c r="Q134" s="2704"/>
      <c r="R134" s="2706"/>
    </row>
    <row r="135" spans="2:18" s="2222" customFormat="1">
      <c r="B135" s="2704"/>
      <c r="C135" s="2704"/>
      <c r="D135" s="2704"/>
      <c r="E135" s="2704"/>
      <c r="F135" s="2704"/>
      <c r="G135" s="2705"/>
      <c r="H135" s="2704"/>
      <c r="I135" s="2705"/>
      <c r="J135" s="2704"/>
      <c r="K135" s="2704"/>
      <c r="L135" s="2705"/>
      <c r="M135" s="2704"/>
      <c r="N135" s="2704"/>
      <c r="O135" s="2705"/>
      <c r="P135" s="2704"/>
      <c r="Q135" s="2704"/>
      <c r="R135" s="2706"/>
    </row>
    <row r="136" spans="2:18" s="2222" customFormat="1">
      <c r="B136" s="2704"/>
      <c r="C136" s="2704"/>
      <c r="D136" s="2704"/>
      <c r="E136" s="2704"/>
      <c r="F136" s="2704"/>
      <c r="G136" s="2705"/>
      <c r="H136" s="2704"/>
      <c r="I136" s="2705"/>
      <c r="J136" s="2704"/>
      <c r="K136" s="2704"/>
      <c r="L136" s="2705"/>
      <c r="M136" s="2704"/>
      <c r="N136" s="2704"/>
      <c r="O136" s="2705"/>
      <c r="P136" s="2704"/>
      <c r="Q136" s="2704"/>
      <c r="R136" s="2706"/>
    </row>
    <row r="137" spans="2:18" s="2222" customFormat="1">
      <c r="B137" s="2704"/>
      <c r="C137" s="2704"/>
      <c r="D137" s="2704"/>
      <c r="E137" s="2704"/>
      <c r="F137" s="2704"/>
      <c r="G137" s="2705"/>
      <c r="H137" s="2704"/>
      <c r="I137" s="2705"/>
      <c r="J137" s="2704"/>
      <c r="K137" s="2704"/>
      <c r="L137" s="2705"/>
      <c r="M137" s="2704"/>
      <c r="N137" s="2704"/>
      <c r="O137" s="2705"/>
      <c r="P137" s="2704"/>
      <c r="Q137" s="2704"/>
      <c r="R137" s="2706"/>
    </row>
    <row r="138" spans="2:18" s="2222" customFormat="1">
      <c r="B138" s="2704"/>
      <c r="C138" s="2704"/>
      <c r="D138" s="2704"/>
      <c r="E138" s="2704"/>
      <c r="F138" s="2704"/>
      <c r="G138" s="2705"/>
      <c r="H138" s="2704"/>
      <c r="I138" s="2705"/>
      <c r="J138" s="2704"/>
      <c r="K138" s="2704"/>
      <c r="L138" s="2705"/>
      <c r="M138" s="2704"/>
      <c r="N138" s="2704"/>
      <c r="O138" s="2705"/>
      <c r="P138" s="2704"/>
      <c r="Q138" s="2704"/>
      <c r="R138" s="2706"/>
    </row>
    <row r="139" spans="2:18" s="2222" customFormat="1">
      <c r="B139" s="2704"/>
      <c r="C139" s="2704"/>
      <c r="D139" s="2704"/>
      <c r="E139" s="2704"/>
      <c r="F139" s="2704"/>
      <c r="G139" s="2705"/>
      <c r="H139" s="2704"/>
      <c r="I139" s="2705"/>
      <c r="J139" s="2704"/>
      <c r="K139" s="2704"/>
      <c r="L139" s="2705"/>
      <c r="M139" s="2704"/>
      <c r="N139" s="2704"/>
      <c r="O139" s="2705"/>
      <c r="P139" s="2704"/>
      <c r="Q139" s="2704"/>
      <c r="R139" s="2706"/>
    </row>
    <row r="140" spans="2:18" s="2222" customFormat="1">
      <c r="B140" s="2704"/>
      <c r="C140" s="2704"/>
      <c r="D140" s="2704"/>
      <c r="E140" s="2704"/>
      <c r="F140" s="2704"/>
      <c r="G140" s="2705"/>
      <c r="H140" s="2704"/>
      <c r="I140" s="2705"/>
      <c r="J140" s="2704"/>
      <c r="K140" s="2704"/>
      <c r="L140" s="2705"/>
      <c r="M140" s="2704"/>
      <c r="N140" s="2704"/>
      <c r="O140" s="2705"/>
      <c r="P140" s="2704"/>
      <c r="Q140" s="2704"/>
      <c r="R140" s="2706"/>
    </row>
    <row r="141" spans="2:18" s="2222" customFormat="1">
      <c r="B141" s="2704"/>
      <c r="C141" s="2704"/>
      <c r="D141" s="2704"/>
      <c r="E141" s="2704"/>
      <c r="F141" s="2704"/>
      <c r="G141" s="2705"/>
      <c r="H141" s="2704"/>
      <c r="I141" s="2705"/>
      <c r="J141" s="2704"/>
      <c r="K141" s="2704"/>
      <c r="L141" s="2705"/>
      <c r="M141" s="2704"/>
      <c r="N141" s="2704"/>
      <c r="O141" s="2705"/>
      <c r="P141" s="2704"/>
      <c r="Q141" s="2704"/>
      <c r="R141" s="2706"/>
    </row>
    <row r="142" spans="2:18" s="2222" customFormat="1">
      <c r="B142" s="2704"/>
      <c r="C142" s="2704"/>
      <c r="D142" s="2704"/>
      <c r="E142" s="2704"/>
      <c r="F142" s="2704"/>
      <c r="G142" s="2705"/>
      <c r="H142" s="2704"/>
      <c r="I142" s="2705"/>
      <c r="J142" s="2704"/>
      <c r="K142" s="2704"/>
      <c r="L142" s="2705"/>
      <c r="M142" s="2704"/>
      <c r="N142" s="2704"/>
      <c r="O142" s="2705"/>
      <c r="P142" s="2704"/>
      <c r="Q142" s="2704"/>
      <c r="R142" s="2706"/>
    </row>
    <row r="143" spans="2:18" s="2222" customFormat="1">
      <c r="B143" s="2704"/>
      <c r="C143" s="2704"/>
      <c r="D143" s="2704"/>
      <c r="E143" s="2704"/>
      <c r="F143" s="2704"/>
      <c r="G143" s="2705"/>
      <c r="H143" s="2704"/>
      <c r="I143" s="2705"/>
      <c r="J143" s="2704"/>
      <c r="K143" s="2704"/>
      <c r="L143" s="2705"/>
      <c r="M143" s="2704"/>
      <c r="N143" s="2704"/>
      <c r="O143" s="2705"/>
      <c r="P143" s="2704"/>
      <c r="Q143" s="2704"/>
      <c r="R143" s="2706"/>
    </row>
    <row r="144" spans="2:18" s="2222" customFormat="1">
      <c r="B144" s="2704"/>
      <c r="C144" s="2704"/>
      <c r="D144" s="2704"/>
      <c r="E144" s="2704"/>
      <c r="F144" s="2704"/>
      <c r="G144" s="2705"/>
      <c r="H144" s="2704"/>
      <c r="I144" s="2705"/>
      <c r="J144" s="2704"/>
      <c r="K144" s="2704"/>
      <c r="L144" s="2705"/>
      <c r="M144" s="2704"/>
      <c r="N144" s="2704"/>
      <c r="O144" s="2705"/>
      <c r="P144" s="2704"/>
      <c r="Q144" s="2704"/>
      <c r="R144" s="2706"/>
    </row>
    <row r="145" spans="2:18" s="2222" customFormat="1">
      <c r="B145" s="2704"/>
      <c r="C145" s="2704"/>
      <c r="D145" s="2704"/>
      <c r="E145" s="2704"/>
      <c r="F145" s="2704"/>
      <c r="G145" s="2705"/>
      <c r="H145" s="2704"/>
      <c r="I145" s="2705"/>
      <c r="J145" s="2704"/>
      <c r="K145" s="2704"/>
      <c r="L145" s="2705"/>
      <c r="M145" s="2704"/>
      <c r="N145" s="2704"/>
      <c r="O145" s="2705"/>
      <c r="P145" s="2704"/>
      <c r="Q145" s="2704"/>
      <c r="R145" s="2706"/>
    </row>
    <row r="146" spans="2:18" s="2222" customFormat="1">
      <c r="B146" s="2704"/>
      <c r="C146" s="2704"/>
      <c r="D146" s="2704"/>
      <c r="E146" s="2704"/>
      <c r="F146" s="2704"/>
      <c r="G146" s="2705"/>
      <c r="H146" s="2704"/>
      <c r="I146" s="2705"/>
      <c r="J146" s="2704"/>
      <c r="K146" s="2704"/>
      <c r="L146" s="2705"/>
      <c r="M146" s="2704"/>
      <c r="N146" s="2704"/>
      <c r="O146" s="2705"/>
      <c r="P146" s="2704"/>
      <c r="Q146" s="2704"/>
      <c r="R146" s="2706"/>
    </row>
    <row r="147" spans="2:18" s="2222" customFormat="1">
      <c r="B147" s="2704"/>
      <c r="C147" s="2704"/>
      <c r="D147" s="2704"/>
      <c r="E147" s="2704"/>
      <c r="F147" s="2704"/>
      <c r="G147" s="2705"/>
      <c r="H147" s="2704"/>
      <c r="I147" s="2705"/>
      <c r="J147" s="2704"/>
      <c r="K147" s="2704"/>
      <c r="L147" s="2705"/>
      <c r="M147" s="2704"/>
      <c r="N147" s="2704"/>
      <c r="O147" s="2705"/>
      <c r="P147" s="2704"/>
      <c r="Q147" s="2704"/>
      <c r="R147" s="2706"/>
    </row>
    <row r="148" spans="2:18" s="2222" customFormat="1">
      <c r="B148" s="2704"/>
      <c r="C148" s="2704"/>
      <c r="D148" s="2704"/>
      <c r="E148" s="2704"/>
      <c r="F148" s="2704"/>
      <c r="G148" s="2705"/>
      <c r="H148" s="2704"/>
      <c r="I148" s="2705"/>
      <c r="J148" s="2704"/>
      <c r="K148" s="2704"/>
      <c r="L148" s="2705"/>
      <c r="M148" s="2704"/>
      <c r="N148" s="2704"/>
      <c r="O148" s="2705"/>
      <c r="P148" s="2704"/>
      <c r="Q148" s="2704"/>
      <c r="R148" s="2706"/>
    </row>
    <row r="149" spans="2:18" s="2222" customFormat="1">
      <c r="B149" s="2704"/>
      <c r="C149" s="2704"/>
      <c r="D149" s="2704"/>
      <c r="E149" s="2704"/>
      <c r="F149" s="2704"/>
      <c r="G149" s="2705"/>
      <c r="H149" s="2704"/>
      <c r="I149" s="2705"/>
      <c r="J149" s="2704"/>
      <c r="K149" s="2704"/>
      <c r="L149" s="2705"/>
      <c r="M149" s="2704"/>
      <c r="N149" s="2704"/>
      <c r="O149" s="2705"/>
      <c r="P149" s="2704"/>
      <c r="Q149" s="2704"/>
      <c r="R149" s="2706"/>
    </row>
    <row r="150" spans="2:18" s="2222" customFormat="1">
      <c r="B150" s="2704"/>
      <c r="C150" s="2704"/>
      <c r="D150" s="2704"/>
      <c r="E150" s="2704"/>
      <c r="F150" s="2704"/>
      <c r="G150" s="2705"/>
      <c r="H150" s="2704"/>
      <c r="I150" s="2705"/>
      <c r="J150" s="2704"/>
      <c r="K150" s="2704"/>
      <c r="L150" s="2705"/>
      <c r="M150" s="2704"/>
      <c r="N150" s="2704"/>
      <c r="O150" s="2705"/>
      <c r="P150" s="2704"/>
      <c r="Q150" s="2704"/>
      <c r="R150" s="2706"/>
    </row>
    <row r="151" spans="2:18" s="2222" customFormat="1">
      <c r="B151" s="2704"/>
      <c r="C151" s="2704"/>
      <c r="D151" s="2704"/>
      <c r="E151" s="2704"/>
      <c r="F151" s="2704"/>
      <c r="G151" s="2705"/>
      <c r="H151" s="2704"/>
      <c r="I151" s="2705"/>
      <c r="J151" s="2704"/>
      <c r="K151" s="2704"/>
      <c r="L151" s="2705"/>
      <c r="M151" s="2704"/>
      <c r="N151" s="2704"/>
      <c r="O151" s="2705"/>
      <c r="P151" s="2704"/>
      <c r="Q151" s="2704"/>
      <c r="R151" s="2706"/>
    </row>
    <row r="152" spans="2:18" s="2222" customFormat="1">
      <c r="B152" s="2704"/>
      <c r="C152" s="2704"/>
      <c r="D152" s="2704"/>
      <c r="E152" s="2704"/>
      <c r="F152" s="2704"/>
      <c r="G152" s="2705"/>
      <c r="H152" s="2704"/>
      <c r="I152" s="2705"/>
      <c r="J152" s="2704"/>
      <c r="K152" s="2704"/>
      <c r="L152" s="2705"/>
      <c r="M152" s="2704"/>
      <c r="N152" s="2704"/>
      <c r="O152" s="2705"/>
      <c r="P152" s="2704"/>
      <c r="Q152" s="2704"/>
      <c r="R152" s="2706"/>
    </row>
    <row r="153" spans="2:18" s="2222" customFormat="1">
      <c r="B153" s="2704"/>
      <c r="C153" s="2704"/>
      <c r="D153" s="2704"/>
      <c r="E153" s="2704"/>
      <c r="F153" s="2704"/>
      <c r="G153" s="2705"/>
      <c r="H153" s="2704"/>
      <c r="I153" s="2705"/>
      <c r="J153" s="2704"/>
      <c r="K153" s="2704"/>
      <c r="L153" s="2705"/>
      <c r="M153" s="2704"/>
      <c r="N153" s="2704"/>
      <c r="O153" s="2705"/>
      <c r="P153" s="2704"/>
      <c r="Q153" s="2704"/>
      <c r="R153" s="2706"/>
    </row>
    <row r="154" spans="2:18" s="2222" customFormat="1">
      <c r="B154" s="2704"/>
      <c r="C154" s="2704"/>
      <c r="D154" s="2704"/>
      <c r="E154" s="2704"/>
      <c r="F154" s="2704"/>
      <c r="G154" s="2705"/>
      <c r="H154" s="2704"/>
      <c r="I154" s="2705"/>
      <c r="J154" s="2704"/>
      <c r="K154" s="2704"/>
      <c r="L154" s="2705"/>
      <c r="M154" s="2704"/>
      <c r="N154" s="2704"/>
      <c r="O154" s="2705"/>
      <c r="P154" s="2704"/>
      <c r="Q154" s="2704"/>
      <c r="R154" s="2706"/>
    </row>
    <row r="155" spans="2:18" s="2222" customFormat="1">
      <c r="B155" s="2704"/>
      <c r="C155" s="2704"/>
      <c r="D155" s="2704"/>
      <c r="E155" s="2704"/>
      <c r="F155" s="2704"/>
      <c r="G155" s="2705"/>
      <c r="H155" s="2704"/>
      <c r="I155" s="2705"/>
      <c r="J155" s="2704"/>
      <c r="K155" s="2704"/>
      <c r="L155" s="2705"/>
      <c r="M155" s="2704"/>
      <c r="N155" s="2704"/>
      <c r="O155" s="2705"/>
      <c r="P155" s="2704"/>
      <c r="Q155" s="2704"/>
      <c r="R155" s="2706"/>
    </row>
    <row r="156" spans="2:18" s="2222" customFormat="1">
      <c r="B156" s="2704"/>
      <c r="C156" s="2704"/>
      <c r="D156" s="2704"/>
      <c r="E156" s="2704"/>
      <c r="F156" s="2704"/>
      <c r="G156" s="2705"/>
      <c r="H156" s="2704"/>
      <c r="I156" s="2705"/>
      <c r="J156" s="2704"/>
      <c r="K156" s="2704"/>
      <c r="L156" s="2705"/>
      <c r="M156" s="2704"/>
      <c r="N156" s="2704"/>
      <c r="O156" s="2705"/>
      <c r="P156" s="2704"/>
      <c r="Q156" s="2704"/>
      <c r="R156" s="2706"/>
    </row>
    <row r="157" spans="2:18" s="2222" customFormat="1">
      <c r="B157" s="2704"/>
      <c r="C157" s="2704"/>
      <c r="D157" s="2704"/>
      <c r="E157" s="2704"/>
      <c r="F157" s="2704"/>
      <c r="G157" s="2705"/>
      <c r="H157" s="2704"/>
      <c r="I157" s="2705"/>
      <c r="J157" s="2704"/>
      <c r="K157" s="2704"/>
      <c r="L157" s="2705"/>
      <c r="M157" s="2704"/>
      <c r="N157" s="2704"/>
      <c r="O157" s="2705"/>
      <c r="P157" s="2704"/>
      <c r="Q157" s="2704"/>
      <c r="R157" s="2706"/>
    </row>
    <row r="158" spans="2:18" s="2222" customFormat="1">
      <c r="B158" s="2704"/>
      <c r="C158" s="2704"/>
      <c r="D158" s="2704"/>
      <c r="E158" s="2704"/>
      <c r="F158" s="2704"/>
      <c r="G158" s="2705"/>
      <c r="H158" s="2704"/>
      <c r="I158" s="2705"/>
      <c r="J158" s="2704"/>
      <c r="K158" s="2704"/>
      <c r="L158" s="2705"/>
      <c r="M158" s="2704"/>
      <c r="N158" s="2704"/>
      <c r="O158" s="2705"/>
      <c r="P158" s="2704"/>
      <c r="Q158" s="2704"/>
      <c r="R158" s="2706"/>
    </row>
    <row r="159" spans="2:18" s="2222" customFormat="1">
      <c r="B159" s="2704"/>
      <c r="C159" s="2704"/>
      <c r="D159" s="2704"/>
      <c r="E159" s="2704"/>
      <c r="F159" s="2704"/>
      <c r="G159" s="2705"/>
      <c r="H159" s="2704"/>
      <c r="I159" s="2705"/>
      <c r="J159" s="2704"/>
      <c r="K159" s="2704"/>
      <c r="L159" s="2705"/>
      <c r="M159" s="2704"/>
      <c r="N159" s="2704"/>
      <c r="O159" s="2705"/>
      <c r="P159" s="2704"/>
      <c r="Q159" s="2704"/>
      <c r="R159" s="2706"/>
    </row>
    <row r="160" spans="2:18" s="2222" customFormat="1">
      <c r="B160" s="2704"/>
      <c r="C160" s="2704"/>
      <c r="D160" s="2704"/>
      <c r="E160" s="2704"/>
      <c r="F160" s="2704"/>
      <c r="G160" s="2705"/>
      <c r="H160" s="2704"/>
      <c r="I160" s="2705"/>
      <c r="J160" s="2704"/>
      <c r="K160" s="2704"/>
      <c r="L160" s="2705"/>
      <c r="M160" s="2704"/>
      <c r="N160" s="2704"/>
      <c r="O160" s="2705"/>
      <c r="P160" s="2704"/>
      <c r="Q160" s="2704"/>
      <c r="R160" s="2706"/>
    </row>
    <row r="161" spans="2:18" s="2222" customFormat="1">
      <c r="B161" s="2704"/>
      <c r="C161" s="2704"/>
      <c r="D161" s="2704"/>
      <c r="E161" s="2704"/>
      <c r="F161" s="2704"/>
      <c r="G161" s="2705"/>
      <c r="H161" s="2704"/>
      <c r="I161" s="2705"/>
      <c r="J161" s="2704"/>
      <c r="K161" s="2704"/>
      <c r="L161" s="2705"/>
      <c r="M161" s="2704"/>
      <c r="N161" s="2704"/>
      <c r="O161" s="2705"/>
      <c r="P161" s="2704"/>
      <c r="Q161" s="2704"/>
      <c r="R161" s="2706"/>
    </row>
    <row r="162" spans="2:18" s="2222" customFormat="1">
      <c r="B162" s="2704"/>
      <c r="C162" s="2704"/>
      <c r="D162" s="2704"/>
      <c r="E162" s="2704"/>
      <c r="F162" s="2704"/>
      <c r="G162" s="2705"/>
      <c r="H162" s="2704"/>
      <c r="I162" s="2705"/>
      <c r="J162" s="2704"/>
      <c r="K162" s="2704"/>
      <c r="L162" s="2705"/>
      <c r="M162" s="2704"/>
      <c r="N162" s="2704"/>
      <c r="O162" s="2705"/>
      <c r="P162" s="2704"/>
      <c r="Q162" s="2704"/>
      <c r="R162" s="2706"/>
    </row>
    <row r="163" spans="2:18" s="2222" customFormat="1">
      <c r="B163" s="2704"/>
      <c r="C163" s="2704"/>
      <c r="D163" s="2704"/>
      <c r="E163" s="2704"/>
      <c r="F163" s="2704"/>
      <c r="G163" s="2705"/>
      <c r="H163" s="2704"/>
      <c r="I163" s="2705"/>
      <c r="J163" s="2704"/>
      <c r="K163" s="2704"/>
      <c r="L163" s="2705"/>
      <c r="M163" s="2704"/>
      <c r="N163" s="2704"/>
      <c r="O163" s="2705"/>
      <c r="P163" s="2704"/>
      <c r="Q163" s="2704"/>
      <c r="R163" s="2706"/>
    </row>
    <row r="164" spans="2:18" s="2222" customFormat="1">
      <c r="B164" s="2704"/>
      <c r="C164" s="2704"/>
      <c r="D164" s="2704"/>
      <c r="E164" s="2704"/>
      <c r="F164" s="2704"/>
      <c r="G164" s="2705"/>
      <c r="H164" s="2704"/>
      <c r="I164" s="2705"/>
      <c r="J164" s="2704"/>
      <c r="K164" s="2704"/>
      <c r="L164" s="2705"/>
      <c r="M164" s="2704"/>
      <c r="N164" s="2704"/>
      <c r="O164" s="2705"/>
      <c r="P164" s="2704"/>
      <c r="Q164" s="2704"/>
      <c r="R164" s="2706"/>
    </row>
    <row r="165" spans="2:18" s="2222" customFormat="1">
      <c r="B165" s="2704"/>
      <c r="C165" s="2704"/>
      <c r="D165" s="2704"/>
      <c r="E165" s="2704"/>
      <c r="F165" s="2704"/>
      <c r="G165" s="2705"/>
      <c r="H165" s="2704"/>
      <c r="I165" s="2705"/>
      <c r="J165" s="2704"/>
      <c r="K165" s="2704"/>
      <c r="L165" s="2705"/>
      <c r="M165" s="2704"/>
      <c r="N165" s="2704"/>
      <c r="O165" s="2705"/>
      <c r="P165" s="2704"/>
      <c r="Q165" s="2704"/>
      <c r="R165" s="2706"/>
    </row>
    <row r="166" spans="2:18" s="2222" customFormat="1">
      <c r="B166" s="2704"/>
      <c r="C166" s="2704"/>
      <c r="D166" s="2704"/>
      <c r="E166" s="2704"/>
      <c r="F166" s="2704"/>
      <c r="G166" s="2705"/>
      <c r="H166" s="2704"/>
      <c r="I166" s="2705"/>
      <c r="J166" s="2704"/>
      <c r="K166" s="2704"/>
      <c r="L166" s="2705"/>
      <c r="M166" s="2704"/>
      <c r="N166" s="2704"/>
      <c r="O166" s="2705"/>
      <c r="P166" s="2704"/>
      <c r="Q166" s="2704"/>
      <c r="R166" s="2706"/>
    </row>
    <row r="167" spans="2:18" s="2222" customFormat="1">
      <c r="B167" s="2704"/>
      <c r="C167" s="2704"/>
      <c r="D167" s="2704"/>
      <c r="E167" s="2704"/>
      <c r="F167" s="2704"/>
      <c r="G167" s="2705"/>
      <c r="H167" s="2704"/>
      <c r="I167" s="2705"/>
      <c r="J167" s="2704"/>
      <c r="K167" s="2704"/>
      <c r="L167" s="2705"/>
      <c r="M167" s="2704"/>
      <c r="N167" s="2704"/>
      <c r="O167" s="2705"/>
      <c r="P167" s="2704"/>
      <c r="Q167" s="2704"/>
      <c r="R167" s="2706"/>
    </row>
    <row r="168" spans="2:18" s="2222" customFormat="1">
      <c r="B168" s="2704"/>
      <c r="C168" s="2704"/>
      <c r="D168" s="2704"/>
      <c r="E168" s="2704"/>
      <c r="F168" s="2704"/>
      <c r="G168" s="2705"/>
      <c r="H168" s="2704"/>
      <c r="I168" s="2705"/>
      <c r="J168" s="2704"/>
      <c r="K168" s="2704"/>
      <c r="L168" s="2705"/>
      <c r="M168" s="2704"/>
      <c r="N168" s="2704"/>
      <c r="O168" s="2705"/>
      <c r="P168" s="2704"/>
      <c r="Q168" s="2704"/>
      <c r="R168" s="2706"/>
    </row>
    <row r="169" spans="2:18" s="2222" customFormat="1">
      <c r="B169" s="2704"/>
      <c r="C169" s="2704"/>
      <c r="D169" s="2704"/>
      <c r="E169" s="2704"/>
      <c r="F169" s="2704"/>
      <c r="G169" s="2705"/>
      <c r="H169" s="2704"/>
      <c r="I169" s="2705"/>
      <c r="J169" s="2704"/>
      <c r="K169" s="2704"/>
      <c r="L169" s="2705"/>
      <c r="M169" s="2704"/>
      <c r="N169" s="2704"/>
      <c r="O169" s="2705"/>
      <c r="P169" s="2704"/>
      <c r="Q169" s="2704"/>
      <c r="R169" s="2706"/>
    </row>
    <row r="170" spans="2:18" s="2222" customFormat="1">
      <c r="B170" s="2704"/>
      <c r="C170" s="2704"/>
      <c r="D170" s="2704"/>
      <c r="E170" s="2704"/>
      <c r="F170" s="2704"/>
      <c r="G170" s="2705"/>
      <c r="H170" s="2704"/>
      <c r="I170" s="2705"/>
      <c r="J170" s="2704"/>
      <c r="K170" s="2704"/>
      <c r="L170" s="2705"/>
      <c r="M170" s="2704"/>
      <c r="N170" s="2704"/>
      <c r="O170" s="2705"/>
      <c r="P170" s="2704"/>
      <c r="Q170" s="2704"/>
      <c r="R170" s="2706"/>
    </row>
    <row r="171" spans="2:18" s="2222" customFormat="1">
      <c r="B171" s="2704"/>
      <c r="C171" s="2704"/>
      <c r="D171" s="2704"/>
      <c r="E171" s="2704"/>
      <c r="F171" s="2704"/>
      <c r="G171" s="2705"/>
      <c r="H171" s="2704"/>
      <c r="I171" s="2705"/>
      <c r="J171" s="2704"/>
      <c r="K171" s="2704"/>
      <c r="L171" s="2705"/>
      <c r="M171" s="2704"/>
      <c r="N171" s="2704"/>
      <c r="O171" s="2705"/>
      <c r="P171" s="2704"/>
      <c r="Q171" s="2704"/>
      <c r="R171" s="2706"/>
    </row>
    <row r="172" spans="2:18" s="2222" customFormat="1">
      <c r="B172" s="2704"/>
      <c r="C172" s="2704"/>
      <c r="D172" s="2704"/>
      <c r="E172" s="2704"/>
      <c r="F172" s="2704"/>
      <c r="G172" s="2705"/>
      <c r="H172" s="2704"/>
      <c r="I172" s="2705"/>
      <c r="J172" s="2704"/>
      <c r="K172" s="2704"/>
      <c r="L172" s="2705"/>
      <c r="M172" s="2704"/>
      <c r="N172" s="2704"/>
      <c r="O172" s="2705"/>
      <c r="P172" s="2704"/>
      <c r="Q172" s="2704"/>
      <c r="R172" s="2706"/>
    </row>
    <row r="173" spans="2:18" s="2222" customFormat="1">
      <c r="B173" s="2704"/>
      <c r="C173" s="2704"/>
      <c r="D173" s="2704"/>
      <c r="E173" s="2704"/>
      <c r="F173" s="2704"/>
      <c r="G173" s="2705"/>
      <c r="H173" s="2704"/>
      <c r="I173" s="2705"/>
      <c r="J173" s="2704"/>
      <c r="K173" s="2704"/>
      <c r="L173" s="2705"/>
      <c r="M173" s="2704"/>
      <c r="N173" s="2704"/>
      <c r="O173" s="2705"/>
      <c r="P173" s="2704"/>
      <c r="Q173" s="2704"/>
      <c r="R173" s="2706"/>
    </row>
    <row r="174" spans="2:18" s="2222" customFormat="1">
      <c r="B174" s="2704"/>
      <c r="C174" s="2704"/>
      <c r="D174" s="2704"/>
      <c r="E174" s="2704"/>
      <c r="F174" s="2704"/>
      <c r="G174" s="2705"/>
      <c r="H174" s="2704"/>
      <c r="I174" s="2705"/>
      <c r="J174" s="2704"/>
      <c r="K174" s="2704"/>
      <c r="L174" s="2705"/>
      <c r="M174" s="2704"/>
      <c r="N174" s="2704"/>
      <c r="O174" s="2705"/>
      <c r="P174" s="2704"/>
      <c r="Q174" s="2704"/>
      <c r="R174" s="2706"/>
    </row>
    <row r="175" spans="2:18" s="2222" customFormat="1">
      <c r="B175" s="2704"/>
      <c r="C175" s="2704"/>
      <c r="D175" s="2704"/>
      <c r="E175" s="2704"/>
      <c r="F175" s="2704"/>
      <c r="G175" s="2705"/>
      <c r="H175" s="2704"/>
      <c r="I175" s="2705"/>
      <c r="J175" s="2704"/>
      <c r="K175" s="2704"/>
      <c r="L175" s="2705"/>
      <c r="M175" s="2704"/>
      <c r="N175" s="2704"/>
      <c r="O175" s="2705"/>
      <c r="P175" s="2704"/>
      <c r="Q175" s="2704"/>
      <c r="R175" s="2706"/>
    </row>
    <row r="176" spans="2:18" s="2222" customFormat="1">
      <c r="B176" s="2704"/>
      <c r="C176" s="2704"/>
      <c r="D176" s="2704"/>
      <c r="E176" s="2704"/>
      <c r="F176" s="2704"/>
      <c r="G176" s="2705"/>
      <c r="H176" s="2704"/>
      <c r="I176" s="2705"/>
      <c r="J176" s="2704"/>
      <c r="K176" s="2704"/>
      <c r="L176" s="2705"/>
      <c r="M176" s="2704"/>
      <c r="N176" s="2704"/>
      <c r="O176" s="2705"/>
      <c r="P176" s="2704"/>
      <c r="Q176" s="2704"/>
      <c r="R176" s="2706"/>
    </row>
    <row r="177" spans="1:18" s="2222" customFormat="1">
      <c r="B177" s="2704"/>
      <c r="C177" s="2704"/>
      <c r="D177" s="2704"/>
      <c r="E177" s="2704"/>
      <c r="F177" s="2704"/>
      <c r="G177" s="2705"/>
      <c r="H177" s="2704"/>
      <c r="I177" s="2705"/>
      <c r="J177" s="2704"/>
      <c r="K177" s="2704"/>
      <c r="L177" s="2705"/>
      <c r="M177" s="2704"/>
      <c r="N177" s="2704"/>
      <c r="O177" s="2705"/>
      <c r="P177" s="2704"/>
      <c r="Q177" s="2704"/>
      <c r="R177" s="2706"/>
    </row>
    <row r="178" spans="1:18" s="2222" customFormat="1">
      <c r="B178" s="2704"/>
      <c r="C178" s="2704"/>
      <c r="D178" s="2704"/>
      <c r="E178" s="2704"/>
      <c r="F178" s="2704"/>
      <c r="G178" s="2705"/>
      <c r="H178" s="2704"/>
      <c r="I178" s="2705"/>
      <c r="J178" s="2704"/>
      <c r="K178" s="2704"/>
      <c r="L178" s="2705"/>
      <c r="M178" s="2704"/>
      <c r="N178" s="2704"/>
      <c r="O178" s="2705"/>
      <c r="P178" s="2704"/>
      <c r="Q178" s="2704"/>
      <c r="R178" s="2706"/>
    </row>
    <row r="179" spans="1:18" s="2222" customFormat="1">
      <c r="B179" s="2704"/>
      <c r="C179" s="2704"/>
      <c r="D179" s="2704"/>
      <c r="E179" s="2704"/>
      <c r="F179" s="2704"/>
      <c r="G179" s="2705"/>
      <c r="H179" s="2704"/>
      <c r="I179" s="2705"/>
      <c r="J179" s="2704"/>
      <c r="K179" s="2704"/>
      <c r="L179" s="2705"/>
      <c r="M179" s="2704"/>
      <c r="N179" s="2704"/>
      <c r="O179" s="2705"/>
      <c r="P179" s="2704"/>
      <c r="Q179" s="2704"/>
      <c r="R179" s="2706"/>
    </row>
    <row r="180" spans="1:18" s="2222" customFormat="1">
      <c r="B180" s="2704"/>
      <c r="C180" s="2704"/>
      <c r="D180" s="2704"/>
      <c r="E180" s="2704"/>
      <c r="F180" s="2704"/>
      <c r="G180" s="2705"/>
      <c r="H180" s="2704"/>
      <c r="I180" s="2705"/>
      <c r="J180" s="2704"/>
      <c r="K180" s="2704"/>
      <c r="L180" s="2705"/>
      <c r="M180" s="2704"/>
      <c r="N180" s="2704"/>
      <c r="O180" s="2705"/>
      <c r="P180" s="2704"/>
      <c r="Q180" s="2704"/>
      <c r="R180" s="2706"/>
    </row>
    <row r="181" spans="1:18" s="2222" customFormat="1">
      <c r="B181" s="2704"/>
      <c r="C181" s="2704"/>
      <c r="D181" s="2704"/>
      <c r="E181" s="2704"/>
      <c r="F181" s="2704"/>
      <c r="G181" s="2705"/>
      <c r="H181" s="2704"/>
      <c r="I181" s="2705"/>
      <c r="J181" s="2704"/>
      <c r="K181" s="2704"/>
      <c r="L181" s="2705"/>
      <c r="M181" s="2704"/>
      <c r="N181" s="2704"/>
      <c r="O181" s="2705"/>
      <c r="P181" s="2704"/>
      <c r="Q181" s="2704"/>
      <c r="R181" s="2706"/>
    </row>
    <row r="182" spans="1:18" s="2222" customFormat="1">
      <c r="B182" s="2704"/>
      <c r="C182" s="2704"/>
      <c r="D182" s="2704"/>
      <c r="E182" s="2704"/>
      <c r="F182" s="2704"/>
      <c r="G182" s="2705"/>
      <c r="H182" s="2704"/>
      <c r="I182" s="2705"/>
      <c r="J182" s="2704"/>
      <c r="K182" s="2704"/>
      <c r="L182" s="2705"/>
      <c r="M182" s="2704"/>
      <c r="N182" s="2704"/>
      <c r="O182" s="2705"/>
      <c r="P182" s="2704"/>
      <c r="Q182" s="2704"/>
      <c r="R182" s="2706"/>
    </row>
    <row r="183" spans="1:18" s="2222" customFormat="1">
      <c r="B183" s="2704"/>
      <c r="C183" s="2704"/>
      <c r="D183" s="2704"/>
      <c r="E183" s="2704"/>
      <c r="F183" s="2704"/>
      <c r="G183" s="2705"/>
      <c r="H183" s="2704"/>
      <c r="I183" s="2705"/>
      <c r="J183" s="2704"/>
      <c r="K183" s="2704"/>
      <c r="L183" s="2705"/>
      <c r="M183" s="2704"/>
      <c r="N183" s="2704"/>
      <c r="O183" s="2705"/>
      <c r="P183" s="2704"/>
      <c r="Q183" s="2704"/>
      <c r="R183" s="2706"/>
    </row>
    <row r="184" spans="1:18" s="2222" customFormat="1">
      <c r="B184" s="2704"/>
      <c r="C184" s="2704"/>
      <c r="D184" s="2704"/>
      <c r="E184" s="2704"/>
      <c r="F184" s="2704"/>
      <c r="G184" s="2705"/>
      <c r="H184" s="2704"/>
      <c r="I184" s="2705"/>
      <c r="J184" s="2704"/>
      <c r="K184" s="2704"/>
      <c r="L184" s="2705"/>
      <c r="M184" s="2704"/>
      <c r="N184" s="2704"/>
      <c r="O184" s="2705"/>
      <c r="P184" s="2704"/>
      <c r="Q184" s="2704"/>
      <c r="R184" s="2706"/>
    </row>
    <row r="185" spans="1:18" s="2222"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222"/>
      <c r="B186" s="2704"/>
      <c r="C186" s="2704"/>
      <c r="E186" s="2704"/>
      <c r="F186" s="2704"/>
      <c r="G186" s="2705"/>
    </row>
    <row r="187" spans="1:18">
      <c r="A187" s="2222"/>
      <c r="B187" s="2704"/>
      <c r="C187" s="2704"/>
      <c r="E187" s="2704"/>
      <c r="F187" s="2704"/>
      <c r="G187" s="2705"/>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7"/>
  <sheetViews>
    <sheetView workbookViewId="0">
      <pane ySplit="2" topLeftCell="A556" activePane="bottomLeft" state="frozen"/>
      <selection pane="bottomLeft" activeCell="R623" sqref="R623"/>
    </sheetView>
  </sheetViews>
  <sheetFormatPr defaultColWidth="9" defaultRowHeight="12.75"/>
  <cols>
    <col min="1" max="1" width="5.5" style="2680" customWidth="1"/>
    <col min="2" max="2" width="7.875" style="2680" hidden="1" customWidth="1"/>
    <col min="3" max="3" width="7.375" style="2680" hidden="1" customWidth="1"/>
    <col min="4" max="4" width="11.875" style="2680" customWidth="1"/>
    <col min="5" max="5" width="22.125" style="2680" customWidth="1"/>
    <col min="6" max="6" width="10" style="2680" hidden="1" customWidth="1"/>
    <col min="7" max="7" width="9.5" style="2680" customWidth="1"/>
    <col min="8" max="8" width="14.875" style="2680" customWidth="1"/>
    <col min="9" max="9" width="14.375" style="2680" hidden="1" customWidth="1"/>
    <col min="10" max="16384" width="9" style="2681"/>
  </cols>
  <sheetData>
    <row r="1" spans="1:12" ht="18.95" customHeight="1">
      <c r="A1" s="3580" t="s">
        <v>790</v>
      </c>
      <c r="B1" s="3581"/>
      <c r="C1" s="3581"/>
      <c r="D1" s="3581"/>
      <c r="E1" s="3581"/>
      <c r="F1" s="3581"/>
      <c r="G1" s="3581"/>
      <c r="H1" s="3581"/>
      <c r="I1" s="3581"/>
    </row>
    <row r="2" spans="1:12" ht="29.1" customHeight="1">
      <c r="A2" s="2682" t="s">
        <v>791</v>
      </c>
      <c r="B2" s="2682" t="s">
        <v>792</v>
      </c>
      <c r="C2" s="2683" t="s">
        <v>793</v>
      </c>
      <c r="D2" s="2682" t="s">
        <v>794</v>
      </c>
      <c r="E2" s="2682" t="s">
        <v>795</v>
      </c>
      <c r="F2" s="2682" t="s">
        <v>796</v>
      </c>
      <c r="G2" s="2684" t="s">
        <v>797</v>
      </c>
      <c r="H2" s="2685" t="s">
        <v>798</v>
      </c>
      <c r="I2" s="2685" t="s">
        <v>799</v>
      </c>
    </row>
    <row r="3" spans="1:12" ht="24.95" customHeight="1">
      <c r="A3" s="2686">
        <v>1</v>
      </c>
      <c r="B3" s="2686" t="s">
        <v>800</v>
      </c>
      <c r="C3" s="2687" t="s">
        <v>801</v>
      </c>
      <c r="D3" s="2686" t="str">
        <f>B3&amp;C3</f>
        <v>1#地库024</v>
      </c>
      <c r="E3" s="2686" t="s">
        <v>802</v>
      </c>
      <c r="F3" s="2686" t="s">
        <v>803</v>
      </c>
      <c r="G3" s="2686" t="s">
        <v>804</v>
      </c>
      <c r="H3" s="2688">
        <v>30.6</v>
      </c>
      <c r="I3" s="2688">
        <v>12.72</v>
      </c>
      <c r="K3" s="2690" t="s">
        <v>805</v>
      </c>
      <c r="L3" s="3484" t="s">
        <v>806</v>
      </c>
    </row>
    <row r="4" spans="1:12" ht="24.95" customHeight="1">
      <c r="A4" s="2686">
        <v>2</v>
      </c>
      <c r="B4" s="2686" t="s">
        <v>800</v>
      </c>
      <c r="C4" s="2687" t="s">
        <v>807</v>
      </c>
      <c r="D4" s="2686" t="str">
        <f>B4&amp;C4</f>
        <v>1#地库036</v>
      </c>
      <c r="E4" s="2686" t="s">
        <v>802</v>
      </c>
      <c r="F4" s="2686" t="s">
        <v>803</v>
      </c>
      <c r="G4" s="2686" t="s">
        <v>804</v>
      </c>
      <c r="H4" s="2688">
        <v>30.6</v>
      </c>
      <c r="I4" s="2688">
        <v>12.72</v>
      </c>
      <c r="K4" s="2690" t="s">
        <v>805</v>
      </c>
      <c r="L4" s="3484" t="s">
        <v>806</v>
      </c>
    </row>
    <row r="5" spans="1:12" ht="24.95" customHeight="1">
      <c r="A5" s="2686">
        <v>3</v>
      </c>
      <c r="B5" s="2686" t="s">
        <v>800</v>
      </c>
      <c r="C5" s="2687" t="s">
        <v>808</v>
      </c>
      <c r="D5" s="2686" t="str">
        <f>B5&amp;C5</f>
        <v>1#地库042</v>
      </c>
      <c r="E5" s="2686" t="s">
        <v>802</v>
      </c>
      <c r="F5" s="2686" t="s">
        <v>803</v>
      </c>
      <c r="G5" s="2686" t="s">
        <v>804</v>
      </c>
      <c r="H5" s="2688">
        <v>30.6</v>
      </c>
      <c r="I5" s="2688">
        <v>12.72</v>
      </c>
      <c r="K5" s="2690" t="s">
        <v>805</v>
      </c>
      <c r="L5" s="3484" t="s">
        <v>806</v>
      </c>
    </row>
    <row r="6" spans="1:12" ht="24.95" customHeight="1">
      <c r="A6" s="2686">
        <v>4</v>
      </c>
      <c r="B6" s="2686" t="s">
        <v>800</v>
      </c>
      <c r="C6" s="2687" t="s">
        <v>809</v>
      </c>
      <c r="D6" s="2686" t="str">
        <f>B6&amp;C6</f>
        <v>1#地库047</v>
      </c>
      <c r="E6" s="2686" t="s">
        <v>802</v>
      </c>
      <c r="F6" s="2686" t="s">
        <v>803</v>
      </c>
      <c r="G6" s="2686" t="s">
        <v>804</v>
      </c>
      <c r="H6" s="2688">
        <v>31.88</v>
      </c>
      <c r="I6" s="2688">
        <v>13.25</v>
      </c>
      <c r="K6" s="2690" t="s">
        <v>805</v>
      </c>
      <c r="L6" s="3484" t="s">
        <v>806</v>
      </c>
    </row>
    <row r="7" spans="1:12" ht="24.95" customHeight="1">
      <c r="A7" s="2686">
        <v>5</v>
      </c>
      <c r="B7" s="2686" t="s">
        <v>800</v>
      </c>
      <c r="C7" s="2687" t="s">
        <v>810</v>
      </c>
      <c r="D7" s="2686" t="str">
        <f>B7&amp;C7</f>
        <v>1#地库049</v>
      </c>
      <c r="E7" s="2686" t="s">
        <v>802</v>
      </c>
      <c r="F7" s="2686" t="s">
        <v>803</v>
      </c>
      <c r="G7" s="2686" t="s">
        <v>804</v>
      </c>
      <c r="H7" s="2688">
        <v>30.6</v>
      </c>
      <c r="I7" s="2688">
        <v>12.72</v>
      </c>
      <c r="K7" s="2690" t="s">
        <v>805</v>
      </c>
      <c r="L7" s="3484" t="s">
        <v>806</v>
      </c>
    </row>
    <row r="8" spans="1:12" ht="24.95" customHeight="1">
      <c r="A8" s="2686">
        <v>6</v>
      </c>
      <c r="B8" s="2686" t="s">
        <v>800</v>
      </c>
      <c r="C8" s="2687" t="s">
        <v>811</v>
      </c>
      <c r="D8" s="2686" t="str">
        <f t="shared" ref="D8:D71" si="0">B8&amp;C8</f>
        <v>1#地库053</v>
      </c>
      <c r="E8" s="2686" t="s">
        <v>802</v>
      </c>
      <c r="F8" s="2686" t="s">
        <v>803</v>
      </c>
      <c r="G8" s="2686" t="s">
        <v>804</v>
      </c>
      <c r="H8" s="2688">
        <v>30.6</v>
      </c>
      <c r="I8" s="2688">
        <v>12.72</v>
      </c>
      <c r="K8" s="2690" t="s">
        <v>805</v>
      </c>
      <c r="L8" s="3484" t="s">
        <v>806</v>
      </c>
    </row>
    <row r="9" spans="1:12" ht="24.95" customHeight="1">
      <c r="A9" s="2686">
        <v>7</v>
      </c>
      <c r="B9" s="2686" t="s">
        <v>800</v>
      </c>
      <c r="C9" s="2687" t="s">
        <v>812</v>
      </c>
      <c r="D9" s="2686" t="str">
        <f t="shared" si="0"/>
        <v>1#地库054</v>
      </c>
      <c r="E9" s="2686" t="s">
        <v>802</v>
      </c>
      <c r="F9" s="2686" t="s">
        <v>803</v>
      </c>
      <c r="G9" s="2686" t="s">
        <v>804</v>
      </c>
      <c r="H9" s="2688">
        <v>30.6</v>
      </c>
      <c r="I9" s="2688">
        <v>12.72</v>
      </c>
      <c r="K9" s="2690" t="s">
        <v>805</v>
      </c>
      <c r="L9" s="3484" t="s">
        <v>806</v>
      </c>
    </row>
    <row r="10" spans="1:12" ht="24.95" customHeight="1">
      <c r="A10" s="2686">
        <v>8</v>
      </c>
      <c r="B10" s="2686" t="s">
        <v>800</v>
      </c>
      <c r="C10" s="2687" t="s">
        <v>813</v>
      </c>
      <c r="D10" s="2686" t="str">
        <f t="shared" si="0"/>
        <v>1#地库057</v>
      </c>
      <c r="E10" s="2686" t="s">
        <v>802</v>
      </c>
      <c r="F10" s="2686" t="s">
        <v>803</v>
      </c>
      <c r="G10" s="2686" t="s">
        <v>804</v>
      </c>
      <c r="H10" s="2688">
        <v>30.6</v>
      </c>
      <c r="I10" s="2688">
        <v>12.72</v>
      </c>
      <c r="K10" s="2690" t="s">
        <v>805</v>
      </c>
      <c r="L10" s="3484" t="s">
        <v>806</v>
      </c>
    </row>
    <row r="11" spans="1:12" ht="24.95" customHeight="1">
      <c r="A11" s="2686">
        <v>9</v>
      </c>
      <c r="B11" s="2686" t="s">
        <v>800</v>
      </c>
      <c r="C11" s="2687" t="s">
        <v>814</v>
      </c>
      <c r="D11" s="2686" t="str">
        <f t="shared" si="0"/>
        <v>1#地库059</v>
      </c>
      <c r="E11" s="2686" t="s">
        <v>802</v>
      </c>
      <c r="F11" s="2686" t="s">
        <v>803</v>
      </c>
      <c r="G11" s="2686" t="s">
        <v>804</v>
      </c>
      <c r="H11" s="2688">
        <v>30.6</v>
      </c>
      <c r="I11" s="2688">
        <v>12.72</v>
      </c>
      <c r="K11" s="2690" t="s">
        <v>805</v>
      </c>
      <c r="L11" s="3484" t="s">
        <v>806</v>
      </c>
    </row>
    <row r="12" spans="1:12" ht="24.95" customHeight="1">
      <c r="A12" s="2686">
        <v>10</v>
      </c>
      <c r="B12" s="2686" t="s">
        <v>800</v>
      </c>
      <c r="C12" s="2687" t="s">
        <v>815</v>
      </c>
      <c r="D12" s="2686" t="str">
        <f t="shared" si="0"/>
        <v>1#地库061</v>
      </c>
      <c r="E12" s="2686" t="s">
        <v>802</v>
      </c>
      <c r="F12" s="2686" t="s">
        <v>803</v>
      </c>
      <c r="G12" s="2686" t="s">
        <v>804</v>
      </c>
      <c r="H12" s="2688">
        <v>30.6</v>
      </c>
      <c r="I12" s="2688">
        <v>12.72</v>
      </c>
      <c r="K12" s="2690" t="s">
        <v>805</v>
      </c>
      <c r="L12" s="3484" t="s">
        <v>806</v>
      </c>
    </row>
    <row r="13" spans="1:12" ht="24.95" customHeight="1">
      <c r="A13" s="2686">
        <v>11</v>
      </c>
      <c r="B13" s="2686" t="s">
        <v>800</v>
      </c>
      <c r="C13" s="2687" t="s">
        <v>816</v>
      </c>
      <c r="D13" s="2686" t="str">
        <f t="shared" si="0"/>
        <v>1#地库062</v>
      </c>
      <c r="E13" s="2686" t="s">
        <v>802</v>
      </c>
      <c r="F13" s="2686" t="s">
        <v>803</v>
      </c>
      <c r="G13" s="2686" t="s">
        <v>804</v>
      </c>
      <c r="H13" s="2688">
        <v>30.6</v>
      </c>
      <c r="I13" s="2688">
        <v>12.72</v>
      </c>
      <c r="K13" s="2690" t="s">
        <v>805</v>
      </c>
      <c r="L13" s="3484" t="s">
        <v>806</v>
      </c>
    </row>
    <row r="14" spans="1:12" ht="24.95" customHeight="1">
      <c r="A14" s="2686">
        <v>12</v>
      </c>
      <c r="B14" s="2686" t="s">
        <v>800</v>
      </c>
      <c r="C14" s="2687" t="s">
        <v>817</v>
      </c>
      <c r="D14" s="2686" t="str">
        <f t="shared" si="0"/>
        <v>1#地库063</v>
      </c>
      <c r="E14" s="2686" t="s">
        <v>802</v>
      </c>
      <c r="F14" s="2686" t="s">
        <v>803</v>
      </c>
      <c r="G14" s="2686" t="s">
        <v>804</v>
      </c>
      <c r="H14" s="2688">
        <v>30.6</v>
      </c>
      <c r="I14" s="2688">
        <v>12.72</v>
      </c>
      <c r="K14" s="2690" t="s">
        <v>805</v>
      </c>
      <c r="L14" s="3484" t="s">
        <v>806</v>
      </c>
    </row>
    <row r="15" spans="1:12" ht="24.95" customHeight="1">
      <c r="A15" s="2686">
        <v>13</v>
      </c>
      <c r="B15" s="2686" t="s">
        <v>800</v>
      </c>
      <c r="C15" s="2687" t="s">
        <v>818</v>
      </c>
      <c r="D15" s="2686" t="str">
        <f t="shared" si="0"/>
        <v>1#地库064</v>
      </c>
      <c r="E15" s="2686" t="s">
        <v>802</v>
      </c>
      <c r="F15" s="2686" t="s">
        <v>803</v>
      </c>
      <c r="G15" s="2686" t="s">
        <v>804</v>
      </c>
      <c r="H15" s="2688">
        <v>30.6</v>
      </c>
      <c r="I15" s="2688">
        <v>12.72</v>
      </c>
      <c r="K15" s="2690" t="s">
        <v>805</v>
      </c>
      <c r="L15" s="3484" t="s">
        <v>806</v>
      </c>
    </row>
    <row r="16" spans="1:12" ht="24.95" customHeight="1">
      <c r="A16" s="2686">
        <v>14</v>
      </c>
      <c r="B16" s="2686" t="s">
        <v>800</v>
      </c>
      <c r="C16" s="2687" t="s">
        <v>819</v>
      </c>
      <c r="D16" s="2686" t="str">
        <f t="shared" si="0"/>
        <v>1#地库066</v>
      </c>
      <c r="E16" s="2686" t="s">
        <v>802</v>
      </c>
      <c r="F16" s="2686" t="s">
        <v>803</v>
      </c>
      <c r="G16" s="2686" t="s">
        <v>804</v>
      </c>
      <c r="H16" s="2688">
        <v>30.6</v>
      </c>
      <c r="I16" s="2688">
        <v>12.72</v>
      </c>
      <c r="K16" s="2690" t="s">
        <v>805</v>
      </c>
      <c r="L16" s="3484" t="s">
        <v>806</v>
      </c>
    </row>
    <row r="17" spans="1:12" ht="24.95" customHeight="1">
      <c r="A17" s="2686">
        <v>15</v>
      </c>
      <c r="B17" s="2686" t="s">
        <v>800</v>
      </c>
      <c r="C17" s="2687" t="s">
        <v>820</v>
      </c>
      <c r="D17" s="2686" t="str">
        <f t="shared" si="0"/>
        <v>1#地库067</v>
      </c>
      <c r="E17" s="2686" t="s">
        <v>802</v>
      </c>
      <c r="F17" s="2686" t="s">
        <v>803</v>
      </c>
      <c r="G17" s="2686" t="s">
        <v>804</v>
      </c>
      <c r="H17" s="2688">
        <v>30.6</v>
      </c>
      <c r="I17" s="2688">
        <v>12.72</v>
      </c>
      <c r="K17" s="2690" t="s">
        <v>805</v>
      </c>
      <c r="L17" s="3484" t="s">
        <v>806</v>
      </c>
    </row>
    <row r="18" spans="1:12" ht="24.95" customHeight="1">
      <c r="A18" s="2686">
        <v>16</v>
      </c>
      <c r="B18" s="2686" t="s">
        <v>800</v>
      </c>
      <c r="C18" s="2687" t="s">
        <v>821</v>
      </c>
      <c r="D18" s="2686" t="str">
        <f t="shared" si="0"/>
        <v>1#地库071</v>
      </c>
      <c r="E18" s="2686" t="s">
        <v>802</v>
      </c>
      <c r="F18" s="2686" t="s">
        <v>803</v>
      </c>
      <c r="G18" s="2686" t="s">
        <v>804</v>
      </c>
      <c r="H18" s="2688">
        <v>30.6</v>
      </c>
      <c r="I18" s="2688">
        <v>12.72</v>
      </c>
      <c r="K18" s="2690" t="s">
        <v>805</v>
      </c>
      <c r="L18" s="3484" t="s">
        <v>806</v>
      </c>
    </row>
    <row r="19" spans="1:12" ht="24.95" customHeight="1">
      <c r="A19" s="2686">
        <v>17</v>
      </c>
      <c r="B19" s="2686" t="s">
        <v>800</v>
      </c>
      <c r="C19" s="2687" t="s">
        <v>822</v>
      </c>
      <c r="D19" s="2686" t="str">
        <f t="shared" si="0"/>
        <v>1#地库073</v>
      </c>
      <c r="E19" s="2686" t="s">
        <v>802</v>
      </c>
      <c r="F19" s="2686" t="s">
        <v>803</v>
      </c>
      <c r="G19" s="2686" t="s">
        <v>804</v>
      </c>
      <c r="H19" s="2688">
        <v>30.6</v>
      </c>
      <c r="I19" s="2688">
        <v>12.72</v>
      </c>
      <c r="K19" s="2690" t="s">
        <v>805</v>
      </c>
      <c r="L19" s="3484" t="s">
        <v>806</v>
      </c>
    </row>
    <row r="20" spans="1:12" ht="24.95" customHeight="1">
      <c r="A20" s="2686">
        <v>18</v>
      </c>
      <c r="B20" s="2686" t="s">
        <v>800</v>
      </c>
      <c r="C20" s="2687" t="s">
        <v>823</v>
      </c>
      <c r="D20" s="2686" t="str">
        <f t="shared" si="0"/>
        <v>1#地库074</v>
      </c>
      <c r="E20" s="2686" t="s">
        <v>802</v>
      </c>
      <c r="F20" s="2686" t="s">
        <v>803</v>
      </c>
      <c r="G20" s="2686" t="s">
        <v>804</v>
      </c>
      <c r="H20" s="2688">
        <v>30.6</v>
      </c>
      <c r="I20" s="2688">
        <v>12.72</v>
      </c>
      <c r="K20" s="2690" t="s">
        <v>805</v>
      </c>
      <c r="L20" s="3484" t="s">
        <v>806</v>
      </c>
    </row>
    <row r="21" spans="1:12" ht="24.95" customHeight="1">
      <c r="A21" s="2686">
        <v>19</v>
      </c>
      <c r="B21" s="2686" t="s">
        <v>800</v>
      </c>
      <c r="C21" s="2687" t="s">
        <v>824</v>
      </c>
      <c r="D21" s="2686" t="str">
        <f t="shared" si="0"/>
        <v>1#地库075</v>
      </c>
      <c r="E21" s="2686" t="s">
        <v>802</v>
      </c>
      <c r="F21" s="2686" t="s">
        <v>803</v>
      </c>
      <c r="G21" s="2686" t="s">
        <v>804</v>
      </c>
      <c r="H21" s="2688">
        <v>30.6</v>
      </c>
      <c r="I21" s="2688">
        <v>12.72</v>
      </c>
      <c r="K21" s="2690" t="s">
        <v>805</v>
      </c>
      <c r="L21" s="3484" t="s">
        <v>806</v>
      </c>
    </row>
    <row r="22" spans="1:12" ht="24.95" customHeight="1">
      <c r="A22" s="2686">
        <v>20</v>
      </c>
      <c r="B22" s="2686" t="s">
        <v>800</v>
      </c>
      <c r="C22" s="2687" t="s">
        <v>825</v>
      </c>
      <c r="D22" s="2686" t="str">
        <f t="shared" si="0"/>
        <v>1#地库076</v>
      </c>
      <c r="E22" s="2686" t="s">
        <v>802</v>
      </c>
      <c r="F22" s="2686" t="s">
        <v>803</v>
      </c>
      <c r="G22" s="2686" t="s">
        <v>804</v>
      </c>
      <c r="H22" s="2688">
        <v>30.6</v>
      </c>
      <c r="I22" s="2688">
        <v>12.72</v>
      </c>
      <c r="K22" s="2690" t="s">
        <v>805</v>
      </c>
      <c r="L22" s="3484" t="s">
        <v>806</v>
      </c>
    </row>
    <row r="23" spans="1:12" ht="24.95" customHeight="1">
      <c r="A23" s="2686">
        <v>21</v>
      </c>
      <c r="B23" s="2686" t="s">
        <v>800</v>
      </c>
      <c r="C23" s="2687" t="s">
        <v>826</v>
      </c>
      <c r="D23" s="2686" t="str">
        <f t="shared" si="0"/>
        <v>1#地库106</v>
      </c>
      <c r="E23" s="2686" t="s">
        <v>802</v>
      </c>
      <c r="F23" s="2686" t="s">
        <v>803</v>
      </c>
      <c r="G23" s="2686" t="s">
        <v>804</v>
      </c>
      <c r="H23" s="2688">
        <v>30.6</v>
      </c>
      <c r="I23" s="2688">
        <v>12.72</v>
      </c>
      <c r="K23" s="2690" t="s">
        <v>805</v>
      </c>
      <c r="L23" s="3484" t="s">
        <v>806</v>
      </c>
    </row>
    <row r="24" spans="1:12" ht="24.95" customHeight="1">
      <c r="A24" s="2686">
        <v>22</v>
      </c>
      <c r="B24" s="2686" t="s">
        <v>800</v>
      </c>
      <c r="C24" s="2687" t="s">
        <v>827</v>
      </c>
      <c r="D24" s="2686" t="str">
        <f t="shared" si="0"/>
        <v>1#地库114</v>
      </c>
      <c r="E24" s="2686" t="s">
        <v>802</v>
      </c>
      <c r="F24" s="2686" t="s">
        <v>803</v>
      </c>
      <c r="G24" s="2686" t="s">
        <v>804</v>
      </c>
      <c r="H24" s="2688">
        <v>30.6</v>
      </c>
      <c r="I24" s="2688">
        <v>12.72</v>
      </c>
      <c r="K24" s="2690" t="s">
        <v>805</v>
      </c>
      <c r="L24" s="3484" t="s">
        <v>806</v>
      </c>
    </row>
    <row r="25" spans="1:12" ht="24.95" customHeight="1">
      <c r="A25" s="2686">
        <v>23</v>
      </c>
      <c r="B25" s="2686" t="s">
        <v>800</v>
      </c>
      <c r="C25" s="2687" t="s">
        <v>828</v>
      </c>
      <c r="D25" s="2686" t="str">
        <f t="shared" si="0"/>
        <v>1#地库117</v>
      </c>
      <c r="E25" s="2686" t="s">
        <v>802</v>
      </c>
      <c r="F25" s="2686" t="s">
        <v>803</v>
      </c>
      <c r="G25" s="2686" t="s">
        <v>804</v>
      </c>
      <c r="H25" s="2688">
        <v>30.6</v>
      </c>
      <c r="I25" s="2688">
        <v>12.72</v>
      </c>
      <c r="K25" s="2690" t="s">
        <v>805</v>
      </c>
      <c r="L25" s="3484" t="s">
        <v>806</v>
      </c>
    </row>
    <row r="26" spans="1:12" ht="24.95" customHeight="1">
      <c r="A26" s="2686">
        <v>24</v>
      </c>
      <c r="B26" s="2686" t="s">
        <v>800</v>
      </c>
      <c r="C26" s="2689" t="s">
        <v>829</v>
      </c>
      <c r="D26" s="2686" t="str">
        <f t="shared" si="0"/>
        <v>1#地库118</v>
      </c>
      <c r="E26" s="2686" t="s">
        <v>802</v>
      </c>
      <c r="F26" s="2686" t="s">
        <v>803</v>
      </c>
      <c r="G26" s="2686" t="s">
        <v>804</v>
      </c>
      <c r="H26" s="2688">
        <v>30.6</v>
      </c>
      <c r="I26" s="2688">
        <v>12.72</v>
      </c>
      <c r="K26" s="2690" t="s">
        <v>805</v>
      </c>
      <c r="L26" s="3484" t="s">
        <v>806</v>
      </c>
    </row>
    <row r="27" spans="1:12" ht="24.95" customHeight="1">
      <c r="A27" s="2686">
        <v>25</v>
      </c>
      <c r="B27" s="2686" t="s">
        <v>800</v>
      </c>
      <c r="C27" s="2687" t="s">
        <v>830</v>
      </c>
      <c r="D27" s="2686" t="str">
        <f t="shared" si="0"/>
        <v>1#地库119</v>
      </c>
      <c r="E27" s="2686" t="s">
        <v>802</v>
      </c>
      <c r="F27" s="2686" t="s">
        <v>803</v>
      </c>
      <c r="G27" s="2686" t="s">
        <v>804</v>
      </c>
      <c r="H27" s="2688">
        <v>30.6</v>
      </c>
      <c r="I27" s="2688">
        <v>12.72</v>
      </c>
      <c r="K27" s="2690" t="s">
        <v>805</v>
      </c>
      <c r="L27" s="3484" t="s">
        <v>806</v>
      </c>
    </row>
    <row r="28" spans="1:12" ht="24.95" customHeight="1">
      <c r="A28" s="2686">
        <v>26</v>
      </c>
      <c r="B28" s="2686" t="s">
        <v>800</v>
      </c>
      <c r="C28" s="2687" t="s">
        <v>831</v>
      </c>
      <c r="D28" s="2686" t="str">
        <f t="shared" si="0"/>
        <v>1#地库120</v>
      </c>
      <c r="E28" s="2686" t="s">
        <v>802</v>
      </c>
      <c r="F28" s="2686" t="s">
        <v>803</v>
      </c>
      <c r="G28" s="2686" t="s">
        <v>804</v>
      </c>
      <c r="H28" s="2688">
        <v>30.6</v>
      </c>
      <c r="I28" s="2688">
        <v>12.72</v>
      </c>
      <c r="K28" s="2690" t="s">
        <v>805</v>
      </c>
      <c r="L28" s="3484" t="s">
        <v>806</v>
      </c>
    </row>
    <row r="29" spans="1:12" ht="24.95" customHeight="1">
      <c r="A29" s="2686">
        <v>27</v>
      </c>
      <c r="B29" s="2686" t="s">
        <v>800</v>
      </c>
      <c r="C29" s="2687" t="s">
        <v>832</v>
      </c>
      <c r="D29" s="2686" t="str">
        <f t="shared" si="0"/>
        <v>1#地库123</v>
      </c>
      <c r="E29" s="2686" t="s">
        <v>802</v>
      </c>
      <c r="F29" s="2686" t="s">
        <v>803</v>
      </c>
      <c r="G29" s="2686" t="s">
        <v>804</v>
      </c>
      <c r="H29" s="2688">
        <v>30.6</v>
      </c>
      <c r="I29" s="2688">
        <v>12.72</v>
      </c>
      <c r="K29" s="2690" t="s">
        <v>805</v>
      </c>
      <c r="L29" s="3484" t="s">
        <v>806</v>
      </c>
    </row>
    <row r="30" spans="1:12" ht="24.95" customHeight="1">
      <c r="A30" s="2686">
        <v>28</v>
      </c>
      <c r="B30" s="2686" t="s">
        <v>800</v>
      </c>
      <c r="C30" s="2687" t="s">
        <v>833</v>
      </c>
      <c r="D30" s="2686" t="str">
        <f t="shared" si="0"/>
        <v>1#地库124</v>
      </c>
      <c r="E30" s="2686" t="s">
        <v>802</v>
      </c>
      <c r="F30" s="2686" t="s">
        <v>803</v>
      </c>
      <c r="G30" s="2686" t="s">
        <v>804</v>
      </c>
      <c r="H30" s="2688">
        <v>30.6</v>
      </c>
      <c r="I30" s="2688">
        <v>12.72</v>
      </c>
      <c r="K30" s="2690" t="s">
        <v>805</v>
      </c>
      <c r="L30" s="3484" t="s">
        <v>806</v>
      </c>
    </row>
    <row r="31" spans="1:12" ht="24.95" customHeight="1">
      <c r="A31" s="2686">
        <v>29</v>
      </c>
      <c r="B31" s="2686" t="s">
        <v>800</v>
      </c>
      <c r="C31" s="2687" t="s">
        <v>834</v>
      </c>
      <c r="D31" s="2686" t="str">
        <f t="shared" si="0"/>
        <v>1#地库126</v>
      </c>
      <c r="E31" s="2686" t="s">
        <v>802</v>
      </c>
      <c r="F31" s="2686" t="s">
        <v>803</v>
      </c>
      <c r="G31" s="2686" t="s">
        <v>804</v>
      </c>
      <c r="H31" s="2688">
        <v>30.6</v>
      </c>
      <c r="I31" s="2688">
        <v>12.72</v>
      </c>
      <c r="K31" s="2690" t="s">
        <v>805</v>
      </c>
      <c r="L31" s="3484" t="s">
        <v>806</v>
      </c>
    </row>
    <row r="32" spans="1:12" ht="24.95" customHeight="1">
      <c r="A32" s="2686">
        <v>30</v>
      </c>
      <c r="B32" s="2686" t="s">
        <v>800</v>
      </c>
      <c r="C32" s="2687" t="s">
        <v>835</v>
      </c>
      <c r="D32" s="2686" t="str">
        <f t="shared" si="0"/>
        <v>1#地库127</v>
      </c>
      <c r="E32" s="2686" t="s">
        <v>802</v>
      </c>
      <c r="F32" s="2686" t="s">
        <v>803</v>
      </c>
      <c r="G32" s="2686" t="s">
        <v>804</v>
      </c>
      <c r="H32" s="2688">
        <v>30.6</v>
      </c>
      <c r="I32" s="2688">
        <v>12.72</v>
      </c>
      <c r="K32" s="2690" t="s">
        <v>805</v>
      </c>
      <c r="L32" s="3484" t="s">
        <v>806</v>
      </c>
    </row>
    <row r="33" spans="1:12" ht="24.95" customHeight="1">
      <c r="A33" s="2686">
        <v>31</v>
      </c>
      <c r="B33" s="2686" t="s">
        <v>800</v>
      </c>
      <c r="C33" s="2687" t="s">
        <v>836</v>
      </c>
      <c r="D33" s="2686" t="str">
        <f t="shared" si="0"/>
        <v>1#地库129</v>
      </c>
      <c r="E33" s="2686" t="s">
        <v>802</v>
      </c>
      <c r="F33" s="2686" t="s">
        <v>803</v>
      </c>
      <c r="G33" s="2686" t="s">
        <v>804</v>
      </c>
      <c r="H33" s="2688">
        <v>30.6</v>
      </c>
      <c r="I33" s="2688">
        <v>12.72</v>
      </c>
      <c r="K33" s="2690" t="s">
        <v>805</v>
      </c>
      <c r="L33" s="3484" t="s">
        <v>806</v>
      </c>
    </row>
    <row r="34" spans="1:12" ht="24.95" customHeight="1">
      <c r="A34" s="2686">
        <v>32</v>
      </c>
      <c r="B34" s="2686" t="s">
        <v>800</v>
      </c>
      <c r="C34" s="2687" t="s">
        <v>837</v>
      </c>
      <c r="D34" s="2686" t="str">
        <f t="shared" si="0"/>
        <v>1#地库130</v>
      </c>
      <c r="E34" s="2686" t="s">
        <v>802</v>
      </c>
      <c r="F34" s="2686" t="s">
        <v>803</v>
      </c>
      <c r="G34" s="2686" t="s">
        <v>804</v>
      </c>
      <c r="H34" s="2688">
        <v>30.6</v>
      </c>
      <c r="I34" s="2688">
        <v>12.72</v>
      </c>
      <c r="K34" s="2690" t="s">
        <v>805</v>
      </c>
      <c r="L34" s="3484" t="s">
        <v>806</v>
      </c>
    </row>
    <row r="35" spans="1:12" ht="24.95" customHeight="1">
      <c r="A35" s="2686">
        <v>33</v>
      </c>
      <c r="B35" s="2686" t="s">
        <v>800</v>
      </c>
      <c r="C35" s="2687" t="s">
        <v>838</v>
      </c>
      <c r="D35" s="2686" t="str">
        <f t="shared" si="0"/>
        <v>1#地库132</v>
      </c>
      <c r="E35" s="2686" t="s">
        <v>802</v>
      </c>
      <c r="F35" s="2686" t="s">
        <v>803</v>
      </c>
      <c r="G35" s="2686" t="s">
        <v>804</v>
      </c>
      <c r="H35" s="2688">
        <v>30.6</v>
      </c>
      <c r="I35" s="2688">
        <v>12.72</v>
      </c>
      <c r="K35" s="2690" t="s">
        <v>805</v>
      </c>
      <c r="L35" s="3484" t="s">
        <v>806</v>
      </c>
    </row>
    <row r="36" spans="1:12" ht="24.95" customHeight="1">
      <c r="A36" s="2686">
        <v>34</v>
      </c>
      <c r="B36" s="2686" t="s">
        <v>800</v>
      </c>
      <c r="C36" s="2687" t="s">
        <v>839</v>
      </c>
      <c r="D36" s="2686" t="str">
        <f t="shared" si="0"/>
        <v>1#地库134</v>
      </c>
      <c r="E36" s="2686" t="s">
        <v>802</v>
      </c>
      <c r="F36" s="2686" t="s">
        <v>803</v>
      </c>
      <c r="G36" s="2686" t="s">
        <v>804</v>
      </c>
      <c r="H36" s="2688">
        <v>30.6</v>
      </c>
      <c r="I36" s="2688">
        <v>12.72</v>
      </c>
      <c r="K36" s="2690" t="s">
        <v>805</v>
      </c>
      <c r="L36" s="3484" t="s">
        <v>806</v>
      </c>
    </row>
    <row r="37" spans="1:12" ht="24.95" customHeight="1">
      <c r="A37" s="2686">
        <v>35</v>
      </c>
      <c r="B37" s="2686" t="s">
        <v>800</v>
      </c>
      <c r="C37" s="2687" t="s">
        <v>840</v>
      </c>
      <c r="D37" s="2686" t="str">
        <f t="shared" si="0"/>
        <v>1#地库135</v>
      </c>
      <c r="E37" s="2686" t="s">
        <v>802</v>
      </c>
      <c r="F37" s="2686" t="s">
        <v>803</v>
      </c>
      <c r="G37" s="2686" t="s">
        <v>804</v>
      </c>
      <c r="H37" s="2688">
        <v>30.6</v>
      </c>
      <c r="I37" s="2688">
        <v>12.72</v>
      </c>
      <c r="K37" s="2690" t="s">
        <v>805</v>
      </c>
      <c r="L37" s="3484" t="s">
        <v>806</v>
      </c>
    </row>
    <row r="38" spans="1:12" ht="24.95" customHeight="1">
      <c r="A38" s="2686">
        <v>36</v>
      </c>
      <c r="B38" s="2686" t="s">
        <v>800</v>
      </c>
      <c r="C38" s="2689" t="s">
        <v>841</v>
      </c>
      <c r="D38" s="2686" t="str">
        <f t="shared" si="0"/>
        <v>1#地库140</v>
      </c>
      <c r="E38" s="2686" t="s">
        <v>802</v>
      </c>
      <c r="F38" s="2686" t="s">
        <v>803</v>
      </c>
      <c r="G38" s="2686" t="s">
        <v>804</v>
      </c>
      <c r="H38" s="2688">
        <v>30.6</v>
      </c>
      <c r="I38" s="2688">
        <v>12.72</v>
      </c>
      <c r="K38" s="2690" t="s">
        <v>805</v>
      </c>
      <c r="L38" s="3484" t="s">
        <v>806</v>
      </c>
    </row>
    <row r="39" spans="1:12" ht="24.95" customHeight="1">
      <c r="A39" s="2686">
        <v>37</v>
      </c>
      <c r="B39" s="2686" t="s">
        <v>800</v>
      </c>
      <c r="C39" s="2687" t="s">
        <v>842</v>
      </c>
      <c r="D39" s="2686" t="str">
        <f t="shared" si="0"/>
        <v>1#地库141</v>
      </c>
      <c r="E39" s="2686" t="s">
        <v>802</v>
      </c>
      <c r="F39" s="2686" t="s">
        <v>803</v>
      </c>
      <c r="G39" s="2686" t="s">
        <v>804</v>
      </c>
      <c r="H39" s="2688">
        <v>30.6</v>
      </c>
      <c r="I39" s="2688">
        <v>12.72</v>
      </c>
      <c r="K39" s="2690" t="s">
        <v>805</v>
      </c>
      <c r="L39" s="3484" t="s">
        <v>806</v>
      </c>
    </row>
    <row r="40" spans="1:12" ht="24.95" customHeight="1">
      <c r="A40" s="2686">
        <v>38</v>
      </c>
      <c r="B40" s="2686" t="s">
        <v>800</v>
      </c>
      <c r="C40" s="2687" t="s">
        <v>843</v>
      </c>
      <c r="D40" s="2686" t="str">
        <f t="shared" si="0"/>
        <v>1#地库142</v>
      </c>
      <c r="E40" s="2686" t="s">
        <v>802</v>
      </c>
      <c r="F40" s="2686" t="s">
        <v>803</v>
      </c>
      <c r="G40" s="2686" t="s">
        <v>804</v>
      </c>
      <c r="H40" s="2688">
        <v>30.6</v>
      </c>
      <c r="I40" s="2688">
        <v>12.72</v>
      </c>
      <c r="K40" s="2690" t="s">
        <v>805</v>
      </c>
      <c r="L40" s="3484" t="s">
        <v>806</v>
      </c>
    </row>
    <row r="41" spans="1:12" ht="24.95" customHeight="1">
      <c r="A41" s="2686">
        <v>39</v>
      </c>
      <c r="B41" s="2686" t="s">
        <v>800</v>
      </c>
      <c r="C41" s="2687" t="s">
        <v>844</v>
      </c>
      <c r="D41" s="2686" t="str">
        <f t="shared" si="0"/>
        <v>1#地库144</v>
      </c>
      <c r="E41" s="2686" t="s">
        <v>802</v>
      </c>
      <c r="F41" s="2686" t="s">
        <v>803</v>
      </c>
      <c r="G41" s="2686" t="s">
        <v>804</v>
      </c>
      <c r="H41" s="2688">
        <v>30.6</v>
      </c>
      <c r="I41" s="2688">
        <v>12.72</v>
      </c>
      <c r="K41" s="2690" t="s">
        <v>805</v>
      </c>
      <c r="L41" s="3484" t="s">
        <v>806</v>
      </c>
    </row>
    <row r="42" spans="1:12" ht="24.95" customHeight="1">
      <c r="A42" s="2686">
        <v>40</v>
      </c>
      <c r="B42" s="2686" t="s">
        <v>800</v>
      </c>
      <c r="C42" s="2687" t="s">
        <v>845</v>
      </c>
      <c r="D42" s="2686" t="str">
        <f t="shared" si="0"/>
        <v>1#地库145</v>
      </c>
      <c r="E42" s="2686" t="s">
        <v>802</v>
      </c>
      <c r="F42" s="2686" t="s">
        <v>803</v>
      </c>
      <c r="G42" s="2686" t="s">
        <v>804</v>
      </c>
      <c r="H42" s="2688">
        <v>30.6</v>
      </c>
      <c r="I42" s="2688">
        <v>12.72</v>
      </c>
      <c r="K42" s="2690" t="s">
        <v>805</v>
      </c>
      <c r="L42" s="3484" t="s">
        <v>806</v>
      </c>
    </row>
    <row r="43" spans="1:12" ht="24.95" customHeight="1">
      <c r="A43" s="2686">
        <v>41</v>
      </c>
      <c r="B43" s="2686" t="s">
        <v>800</v>
      </c>
      <c r="C43" s="2687" t="s">
        <v>846</v>
      </c>
      <c r="D43" s="2686" t="str">
        <f t="shared" si="0"/>
        <v>1#地库146</v>
      </c>
      <c r="E43" s="2686" t="s">
        <v>802</v>
      </c>
      <c r="F43" s="2686" t="s">
        <v>803</v>
      </c>
      <c r="G43" s="2686" t="s">
        <v>804</v>
      </c>
      <c r="H43" s="2688">
        <v>30.6</v>
      </c>
      <c r="I43" s="2688">
        <v>12.72</v>
      </c>
      <c r="K43" s="2690" t="s">
        <v>805</v>
      </c>
      <c r="L43" s="3484" t="s">
        <v>806</v>
      </c>
    </row>
    <row r="44" spans="1:12" ht="24.95" customHeight="1">
      <c r="A44" s="2686">
        <v>42</v>
      </c>
      <c r="B44" s="2686" t="s">
        <v>800</v>
      </c>
      <c r="C44" s="2689" t="s">
        <v>847</v>
      </c>
      <c r="D44" s="2686" t="str">
        <f t="shared" si="0"/>
        <v>1#地库147</v>
      </c>
      <c r="E44" s="2686" t="s">
        <v>802</v>
      </c>
      <c r="F44" s="2686" t="s">
        <v>803</v>
      </c>
      <c r="G44" s="2686" t="s">
        <v>804</v>
      </c>
      <c r="H44" s="2688">
        <v>30.6</v>
      </c>
      <c r="I44" s="2688">
        <v>12.72</v>
      </c>
      <c r="K44" s="2690" t="s">
        <v>805</v>
      </c>
      <c r="L44" s="3484" t="s">
        <v>806</v>
      </c>
    </row>
    <row r="45" spans="1:12" ht="24.95" customHeight="1">
      <c r="A45" s="2686">
        <v>43</v>
      </c>
      <c r="B45" s="2686" t="s">
        <v>800</v>
      </c>
      <c r="C45" s="2687" t="s">
        <v>848</v>
      </c>
      <c r="D45" s="2686" t="str">
        <f t="shared" si="0"/>
        <v>1#地库148</v>
      </c>
      <c r="E45" s="2686" t="s">
        <v>802</v>
      </c>
      <c r="F45" s="2686" t="s">
        <v>803</v>
      </c>
      <c r="G45" s="2686" t="s">
        <v>804</v>
      </c>
      <c r="H45" s="2688">
        <v>30.6</v>
      </c>
      <c r="I45" s="2688">
        <v>12.72</v>
      </c>
      <c r="K45" s="2690" t="s">
        <v>805</v>
      </c>
      <c r="L45" s="3484" t="s">
        <v>806</v>
      </c>
    </row>
    <row r="46" spans="1:12" ht="24.95" customHeight="1">
      <c r="A46" s="2686">
        <v>44</v>
      </c>
      <c r="B46" s="2686" t="s">
        <v>800</v>
      </c>
      <c r="C46" s="2687" t="s">
        <v>849</v>
      </c>
      <c r="D46" s="2686" t="str">
        <f t="shared" si="0"/>
        <v>1#地库149</v>
      </c>
      <c r="E46" s="2686" t="s">
        <v>802</v>
      </c>
      <c r="F46" s="2686" t="s">
        <v>803</v>
      </c>
      <c r="G46" s="2686" t="s">
        <v>804</v>
      </c>
      <c r="H46" s="2688">
        <v>30.6</v>
      </c>
      <c r="I46" s="2688">
        <v>12.72</v>
      </c>
      <c r="K46" s="2690" t="s">
        <v>805</v>
      </c>
      <c r="L46" s="3484" t="s">
        <v>806</v>
      </c>
    </row>
    <row r="47" spans="1:12" ht="24.95" customHeight="1">
      <c r="A47" s="2686">
        <v>45</v>
      </c>
      <c r="B47" s="2686" t="s">
        <v>800</v>
      </c>
      <c r="C47" s="2687" t="s">
        <v>850</v>
      </c>
      <c r="D47" s="2686" t="str">
        <f t="shared" si="0"/>
        <v>1#地库150</v>
      </c>
      <c r="E47" s="2686" t="s">
        <v>802</v>
      </c>
      <c r="F47" s="2686" t="s">
        <v>803</v>
      </c>
      <c r="G47" s="2686" t="s">
        <v>804</v>
      </c>
      <c r="H47" s="2688">
        <v>30.6</v>
      </c>
      <c r="I47" s="2688">
        <v>12.72</v>
      </c>
      <c r="K47" s="2690" t="s">
        <v>805</v>
      </c>
      <c r="L47" s="3484" t="s">
        <v>806</v>
      </c>
    </row>
    <row r="48" spans="1:12" ht="24.95" customHeight="1">
      <c r="A48" s="2686">
        <v>46</v>
      </c>
      <c r="B48" s="2686" t="s">
        <v>800</v>
      </c>
      <c r="C48" s="2687" t="s">
        <v>851</v>
      </c>
      <c r="D48" s="2686" t="str">
        <f t="shared" si="0"/>
        <v>1#地库151</v>
      </c>
      <c r="E48" s="2686" t="s">
        <v>802</v>
      </c>
      <c r="F48" s="2686" t="s">
        <v>803</v>
      </c>
      <c r="G48" s="2686" t="s">
        <v>804</v>
      </c>
      <c r="H48" s="2688">
        <v>30.6</v>
      </c>
      <c r="I48" s="2688">
        <v>12.72</v>
      </c>
      <c r="K48" s="2690" t="s">
        <v>805</v>
      </c>
      <c r="L48" s="3484" t="s">
        <v>806</v>
      </c>
    </row>
    <row r="49" spans="1:12" ht="24.95" customHeight="1">
      <c r="A49" s="2686">
        <v>47</v>
      </c>
      <c r="B49" s="2686" t="s">
        <v>800</v>
      </c>
      <c r="C49" s="2689" t="s">
        <v>852</v>
      </c>
      <c r="D49" s="2686" t="str">
        <f t="shared" si="0"/>
        <v>1#地库152</v>
      </c>
      <c r="E49" s="2686" t="s">
        <v>802</v>
      </c>
      <c r="F49" s="2686" t="s">
        <v>803</v>
      </c>
      <c r="G49" s="2686" t="s">
        <v>804</v>
      </c>
      <c r="H49" s="2688">
        <v>30.6</v>
      </c>
      <c r="I49" s="2688">
        <v>12.72</v>
      </c>
      <c r="K49" s="2690" t="s">
        <v>805</v>
      </c>
      <c r="L49" s="3484" t="s">
        <v>806</v>
      </c>
    </row>
    <row r="50" spans="1:12" ht="24.95" customHeight="1">
      <c r="A50" s="2686">
        <v>48</v>
      </c>
      <c r="B50" s="2686" t="s">
        <v>800</v>
      </c>
      <c r="C50" s="2687" t="s">
        <v>853</v>
      </c>
      <c r="D50" s="2686" t="str">
        <f t="shared" si="0"/>
        <v>1#地库153</v>
      </c>
      <c r="E50" s="2686" t="s">
        <v>802</v>
      </c>
      <c r="F50" s="2686" t="s">
        <v>803</v>
      </c>
      <c r="G50" s="2686" t="s">
        <v>804</v>
      </c>
      <c r="H50" s="2688">
        <v>30.6</v>
      </c>
      <c r="I50" s="2688">
        <v>12.72</v>
      </c>
      <c r="K50" s="2690" t="s">
        <v>805</v>
      </c>
      <c r="L50" s="3484" t="s">
        <v>806</v>
      </c>
    </row>
    <row r="51" spans="1:12" ht="24.95" customHeight="1">
      <c r="A51" s="2686">
        <v>49</v>
      </c>
      <c r="B51" s="2686" t="s">
        <v>800</v>
      </c>
      <c r="C51" s="2689" t="s">
        <v>854</v>
      </c>
      <c r="D51" s="2686" t="str">
        <f t="shared" si="0"/>
        <v>1#地库154</v>
      </c>
      <c r="E51" s="2686" t="s">
        <v>802</v>
      </c>
      <c r="F51" s="2686" t="s">
        <v>803</v>
      </c>
      <c r="G51" s="2686" t="s">
        <v>804</v>
      </c>
      <c r="H51" s="2688">
        <v>30.6</v>
      </c>
      <c r="I51" s="2688">
        <v>12.72</v>
      </c>
      <c r="K51" s="2690" t="s">
        <v>805</v>
      </c>
      <c r="L51" s="3484" t="s">
        <v>806</v>
      </c>
    </row>
    <row r="52" spans="1:12" ht="24.95" customHeight="1">
      <c r="A52" s="2686">
        <v>50</v>
      </c>
      <c r="B52" s="2686" t="s">
        <v>800</v>
      </c>
      <c r="C52" s="2687" t="s">
        <v>855</v>
      </c>
      <c r="D52" s="2686" t="str">
        <f t="shared" si="0"/>
        <v>1#地库158</v>
      </c>
      <c r="E52" s="2686" t="s">
        <v>802</v>
      </c>
      <c r="F52" s="2686" t="s">
        <v>803</v>
      </c>
      <c r="G52" s="2686" t="s">
        <v>804</v>
      </c>
      <c r="H52" s="2688">
        <v>31.25</v>
      </c>
      <c r="I52" s="2688">
        <v>12.99</v>
      </c>
      <c r="K52" s="2690" t="s">
        <v>805</v>
      </c>
      <c r="L52" s="3484" t="s">
        <v>806</v>
      </c>
    </row>
    <row r="53" spans="1:12" ht="24.95" customHeight="1">
      <c r="A53" s="2686">
        <v>51</v>
      </c>
      <c r="B53" s="2686" t="s">
        <v>800</v>
      </c>
      <c r="C53" s="2687" t="s">
        <v>856</v>
      </c>
      <c r="D53" s="2686" t="str">
        <f t="shared" si="0"/>
        <v>1#地库164</v>
      </c>
      <c r="E53" s="2686" t="s">
        <v>802</v>
      </c>
      <c r="F53" s="2686" t="s">
        <v>803</v>
      </c>
      <c r="G53" s="2686" t="s">
        <v>804</v>
      </c>
      <c r="H53" s="2688">
        <v>30.6</v>
      </c>
      <c r="I53" s="2688">
        <v>12.72</v>
      </c>
      <c r="K53" s="2690" t="s">
        <v>805</v>
      </c>
      <c r="L53" s="3484" t="s">
        <v>806</v>
      </c>
    </row>
    <row r="54" spans="1:12" ht="24.95" customHeight="1">
      <c r="A54" s="2686">
        <v>52</v>
      </c>
      <c r="B54" s="2686" t="s">
        <v>800</v>
      </c>
      <c r="C54" s="2687" t="s">
        <v>857</v>
      </c>
      <c r="D54" s="2686" t="str">
        <f t="shared" si="0"/>
        <v>1#地库180</v>
      </c>
      <c r="E54" s="2686" t="s">
        <v>802</v>
      </c>
      <c r="F54" s="2686" t="s">
        <v>803</v>
      </c>
      <c r="G54" s="2686" t="s">
        <v>804</v>
      </c>
      <c r="H54" s="2688">
        <v>30.6</v>
      </c>
      <c r="I54" s="2688">
        <v>12.72</v>
      </c>
      <c r="K54" s="2690" t="s">
        <v>805</v>
      </c>
      <c r="L54" s="3484" t="s">
        <v>806</v>
      </c>
    </row>
    <row r="55" spans="1:12" ht="24.95" customHeight="1">
      <c r="A55" s="2686">
        <v>53</v>
      </c>
      <c r="B55" s="2686" t="s">
        <v>800</v>
      </c>
      <c r="C55" s="2689" t="s">
        <v>858</v>
      </c>
      <c r="D55" s="2686" t="str">
        <f t="shared" si="0"/>
        <v>1#地库183</v>
      </c>
      <c r="E55" s="2686" t="s">
        <v>802</v>
      </c>
      <c r="F55" s="2686" t="s">
        <v>803</v>
      </c>
      <c r="G55" s="2686" t="s">
        <v>804</v>
      </c>
      <c r="H55" s="2688">
        <v>30.6</v>
      </c>
      <c r="I55" s="2688">
        <v>12.72</v>
      </c>
      <c r="K55" s="2690" t="s">
        <v>805</v>
      </c>
      <c r="L55" s="3484" t="s">
        <v>806</v>
      </c>
    </row>
    <row r="56" spans="1:12" ht="24.95" customHeight="1">
      <c r="A56" s="2686">
        <v>54</v>
      </c>
      <c r="B56" s="2686" t="s">
        <v>800</v>
      </c>
      <c r="C56" s="2689" t="s">
        <v>859</v>
      </c>
      <c r="D56" s="2686" t="str">
        <f t="shared" si="0"/>
        <v>1#地库189</v>
      </c>
      <c r="E56" s="2686" t="s">
        <v>802</v>
      </c>
      <c r="F56" s="2686" t="s">
        <v>803</v>
      </c>
      <c r="G56" s="2686" t="s">
        <v>804</v>
      </c>
      <c r="H56" s="2688">
        <v>30.6</v>
      </c>
      <c r="I56" s="2688">
        <v>12.72</v>
      </c>
      <c r="K56" s="2690" t="s">
        <v>805</v>
      </c>
      <c r="L56" s="3484" t="s">
        <v>806</v>
      </c>
    </row>
    <row r="57" spans="1:12" ht="24.95" customHeight="1">
      <c r="A57" s="2686">
        <v>55</v>
      </c>
      <c r="B57" s="2686" t="s">
        <v>800</v>
      </c>
      <c r="C57" s="2687" t="s">
        <v>860</v>
      </c>
      <c r="D57" s="2686" t="str">
        <f t="shared" si="0"/>
        <v>1#地库192</v>
      </c>
      <c r="E57" s="2686" t="s">
        <v>802</v>
      </c>
      <c r="F57" s="2686" t="s">
        <v>803</v>
      </c>
      <c r="G57" s="2686" t="s">
        <v>804</v>
      </c>
      <c r="H57" s="2688">
        <v>30.6</v>
      </c>
      <c r="I57" s="2688">
        <v>12.72</v>
      </c>
      <c r="K57" s="2690" t="s">
        <v>805</v>
      </c>
      <c r="L57" s="3484" t="s">
        <v>806</v>
      </c>
    </row>
    <row r="58" spans="1:12" ht="24.95" customHeight="1">
      <c r="A58" s="2686">
        <v>56</v>
      </c>
      <c r="B58" s="2686" t="s">
        <v>800</v>
      </c>
      <c r="C58" s="2687" t="s">
        <v>861</v>
      </c>
      <c r="D58" s="2686" t="str">
        <f t="shared" si="0"/>
        <v>1#地库194</v>
      </c>
      <c r="E58" s="2686" t="s">
        <v>802</v>
      </c>
      <c r="F58" s="2686" t="s">
        <v>803</v>
      </c>
      <c r="G58" s="2686" t="s">
        <v>804</v>
      </c>
      <c r="H58" s="2688">
        <v>30.6</v>
      </c>
      <c r="I58" s="2688">
        <v>12.72</v>
      </c>
      <c r="K58" s="2690" t="s">
        <v>805</v>
      </c>
      <c r="L58" s="3484" t="s">
        <v>806</v>
      </c>
    </row>
    <row r="59" spans="1:12" ht="24.95" customHeight="1">
      <c r="A59" s="2686">
        <v>57</v>
      </c>
      <c r="B59" s="2686" t="s">
        <v>800</v>
      </c>
      <c r="C59" s="2689" t="s">
        <v>862</v>
      </c>
      <c r="D59" s="2686" t="str">
        <f t="shared" si="0"/>
        <v>1#地库195</v>
      </c>
      <c r="E59" s="2686" t="s">
        <v>802</v>
      </c>
      <c r="F59" s="2686" t="s">
        <v>803</v>
      </c>
      <c r="G59" s="2686" t="s">
        <v>804</v>
      </c>
      <c r="H59" s="2688">
        <v>30.6</v>
      </c>
      <c r="I59" s="2688">
        <v>12.72</v>
      </c>
      <c r="K59" s="2690" t="s">
        <v>805</v>
      </c>
      <c r="L59" s="3484" t="s">
        <v>806</v>
      </c>
    </row>
    <row r="60" spans="1:12" ht="24.95" customHeight="1">
      <c r="A60" s="2686">
        <v>58</v>
      </c>
      <c r="B60" s="2686" t="s">
        <v>800</v>
      </c>
      <c r="C60" s="2687" t="s">
        <v>863</v>
      </c>
      <c r="D60" s="2686" t="str">
        <f t="shared" si="0"/>
        <v>1#地库198</v>
      </c>
      <c r="E60" s="2686" t="s">
        <v>802</v>
      </c>
      <c r="F60" s="2686" t="s">
        <v>803</v>
      </c>
      <c r="G60" s="2686" t="s">
        <v>804</v>
      </c>
      <c r="H60" s="2688">
        <v>30.6</v>
      </c>
      <c r="I60" s="2688">
        <v>12.72</v>
      </c>
      <c r="K60" s="2690" t="s">
        <v>805</v>
      </c>
      <c r="L60" s="3484" t="s">
        <v>806</v>
      </c>
    </row>
    <row r="61" spans="1:12" ht="24.95" customHeight="1">
      <c r="A61" s="2686">
        <v>59</v>
      </c>
      <c r="B61" s="2686" t="s">
        <v>800</v>
      </c>
      <c r="C61" s="2689" t="s">
        <v>864</v>
      </c>
      <c r="D61" s="2686" t="str">
        <f t="shared" si="0"/>
        <v>1#地库201</v>
      </c>
      <c r="E61" s="2686" t="s">
        <v>802</v>
      </c>
      <c r="F61" s="2686" t="s">
        <v>803</v>
      </c>
      <c r="G61" s="2686" t="s">
        <v>804</v>
      </c>
      <c r="H61" s="2688">
        <v>30.6</v>
      </c>
      <c r="I61" s="2688">
        <v>12.72</v>
      </c>
      <c r="K61" s="2690" t="s">
        <v>805</v>
      </c>
      <c r="L61" s="3484" t="s">
        <v>806</v>
      </c>
    </row>
    <row r="62" spans="1:12" ht="24.95" customHeight="1">
      <c r="A62" s="2686">
        <v>60</v>
      </c>
      <c r="B62" s="2686" t="s">
        <v>800</v>
      </c>
      <c r="C62" s="2687" t="s">
        <v>865</v>
      </c>
      <c r="D62" s="2686" t="str">
        <f t="shared" si="0"/>
        <v>1#地库202</v>
      </c>
      <c r="E62" s="2686" t="s">
        <v>802</v>
      </c>
      <c r="F62" s="2686" t="s">
        <v>803</v>
      </c>
      <c r="G62" s="2686" t="s">
        <v>804</v>
      </c>
      <c r="H62" s="2688">
        <v>30.6</v>
      </c>
      <c r="I62" s="2688">
        <v>12.72</v>
      </c>
      <c r="K62" s="2690" t="s">
        <v>805</v>
      </c>
      <c r="L62" s="3484" t="s">
        <v>806</v>
      </c>
    </row>
    <row r="63" spans="1:12" ht="24.95" customHeight="1">
      <c r="A63" s="2686">
        <v>61</v>
      </c>
      <c r="B63" s="2686" t="s">
        <v>800</v>
      </c>
      <c r="C63" s="2689" t="s">
        <v>866</v>
      </c>
      <c r="D63" s="2686" t="str">
        <f t="shared" si="0"/>
        <v>1#地库203</v>
      </c>
      <c r="E63" s="2686" t="s">
        <v>802</v>
      </c>
      <c r="F63" s="2686" t="s">
        <v>803</v>
      </c>
      <c r="G63" s="2686" t="s">
        <v>804</v>
      </c>
      <c r="H63" s="2688">
        <v>30.6</v>
      </c>
      <c r="I63" s="2688">
        <v>12.72</v>
      </c>
      <c r="K63" s="2690" t="s">
        <v>805</v>
      </c>
      <c r="L63" s="3484" t="s">
        <v>806</v>
      </c>
    </row>
    <row r="64" spans="1:12" ht="24.95" customHeight="1">
      <c r="A64" s="2686">
        <v>62</v>
      </c>
      <c r="B64" s="2686" t="s">
        <v>800</v>
      </c>
      <c r="C64" s="2689" t="s">
        <v>867</v>
      </c>
      <c r="D64" s="2686" t="str">
        <f t="shared" si="0"/>
        <v>1#地库204</v>
      </c>
      <c r="E64" s="2686" t="s">
        <v>802</v>
      </c>
      <c r="F64" s="2686" t="s">
        <v>803</v>
      </c>
      <c r="G64" s="2686" t="s">
        <v>804</v>
      </c>
      <c r="H64" s="2688">
        <v>30.6</v>
      </c>
      <c r="I64" s="2688">
        <v>12.72</v>
      </c>
      <c r="K64" s="2690" t="s">
        <v>805</v>
      </c>
      <c r="L64" s="3484" t="s">
        <v>806</v>
      </c>
    </row>
    <row r="65" spans="1:12" ht="24.95" customHeight="1">
      <c r="A65" s="2686">
        <v>63</v>
      </c>
      <c r="B65" s="2686" t="s">
        <v>800</v>
      </c>
      <c r="C65" s="2689" t="s">
        <v>868</v>
      </c>
      <c r="D65" s="2686" t="str">
        <f t="shared" si="0"/>
        <v>1#地库205</v>
      </c>
      <c r="E65" s="2686" t="s">
        <v>802</v>
      </c>
      <c r="F65" s="2686" t="s">
        <v>803</v>
      </c>
      <c r="G65" s="2686" t="s">
        <v>804</v>
      </c>
      <c r="H65" s="2688">
        <v>30.6</v>
      </c>
      <c r="I65" s="2688">
        <v>12.72</v>
      </c>
      <c r="K65" s="2690" t="s">
        <v>805</v>
      </c>
      <c r="L65" s="3484" t="s">
        <v>806</v>
      </c>
    </row>
    <row r="66" spans="1:12" ht="24.95" customHeight="1">
      <c r="A66" s="2686">
        <v>64</v>
      </c>
      <c r="B66" s="2686" t="s">
        <v>800</v>
      </c>
      <c r="C66" s="2689" t="s">
        <v>869</v>
      </c>
      <c r="D66" s="2686" t="str">
        <f t="shared" si="0"/>
        <v>1#地库206</v>
      </c>
      <c r="E66" s="2686" t="s">
        <v>802</v>
      </c>
      <c r="F66" s="2686" t="s">
        <v>803</v>
      </c>
      <c r="G66" s="2686" t="s">
        <v>804</v>
      </c>
      <c r="H66" s="2688">
        <v>30.6</v>
      </c>
      <c r="I66" s="2688">
        <v>12.72</v>
      </c>
      <c r="K66" s="2690" t="s">
        <v>805</v>
      </c>
      <c r="L66" s="3484" t="s">
        <v>806</v>
      </c>
    </row>
    <row r="67" spans="1:12" ht="24.95" customHeight="1">
      <c r="A67" s="2686">
        <v>65</v>
      </c>
      <c r="B67" s="2686" t="s">
        <v>800</v>
      </c>
      <c r="C67" s="2687" t="s">
        <v>870</v>
      </c>
      <c r="D67" s="2686" t="str">
        <f t="shared" si="0"/>
        <v>1#地库207</v>
      </c>
      <c r="E67" s="2686" t="s">
        <v>802</v>
      </c>
      <c r="F67" s="2686" t="s">
        <v>803</v>
      </c>
      <c r="G67" s="2686" t="s">
        <v>804</v>
      </c>
      <c r="H67" s="2688">
        <v>30.6</v>
      </c>
      <c r="I67" s="2688">
        <v>12.72</v>
      </c>
      <c r="K67" s="2690" t="s">
        <v>805</v>
      </c>
      <c r="L67" s="3484" t="s">
        <v>806</v>
      </c>
    </row>
    <row r="68" spans="1:12" ht="24.95" customHeight="1">
      <c r="A68" s="2686">
        <v>66</v>
      </c>
      <c r="B68" s="2686" t="s">
        <v>800</v>
      </c>
      <c r="C68" s="2689" t="s">
        <v>871</v>
      </c>
      <c r="D68" s="2686" t="str">
        <f t="shared" si="0"/>
        <v>1#地库208</v>
      </c>
      <c r="E68" s="2686" t="s">
        <v>802</v>
      </c>
      <c r="F68" s="2686" t="s">
        <v>803</v>
      </c>
      <c r="G68" s="2686" t="s">
        <v>804</v>
      </c>
      <c r="H68" s="2688">
        <v>30.6</v>
      </c>
      <c r="I68" s="2688">
        <v>12.72</v>
      </c>
      <c r="K68" s="2690" t="s">
        <v>805</v>
      </c>
      <c r="L68" s="3484" t="s">
        <v>806</v>
      </c>
    </row>
    <row r="69" spans="1:12" ht="24.95" customHeight="1">
      <c r="A69" s="2686">
        <v>67</v>
      </c>
      <c r="B69" s="2686" t="s">
        <v>800</v>
      </c>
      <c r="C69" s="2689" t="s">
        <v>872</v>
      </c>
      <c r="D69" s="2686" t="str">
        <f t="shared" si="0"/>
        <v>1#地库209</v>
      </c>
      <c r="E69" s="2686" t="s">
        <v>802</v>
      </c>
      <c r="F69" s="2686" t="s">
        <v>803</v>
      </c>
      <c r="G69" s="2686" t="s">
        <v>804</v>
      </c>
      <c r="H69" s="2688">
        <v>30.6</v>
      </c>
      <c r="I69" s="2688">
        <v>12.72</v>
      </c>
      <c r="K69" s="2690" t="s">
        <v>805</v>
      </c>
      <c r="L69" s="3484" t="s">
        <v>806</v>
      </c>
    </row>
    <row r="70" spans="1:12" ht="24.95" customHeight="1">
      <c r="A70" s="2686">
        <v>68</v>
      </c>
      <c r="B70" s="2686" t="s">
        <v>800</v>
      </c>
      <c r="C70" s="2687" t="s">
        <v>873</v>
      </c>
      <c r="D70" s="2686" t="str">
        <f t="shared" si="0"/>
        <v>1#地库210</v>
      </c>
      <c r="E70" s="2686" t="s">
        <v>802</v>
      </c>
      <c r="F70" s="2686" t="s">
        <v>803</v>
      </c>
      <c r="G70" s="2686" t="s">
        <v>804</v>
      </c>
      <c r="H70" s="2688">
        <v>30.6</v>
      </c>
      <c r="I70" s="2688">
        <v>12.72</v>
      </c>
      <c r="K70" s="2690" t="s">
        <v>805</v>
      </c>
      <c r="L70" s="3484" t="s">
        <v>806</v>
      </c>
    </row>
    <row r="71" spans="1:12" ht="24.95" customHeight="1">
      <c r="A71" s="2686">
        <v>69</v>
      </c>
      <c r="B71" s="2686" t="s">
        <v>800</v>
      </c>
      <c r="C71" s="2687" t="s">
        <v>874</v>
      </c>
      <c r="D71" s="2686" t="str">
        <f t="shared" si="0"/>
        <v>1#地库211</v>
      </c>
      <c r="E71" s="2686" t="s">
        <v>802</v>
      </c>
      <c r="F71" s="2686" t="s">
        <v>803</v>
      </c>
      <c r="G71" s="2686" t="s">
        <v>804</v>
      </c>
      <c r="H71" s="2688">
        <v>30.6</v>
      </c>
      <c r="I71" s="2688">
        <v>12.72</v>
      </c>
      <c r="K71" s="2690" t="s">
        <v>805</v>
      </c>
      <c r="L71" s="3484" t="s">
        <v>806</v>
      </c>
    </row>
    <row r="72" spans="1:12" ht="24.95" customHeight="1">
      <c r="A72" s="2686">
        <v>70</v>
      </c>
      <c r="B72" s="2686" t="s">
        <v>800</v>
      </c>
      <c r="C72" s="2687" t="s">
        <v>875</v>
      </c>
      <c r="D72" s="2686" t="str">
        <f t="shared" ref="D72:D135" si="1">B72&amp;C72</f>
        <v>1#地库212</v>
      </c>
      <c r="E72" s="2686" t="s">
        <v>802</v>
      </c>
      <c r="F72" s="2686" t="s">
        <v>803</v>
      </c>
      <c r="G72" s="2686" t="s">
        <v>804</v>
      </c>
      <c r="H72" s="2688">
        <v>30.6</v>
      </c>
      <c r="I72" s="2688">
        <v>12.72</v>
      </c>
      <c r="K72" s="2690" t="s">
        <v>805</v>
      </c>
      <c r="L72" s="3484" t="s">
        <v>806</v>
      </c>
    </row>
    <row r="73" spans="1:12" ht="24.95" customHeight="1">
      <c r="A73" s="2686">
        <v>71</v>
      </c>
      <c r="B73" s="2686" t="s">
        <v>800</v>
      </c>
      <c r="C73" s="2689" t="s">
        <v>876</v>
      </c>
      <c r="D73" s="2686" t="str">
        <f t="shared" si="1"/>
        <v>1#地库213</v>
      </c>
      <c r="E73" s="2686" t="s">
        <v>802</v>
      </c>
      <c r="F73" s="2686" t="s">
        <v>803</v>
      </c>
      <c r="G73" s="2686" t="s">
        <v>804</v>
      </c>
      <c r="H73" s="2688">
        <v>30.6</v>
      </c>
      <c r="I73" s="2688">
        <v>12.72</v>
      </c>
      <c r="K73" s="2690" t="s">
        <v>805</v>
      </c>
      <c r="L73" s="3484" t="s">
        <v>806</v>
      </c>
    </row>
    <row r="74" spans="1:12" ht="24.95" customHeight="1">
      <c r="A74" s="2686">
        <v>72</v>
      </c>
      <c r="B74" s="2686" t="s">
        <v>800</v>
      </c>
      <c r="C74" s="2687" t="s">
        <v>877</v>
      </c>
      <c r="D74" s="2686" t="str">
        <f t="shared" si="1"/>
        <v>1#地库214</v>
      </c>
      <c r="E74" s="2686" t="s">
        <v>802</v>
      </c>
      <c r="F74" s="2686" t="s">
        <v>803</v>
      </c>
      <c r="G74" s="2686" t="s">
        <v>804</v>
      </c>
      <c r="H74" s="2688">
        <v>30.6</v>
      </c>
      <c r="I74" s="2688">
        <v>12.72</v>
      </c>
      <c r="K74" s="2690" t="s">
        <v>805</v>
      </c>
      <c r="L74" s="3484" t="s">
        <v>806</v>
      </c>
    </row>
    <row r="75" spans="1:12" ht="24.95" customHeight="1">
      <c r="A75" s="2686">
        <v>73</v>
      </c>
      <c r="B75" s="2686" t="s">
        <v>800</v>
      </c>
      <c r="C75" s="2689" t="s">
        <v>878</v>
      </c>
      <c r="D75" s="2686" t="str">
        <f t="shared" si="1"/>
        <v>1#地库215</v>
      </c>
      <c r="E75" s="2686" t="s">
        <v>802</v>
      </c>
      <c r="F75" s="2686" t="s">
        <v>803</v>
      </c>
      <c r="G75" s="2686" t="s">
        <v>804</v>
      </c>
      <c r="H75" s="2688">
        <v>30.6</v>
      </c>
      <c r="I75" s="2688">
        <v>12.72</v>
      </c>
      <c r="K75" s="2690" t="s">
        <v>805</v>
      </c>
      <c r="L75" s="3484" t="s">
        <v>806</v>
      </c>
    </row>
    <row r="76" spans="1:12" ht="24.95" customHeight="1">
      <c r="A76" s="2686">
        <v>74</v>
      </c>
      <c r="B76" s="2686" t="s">
        <v>800</v>
      </c>
      <c r="C76" s="2689" t="s">
        <v>879</v>
      </c>
      <c r="D76" s="2686" t="str">
        <f t="shared" si="1"/>
        <v>1#地库216</v>
      </c>
      <c r="E76" s="2686" t="s">
        <v>802</v>
      </c>
      <c r="F76" s="2686" t="s">
        <v>803</v>
      </c>
      <c r="G76" s="2686" t="s">
        <v>804</v>
      </c>
      <c r="H76" s="2688">
        <v>30.6</v>
      </c>
      <c r="I76" s="2688">
        <v>12.72</v>
      </c>
      <c r="K76" s="2690" t="s">
        <v>805</v>
      </c>
      <c r="L76" s="3484" t="s">
        <v>806</v>
      </c>
    </row>
    <row r="77" spans="1:12" ht="24.95" customHeight="1">
      <c r="A77" s="2686">
        <v>75</v>
      </c>
      <c r="B77" s="2686" t="s">
        <v>800</v>
      </c>
      <c r="C77" s="2689" t="s">
        <v>880</v>
      </c>
      <c r="D77" s="2686" t="str">
        <f t="shared" si="1"/>
        <v>1#地库217</v>
      </c>
      <c r="E77" s="2686" t="s">
        <v>802</v>
      </c>
      <c r="F77" s="2686" t="s">
        <v>803</v>
      </c>
      <c r="G77" s="2686" t="s">
        <v>804</v>
      </c>
      <c r="H77" s="2688">
        <v>30.6</v>
      </c>
      <c r="I77" s="2688">
        <v>12.72</v>
      </c>
      <c r="K77" s="2690" t="s">
        <v>805</v>
      </c>
      <c r="L77" s="3484" t="s">
        <v>806</v>
      </c>
    </row>
    <row r="78" spans="1:12" ht="24.95" customHeight="1">
      <c r="A78" s="2686">
        <v>76</v>
      </c>
      <c r="B78" s="2686" t="s">
        <v>800</v>
      </c>
      <c r="C78" s="2689" t="s">
        <v>881</v>
      </c>
      <c r="D78" s="2686" t="str">
        <f t="shared" si="1"/>
        <v>1#地库218</v>
      </c>
      <c r="E78" s="2686" t="s">
        <v>802</v>
      </c>
      <c r="F78" s="2686" t="s">
        <v>803</v>
      </c>
      <c r="G78" s="2686" t="s">
        <v>804</v>
      </c>
      <c r="H78" s="2688">
        <v>30.6</v>
      </c>
      <c r="I78" s="2688">
        <v>12.72</v>
      </c>
      <c r="K78" s="2690" t="s">
        <v>805</v>
      </c>
      <c r="L78" s="3484" t="s">
        <v>806</v>
      </c>
    </row>
    <row r="79" spans="1:12" ht="24.95" customHeight="1">
      <c r="A79" s="2686">
        <v>77</v>
      </c>
      <c r="B79" s="2686" t="s">
        <v>800</v>
      </c>
      <c r="C79" s="2687" t="s">
        <v>882</v>
      </c>
      <c r="D79" s="2686" t="str">
        <f t="shared" si="1"/>
        <v>1#地库219</v>
      </c>
      <c r="E79" s="2686" t="s">
        <v>802</v>
      </c>
      <c r="F79" s="2686" t="s">
        <v>803</v>
      </c>
      <c r="G79" s="2686" t="s">
        <v>804</v>
      </c>
      <c r="H79" s="2688">
        <v>30.6</v>
      </c>
      <c r="I79" s="2688">
        <v>12.72</v>
      </c>
      <c r="K79" s="2690" t="s">
        <v>805</v>
      </c>
      <c r="L79" s="3484" t="s">
        <v>806</v>
      </c>
    </row>
    <row r="80" spans="1:12" ht="24.95" customHeight="1">
      <c r="A80" s="2686">
        <v>78</v>
      </c>
      <c r="B80" s="2686" t="s">
        <v>800</v>
      </c>
      <c r="C80" s="2687" t="s">
        <v>883</v>
      </c>
      <c r="D80" s="2686" t="str">
        <f t="shared" si="1"/>
        <v>1#地库220</v>
      </c>
      <c r="E80" s="2686" t="s">
        <v>802</v>
      </c>
      <c r="F80" s="2686" t="s">
        <v>803</v>
      </c>
      <c r="G80" s="2686" t="s">
        <v>804</v>
      </c>
      <c r="H80" s="2688">
        <v>30.6</v>
      </c>
      <c r="I80" s="2688">
        <v>12.72</v>
      </c>
      <c r="K80" s="2690" t="s">
        <v>805</v>
      </c>
      <c r="L80" s="3484" t="s">
        <v>806</v>
      </c>
    </row>
    <row r="81" spans="1:12" ht="24.95" customHeight="1">
      <c r="A81" s="2686">
        <v>79</v>
      </c>
      <c r="B81" s="2686" t="s">
        <v>800</v>
      </c>
      <c r="C81" s="2687" t="s">
        <v>884</v>
      </c>
      <c r="D81" s="2686" t="str">
        <f t="shared" si="1"/>
        <v>1#地库221</v>
      </c>
      <c r="E81" s="2686" t="s">
        <v>802</v>
      </c>
      <c r="F81" s="2686" t="s">
        <v>803</v>
      </c>
      <c r="G81" s="2686" t="s">
        <v>804</v>
      </c>
      <c r="H81" s="2688">
        <v>30.6</v>
      </c>
      <c r="I81" s="2688">
        <v>12.72</v>
      </c>
      <c r="K81" s="2690" t="s">
        <v>805</v>
      </c>
      <c r="L81" s="3484" t="s">
        <v>806</v>
      </c>
    </row>
    <row r="82" spans="1:12" ht="24.95" customHeight="1">
      <c r="A82" s="2686">
        <v>80</v>
      </c>
      <c r="B82" s="2686" t="s">
        <v>800</v>
      </c>
      <c r="C82" s="2687" t="s">
        <v>885</v>
      </c>
      <c r="D82" s="2686" t="str">
        <f t="shared" si="1"/>
        <v>1#地库222</v>
      </c>
      <c r="E82" s="2686" t="s">
        <v>802</v>
      </c>
      <c r="F82" s="2686" t="s">
        <v>803</v>
      </c>
      <c r="G82" s="2686" t="s">
        <v>804</v>
      </c>
      <c r="H82" s="2688">
        <v>30.6</v>
      </c>
      <c r="I82" s="2688">
        <v>12.72</v>
      </c>
      <c r="K82" s="2690" t="s">
        <v>805</v>
      </c>
      <c r="L82" s="3484" t="s">
        <v>806</v>
      </c>
    </row>
    <row r="83" spans="1:12" ht="24.95" customHeight="1">
      <c r="A83" s="2686">
        <v>81</v>
      </c>
      <c r="B83" s="2686" t="s">
        <v>800</v>
      </c>
      <c r="C83" s="2687" t="s">
        <v>886</v>
      </c>
      <c r="D83" s="2686" t="str">
        <f t="shared" si="1"/>
        <v>1#地库223</v>
      </c>
      <c r="E83" s="2686" t="s">
        <v>802</v>
      </c>
      <c r="F83" s="2686" t="s">
        <v>803</v>
      </c>
      <c r="G83" s="2686" t="s">
        <v>804</v>
      </c>
      <c r="H83" s="2688">
        <v>30.6</v>
      </c>
      <c r="I83" s="2688">
        <v>12.72</v>
      </c>
      <c r="K83" s="2690" t="s">
        <v>805</v>
      </c>
      <c r="L83" s="3484" t="s">
        <v>806</v>
      </c>
    </row>
    <row r="84" spans="1:12" ht="24.95" customHeight="1">
      <c r="A84" s="2686">
        <v>82</v>
      </c>
      <c r="B84" s="2686" t="s">
        <v>800</v>
      </c>
      <c r="C84" s="2687" t="s">
        <v>887</v>
      </c>
      <c r="D84" s="2686" t="str">
        <f t="shared" si="1"/>
        <v>1#地库224</v>
      </c>
      <c r="E84" s="2686" t="s">
        <v>802</v>
      </c>
      <c r="F84" s="2686" t="s">
        <v>803</v>
      </c>
      <c r="G84" s="2686" t="s">
        <v>804</v>
      </c>
      <c r="H84" s="2688">
        <v>30.6</v>
      </c>
      <c r="I84" s="2688">
        <v>12.72</v>
      </c>
      <c r="K84" s="2690" t="s">
        <v>805</v>
      </c>
      <c r="L84" s="3484" t="s">
        <v>806</v>
      </c>
    </row>
    <row r="85" spans="1:12" ht="24.95" customHeight="1">
      <c r="A85" s="2686">
        <v>83</v>
      </c>
      <c r="B85" s="2686" t="s">
        <v>800</v>
      </c>
      <c r="C85" s="2687" t="s">
        <v>888</v>
      </c>
      <c r="D85" s="2686" t="str">
        <f t="shared" si="1"/>
        <v>1#地库225</v>
      </c>
      <c r="E85" s="2686" t="s">
        <v>802</v>
      </c>
      <c r="F85" s="2686" t="s">
        <v>803</v>
      </c>
      <c r="G85" s="2686" t="s">
        <v>804</v>
      </c>
      <c r="H85" s="2688">
        <v>30.6</v>
      </c>
      <c r="I85" s="2688">
        <v>12.72</v>
      </c>
      <c r="K85" s="2690" t="s">
        <v>805</v>
      </c>
      <c r="L85" s="3484" t="s">
        <v>806</v>
      </c>
    </row>
    <row r="86" spans="1:12" ht="24.95" customHeight="1">
      <c r="A86" s="2686">
        <v>84</v>
      </c>
      <c r="B86" s="2686" t="s">
        <v>800</v>
      </c>
      <c r="C86" s="2687" t="s">
        <v>889</v>
      </c>
      <c r="D86" s="2686" t="str">
        <f t="shared" si="1"/>
        <v>1#地库226</v>
      </c>
      <c r="E86" s="2686" t="s">
        <v>802</v>
      </c>
      <c r="F86" s="2686" t="s">
        <v>803</v>
      </c>
      <c r="G86" s="2686" t="s">
        <v>804</v>
      </c>
      <c r="H86" s="2688">
        <v>30.6</v>
      </c>
      <c r="I86" s="2688">
        <v>12.72</v>
      </c>
      <c r="K86" s="2690" t="s">
        <v>805</v>
      </c>
      <c r="L86" s="3484" t="s">
        <v>806</v>
      </c>
    </row>
    <row r="87" spans="1:12" ht="24.95" customHeight="1">
      <c r="A87" s="2686">
        <v>85</v>
      </c>
      <c r="B87" s="2686" t="s">
        <v>800</v>
      </c>
      <c r="C87" s="2687" t="s">
        <v>890</v>
      </c>
      <c r="D87" s="2686" t="str">
        <f t="shared" si="1"/>
        <v>1#地库228</v>
      </c>
      <c r="E87" s="2686" t="s">
        <v>802</v>
      </c>
      <c r="F87" s="2686" t="s">
        <v>803</v>
      </c>
      <c r="G87" s="2686" t="s">
        <v>804</v>
      </c>
      <c r="H87" s="2688">
        <v>30.6</v>
      </c>
      <c r="I87" s="2688">
        <v>12.72</v>
      </c>
      <c r="K87" s="2690" t="s">
        <v>805</v>
      </c>
      <c r="L87" s="3484" t="s">
        <v>806</v>
      </c>
    </row>
    <row r="88" spans="1:12" ht="24.95" customHeight="1">
      <c r="A88" s="2686">
        <v>86</v>
      </c>
      <c r="B88" s="2686" t="s">
        <v>800</v>
      </c>
      <c r="C88" s="2687" t="s">
        <v>891</v>
      </c>
      <c r="D88" s="2686" t="str">
        <f t="shared" si="1"/>
        <v>1#地库234</v>
      </c>
      <c r="E88" s="2686" t="s">
        <v>802</v>
      </c>
      <c r="F88" s="2686" t="s">
        <v>803</v>
      </c>
      <c r="G88" s="2686" t="s">
        <v>804</v>
      </c>
      <c r="H88" s="2688">
        <v>30.6</v>
      </c>
      <c r="I88" s="2688">
        <v>12.72</v>
      </c>
      <c r="K88" s="2690" t="s">
        <v>805</v>
      </c>
      <c r="L88" s="3484" t="s">
        <v>806</v>
      </c>
    </row>
    <row r="89" spans="1:12" ht="24.95" customHeight="1">
      <c r="A89" s="2686">
        <v>87</v>
      </c>
      <c r="B89" s="2686" t="s">
        <v>800</v>
      </c>
      <c r="C89" s="2687" t="s">
        <v>892</v>
      </c>
      <c r="D89" s="2686" t="str">
        <f t="shared" si="1"/>
        <v>1#地库243</v>
      </c>
      <c r="E89" s="2686" t="s">
        <v>802</v>
      </c>
      <c r="F89" s="2686" t="s">
        <v>803</v>
      </c>
      <c r="G89" s="2686" t="s">
        <v>804</v>
      </c>
      <c r="H89" s="2688">
        <v>30.6</v>
      </c>
      <c r="I89" s="2688">
        <v>12.72</v>
      </c>
      <c r="K89" s="2690" t="s">
        <v>805</v>
      </c>
      <c r="L89" s="3484" t="s">
        <v>806</v>
      </c>
    </row>
    <row r="90" spans="1:12" ht="24.95" customHeight="1">
      <c r="A90" s="2686">
        <v>88</v>
      </c>
      <c r="B90" s="2686" t="s">
        <v>800</v>
      </c>
      <c r="C90" s="2687" t="s">
        <v>893</v>
      </c>
      <c r="D90" s="2686" t="str">
        <f t="shared" si="1"/>
        <v>1#地库244</v>
      </c>
      <c r="E90" s="2686" t="s">
        <v>802</v>
      </c>
      <c r="F90" s="2686" t="s">
        <v>803</v>
      </c>
      <c r="G90" s="2686" t="s">
        <v>804</v>
      </c>
      <c r="H90" s="2688">
        <v>30.6</v>
      </c>
      <c r="I90" s="2688">
        <v>12.72</v>
      </c>
      <c r="K90" s="2690" t="s">
        <v>805</v>
      </c>
      <c r="L90" s="3484" t="s">
        <v>806</v>
      </c>
    </row>
    <row r="91" spans="1:12" ht="24.95" customHeight="1">
      <c r="A91" s="2686">
        <v>89</v>
      </c>
      <c r="B91" s="2686" t="s">
        <v>800</v>
      </c>
      <c r="C91" s="2687" t="s">
        <v>894</v>
      </c>
      <c r="D91" s="2686" t="str">
        <f t="shared" si="1"/>
        <v>1#地库245</v>
      </c>
      <c r="E91" s="2686" t="s">
        <v>802</v>
      </c>
      <c r="F91" s="2686" t="s">
        <v>803</v>
      </c>
      <c r="G91" s="2686" t="s">
        <v>804</v>
      </c>
      <c r="H91" s="2688">
        <v>30.6</v>
      </c>
      <c r="I91" s="2688">
        <v>12.72</v>
      </c>
      <c r="K91" s="2690" t="s">
        <v>805</v>
      </c>
      <c r="L91" s="3484" t="s">
        <v>806</v>
      </c>
    </row>
    <row r="92" spans="1:12" ht="24.95" customHeight="1">
      <c r="A92" s="2686">
        <v>90</v>
      </c>
      <c r="B92" s="2686" t="s">
        <v>800</v>
      </c>
      <c r="C92" s="2687" t="s">
        <v>895</v>
      </c>
      <c r="D92" s="2686" t="str">
        <f t="shared" si="1"/>
        <v>1#地库247</v>
      </c>
      <c r="E92" s="2686" t="s">
        <v>802</v>
      </c>
      <c r="F92" s="2686" t="s">
        <v>803</v>
      </c>
      <c r="G92" s="2686" t="s">
        <v>804</v>
      </c>
      <c r="H92" s="2688">
        <v>30.6</v>
      </c>
      <c r="I92" s="2688">
        <v>12.72</v>
      </c>
      <c r="K92" s="2690" t="s">
        <v>805</v>
      </c>
      <c r="L92" s="3484" t="s">
        <v>806</v>
      </c>
    </row>
    <row r="93" spans="1:12" ht="24.95" customHeight="1">
      <c r="A93" s="2686">
        <v>91</v>
      </c>
      <c r="B93" s="2686" t="s">
        <v>800</v>
      </c>
      <c r="C93" s="2687" t="s">
        <v>896</v>
      </c>
      <c r="D93" s="2686" t="str">
        <f t="shared" si="1"/>
        <v>1#地库248</v>
      </c>
      <c r="E93" s="2686" t="s">
        <v>802</v>
      </c>
      <c r="F93" s="2686" t="s">
        <v>803</v>
      </c>
      <c r="G93" s="2686" t="s">
        <v>804</v>
      </c>
      <c r="H93" s="2688">
        <v>30.6</v>
      </c>
      <c r="I93" s="2688">
        <v>12.72</v>
      </c>
      <c r="K93" s="2690" t="s">
        <v>805</v>
      </c>
      <c r="L93" s="3484" t="s">
        <v>806</v>
      </c>
    </row>
    <row r="94" spans="1:12" ht="24.95" customHeight="1">
      <c r="A94" s="2686">
        <v>92</v>
      </c>
      <c r="B94" s="2686" t="s">
        <v>800</v>
      </c>
      <c r="C94" s="2687" t="s">
        <v>897</v>
      </c>
      <c r="D94" s="2686" t="str">
        <f t="shared" si="1"/>
        <v>1#地库249</v>
      </c>
      <c r="E94" s="2686" t="s">
        <v>802</v>
      </c>
      <c r="F94" s="2686" t="s">
        <v>803</v>
      </c>
      <c r="G94" s="2686" t="s">
        <v>804</v>
      </c>
      <c r="H94" s="2688">
        <v>30.6</v>
      </c>
      <c r="I94" s="2688">
        <v>12.72</v>
      </c>
      <c r="K94" s="2690" t="s">
        <v>805</v>
      </c>
      <c r="L94" s="3484" t="s">
        <v>806</v>
      </c>
    </row>
    <row r="95" spans="1:12" ht="24.95" customHeight="1">
      <c r="A95" s="2686">
        <v>93</v>
      </c>
      <c r="B95" s="2686" t="s">
        <v>800</v>
      </c>
      <c r="C95" s="2687" t="s">
        <v>898</v>
      </c>
      <c r="D95" s="2686" t="str">
        <f t="shared" si="1"/>
        <v>1#地库250</v>
      </c>
      <c r="E95" s="2686" t="s">
        <v>802</v>
      </c>
      <c r="F95" s="2686" t="s">
        <v>803</v>
      </c>
      <c r="G95" s="2686" t="s">
        <v>804</v>
      </c>
      <c r="H95" s="2688">
        <v>30.6</v>
      </c>
      <c r="I95" s="2688">
        <v>12.72</v>
      </c>
      <c r="K95" s="2690" t="s">
        <v>805</v>
      </c>
      <c r="L95" s="3484" t="s">
        <v>806</v>
      </c>
    </row>
    <row r="96" spans="1:12" ht="24.95" customHeight="1">
      <c r="A96" s="2686">
        <v>94</v>
      </c>
      <c r="B96" s="2686" t="s">
        <v>800</v>
      </c>
      <c r="C96" s="2687" t="s">
        <v>899</v>
      </c>
      <c r="D96" s="2686" t="str">
        <f t="shared" si="1"/>
        <v>1#地库252</v>
      </c>
      <c r="E96" s="2686" t="s">
        <v>802</v>
      </c>
      <c r="F96" s="2686" t="s">
        <v>803</v>
      </c>
      <c r="G96" s="2686" t="s">
        <v>804</v>
      </c>
      <c r="H96" s="2688">
        <v>30.6</v>
      </c>
      <c r="I96" s="2688">
        <v>12.72</v>
      </c>
      <c r="K96" s="2690" t="s">
        <v>805</v>
      </c>
      <c r="L96" s="3484" t="s">
        <v>806</v>
      </c>
    </row>
    <row r="97" spans="1:12" ht="24.95" customHeight="1">
      <c r="A97" s="2686">
        <v>95</v>
      </c>
      <c r="B97" s="2686" t="s">
        <v>800</v>
      </c>
      <c r="C97" s="2687" t="s">
        <v>900</v>
      </c>
      <c r="D97" s="2686" t="str">
        <f t="shared" si="1"/>
        <v>1#地库253</v>
      </c>
      <c r="E97" s="2686" t="s">
        <v>802</v>
      </c>
      <c r="F97" s="2686" t="s">
        <v>803</v>
      </c>
      <c r="G97" s="2686" t="s">
        <v>804</v>
      </c>
      <c r="H97" s="2688">
        <v>30.6</v>
      </c>
      <c r="I97" s="2688">
        <v>12.72</v>
      </c>
      <c r="K97" s="2690" t="s">
        <v>805</v>
      </c>
      <c r="L97" s="3484" t="s">
        <v>806</v>
      </c>
    </row>
    <row r="98" spans="1:12" ht="24.95" customHeight="1">
      <c r="A98" s="2686">
        <v>96</v>
      </c>
      <c r="B98" s="2686" t="s">
        <v>800</v>
      </c>
      <c r="C98" s="2687" t="s">
        <v>901</v>
      </c>
      <c r="D98" s="2686" t="str">
        <f t="shared" si="1"/>
        <v>1#地库254</v>
      </c>
      <c r="E98" s="2686" t="s">
        <v>802</v>
      </c>
      <c r="F98" s="2686" t="s">
        <v>803</v>
      </c>
      <c r="G98" s="2686" t="s">
        <v>804</v>
      </c>
      <c r="H98" s="2688">
        <v>30.6</v>
      </c>
      <c r="I98" s="2688">
        <v>12.72</v>
      </c>
      <c r="K98" s="2690" t="s">
        <v>805</v>
      </c>
      <c r="L98" s="3484" t="s">
        <v>806</v>
      </c>
    </row>
    <row r="99" spans="1:12" ht="24.95" customHeight="1">
      <c r="A99" s="2686">
        <v>97</v>
      </c>
      <c r="B99" s="2686" t="s">
        <v>800</v>
      </c>
      <c r="C99" s="2687" t="s">
        <v>902</v>
      </c>
      <c r="D99" s="2686" t="str">
        <f t="shared" si="1"/>
        <v>1#地库255</v>
      </c>
      <c r="E99" s="2686" t="s">
        <v>802</v>
      </c>
      <c r="F99" s="2686" t="s">
        <v>803</v>
      </c>
      <c r="G99" s="2686" t="s">
        <v>804</v>
      </c>
      <c r="H99" s="2688">
        <v>30.6</v>
      </c>
      <c r="I99" s="2688">
        <v>12.72</v>
      </c>
      <c r="K99" s="2690" t="s">
        <v>805</v>
      </c>
      <c r="L99" s="3484" t="s">
        <v>806</v>
      </c>
    </row>
    <row r="100" spans="1:12" ht="24.95" customHeight="1">
      <c r="A100" s="2686">
        <v>98</v>
      </c>
      <c r="B100" s="2686" t="s">
        <v>800</v>
      </c>
      <c r="C100" s="2687" t="s">
        <v>903</v>
      </c>
      <c r="D100" s="2686" t="str">
        <f t="shared" si="1"/>
        <v>1#地库256</v>
      </c>
      <c r="E100" s="2686" t="s">
        <v>802</v>
      </c>
      <c r="F100" s="2686" t="s">
        <v>803</v>
      </c>
      <c r="G100" s="2686" t="s">
        <v>804</v>
      </c>
      <c r="H100" s="2688">
        <v>30.6</v>
      </c>
      <c r="I100" s="2688">
        <v>12.72</v>
      </c>
      <c r="K100" s="2690" t="s">
        <v>805</v>
      </c>
      <c r="L100" s="3484" t="s">
        <v>806</v>
      </c>
    </row>
    <row r="101" spans="1:12" ht="24.95" customHeight="1">
      <c r="A101" s="2686">
        <v>99</v>
      </c>
      <c r="B101" s="2686" t="s">
        <v>800</v>
      </c>
      <c r="C101" s="2687" t="s">
        <v>904</v>
      </c>
      <c r="D101" s="2686" t="str">
        <f t="shared" si="1"/>
        <v>1#地库257</v>
      </c>
      <c r="E101" s="2686" t="s">
        <v>802</v>
      </c>
      <c r="F101" s="2686" t="s">
        <v>803</v>
      </c>
      <c r="G101" s="2686" t="s">
        <v>804</v>
      </c>
      <c r="H101" s="2688">
        <v>30.6</v>
      </c>
      <c r="I101" s="2688">
        <v>12.72</v>
      </c>
      <c r="K101" s="2690" t="s">
        <v>805</v>
      </c>
      <c r="L101" s="3484" t="s">
        <v>806</v>
      </c>
    </row>
    <row r="102" spans="1:12" ht="24.95" customHeight="1">
      <c r="A102" s="2686">
        <v>100</v>
      </c>
      <c r="B102" s="2686" t="s">
        <v>800</v>
      </c>
      <c r="C102" s="2687" t="s">
        <v>905</v>
      </c>
      <c r="D102" s="2686" t="str">
        <f t="shared" si="1"/>
        <v>1#地库258</v>
      </c>
      <c r="E102" s="2686" t="s">
        <v>802</v>
      </c>
      <c r="F102" s="2686" t="s">
        <v>803</v>
      </c>
      <c r="G102" s="2686" t="s">
        <v>804</v>
      </c>
      <c r="H102" s="2688">
        <v>30.6</v>
      </c>
      <c r="I102" s="2688">
        <v>12.72</v>
      </c>
      <c r="K102" s="2690" t="s">
        <v>805</v>
      </c>
      <c r="L102" s="3484" t="s">
        <v>806</v>
      </c>
    </row>
    <row r="103" spans="1:12" ht="24.95" customHeight="1">
      <c r="A103" s="2686">
        <v>101</v>
      </c>
      <c r="B103" s="2686" t="s">
        <v>800</v>
      </c>
      <c r="C103" s="2687" t="s">
        <v>906</v>
      </c>
      <c r="D103" s="2686" t="str">
        <f t="shared" si="1"/>
        <v>1#地库259</v>
      </c>
      <c r="E103" s="2686" t="s">
        <v>802</v>
      </c>
      <c r="F103" s="2686" t="s">
        <v>803</v>
      </c>
      <c r="G103" s="2686" t="s">
        <v>804</v>
      </c>
      <c r="H103" s="2688">
        <v>30.6</v>
      </c>
      <c r="I103" s="2688">
        <v>12.72</v>
      </c>
      <c r="K103" s="2690" t="s">
        <v>805</v>
      </c>
      <c r="L103" s="3484" t="s">
        <v>806</v>
      </c>
    </row>
    <row r="104" spans="1:12" ht="24.95" customHeight="1">
      <c r="A104" s="2686">
        <v>102</v>
      </c>
      <c r="B104" s="2686" t="s">
        <v>800</v>
      </c>
      <c r="C104" s="2687" t="s">
        <v>907</v>
      </c>
      <c r="D104" s="2686" t="str">
        <f t="shared" si="1"/>
        <v>1#地库262</v>
      </c>
      <c r="E104" s="2686" t="s">
        <v>802</v>
      </c>
      <c r="F104" s="2686" t="s">
        <v>803</v>
      </c>
      <c r="G104" s="2686" t="s">
        <v>804</v>
      </c>
      <c r="H104" s="2688">
        <v>30.6</v>
      </c>
      <c r="I104" s="2688">
        <v>12.72</v>
      </c>
      <c r="K104" s="2690" t="s">
        <v>805</v>
      </c>
      <c r="L104" s="3484" t="s">
        <v>806</v>
      </c>
    </row>
    <row r="105" spans="1:12" ht="24.95" customHeight="1">
      <c r="A105" s="2686">
        <v>103</v>
      </c>
      <c r="B105" s="2686" t="s">
        <v>800</v>
      </c>
      <c r="C105" s="2687" t="s">
        <v>908</v>
      </c>
      <c r="D105" s="2686" t="str">
        <f t="shared" si="1"/>
        <v>1#地库264</v>
      </c>
      <c r="E105" s="2686" t="s">
        <v>802</v>
      </c>
      <c r="F105" s="2686" t="s">
        <v>803</v>
      </c>
      <c r="G105" s="2686" t="s">
        <v>804</v>
      </c>
      <c r="H105" s="2688">
        <v>30.6</v>
      </c>
      <c r="I105" s="2688">
        <v>12.72</v>
      </c>
      <c r="K105" s="2690" t="s">
        <v>805</v>
      </c>
      <c r="L105" s="3484" t="s">
        <v>806</v>
      </c>
    </row>
    <row r="106" spans="1:12" ht="24.95" customHeight="1">
      <c r="A106" s="2686">
        <v>104</v>
      </c>
      <c r="B106" s="2686" t="s">
        <v>800</v>
      </c>
      <c r="C106" s="2687" t="s">
        <v>909</v>
      </c>
      <c r="D106" s="2686" t="str">
        <f t="shared" si="1"/>
        <v>1#地库265</v>
      </c>
      <c r="E106" s="2686" t="s">
        <v>802</v>
      </c>
      <c r="F106" s="2686" t="s">
        <v>803</v>
      </c>
      <c r="G106" s="2686" t="s">
        <v>804</v>
      </c>
      <c r="H106" s="2688">
        <v>30.6</v>
      </c>
      <c r="I106" s="2688">
        <v>12.72</v>
      </c>
      <c r="K106" s="2690" t="s">
        <v>805</v>
      </c>
      <c r="L106" s="3484" t="s">
        <v>806</v>
      </c>
    </row>
    <row r="107" spans="1:12" ht="24.95" customHeight="1">
      <c r="A107" s="2686">
        <v>105</v>
      </c>
      <c r="B107" s="2686" t="s">
        <v>800</v>
      </c>
      <c r="C107" s="2687" t="s">
        <v>910</v>
      </c>
      <c r="D107" s="2686" t="str">
        <f t="shared" si="1"/>
        <v>1#地库266</v>
      </c>
      <c r="E107" s="2686" t="s">
        <v>802</v>
      </c>
      <c r="F107" s="2686" t="s">
        <v>803</v>
      </c>
      <c r="G107" s="2686" t="s">
        <v>804</v>
      </c>
      <c r="H107" s="2688">
        <v>30.6</v>
      </c>
      <c r="I107" s="2688">
        <v>12.72</v>
      </c>
      <c r="K107" s="2690" t="s">
        <v>805</v>
      </c>
      <c r="L107" s="3484" t="s">
        <v>806</v>
      </c>
    </row>
    <row r="108" spans="1:12" ht="24.95" customHeight="1">
      <c r="A108" s="2686">
        <v>106</v>
      </c>
      <c r="B108" s="2686" t="s">
        <v>800</v>
      </c>
      <c r="C108" s="2689" t="s">
        <v>911</v>
      </c>
      <c r="D108" s="2686" t="str">
        <f t="shared" si="1"/>
        <v>1#地库267</v>
      </c>
      <c r="E108" s="2686" t="s">
        <v>802</v>
      </c>
      <c r="F108" s="2686" t="s">
        <v>803</v>
      </c>
      <c r="G108" s="2686" t="s">
        <v>804</v>
      </c>
      <c r="H108" s="2688">
        <v>30.6</v>
      </c>
      <c r="I108" s="2688">
        <v>12.72</v>
      </c>
      <c r="K108" s="2690" t="s">
        <v>805</v>
      </c>
      <c r="L108" s="3484" t="s">
        <v>806</v>
      </c>
    </row>
    <row r="109" spans="1:12" ht="24.95" customHeight="1">
      <c r="A109" s="2686">
        <v>107</v>
      </c>
      <c r="B109" s="2686" t="s">
        <v>800</v>
      </c>
      <c r="C109" s="2687" t="s">
        <v>912</v>
      </c>
      <c r="D109" s="2686" t="str">
        <f t="shared" si="1"/>
        <v>1#地库268</v>
      </c>
      <c r="E109" s="2686" t="s">
        <v>802</v>
      </c>
      <c r="F109" s="2686" t="s">
        <v>803</v>
      </c>
      <c r="G109" s="2686" t="s">
        <v>804</v>
      </c>
      <c r="H109" s="2688">
        <v>30.6</v>
      </c>
      <c r="I109" s="2688">
        <v>12.72</v>
      </c>
      <c r="K109" s="2690" t="s">
        <v>805</v>
      </c>
      <c r="L109" s="3484" t="s">
        <v>806</v>
      </c>
    </row>
    <row r="110" spans="1:12" ht="24.95" customHeight="1">
      <c r="A110" s="2686">
        <v>108</v>
      </c>
      <c r="B110" s="2686" t="s">
        <v>800</v>
      </c>
      <c r="C110" s="2687" t="s">
        <v>913</v>
      </c>
      <c r="D110" s="2686" t="str">
        <f t="shared" si="1"/>
        <v>1#地库269</v>
      </c>
      <c r="E110" s="2686" t="s">
        <v>802</v>
      </c>
      <c r="F110" s="2686" t="s">
        <v>803</v>
      </c>
      <c r="G110" s="2686" t="s">
        <v>804</v>
      </c>
      <c r="H110" s="2688">
        <v>30.6</v>
      </c>
      <c r="I110" s="2688">
        <v>12.72</v>
      </c>
      <c r="K110" s="2690" t="s">
        <v>805</v>
      </c>
      <c r="L110" s="3484" t="s">
        <v>806</v>
      </c>
    </row>
    <row r="111" spans="1:12" ht="24.95" customHeight="1">
      <c r="A111" s="2686">
        <v>109</v>
      </c>
      <c r="B111" s="2686" t="s">
        <v>800</v>
      </c>
      <c r="C111" s="2687" t="s">
        <v>914</v>
      </c>
      <c r="D111" s="2686" t="str">
        <f t="shared" si="1"/>
        <v>1#地库270</v>
      </c>
      <c r="E111" s="2686" t="s">
        <v>802</v>
      </c>
      <c r="F111" s="2686" t="s">
        <v>803</v>
      </c>
      <c r="G111" s="2686" t="s">
        <v>804</v>
      </c>
      <c r="H111" s="2688">
        <v>30.6</v>
      </c>
      <c r="I111" s="2688">
        <v>12.72</v>
      </c>
      <c r="K111" s="2690" t="s">
        <v>805</v>
      </c>
      <c r="L111" s="3484" t="s">
        <v>806</v>
      </c>
    </row>
    <row r="112" spans="1:12" ht="24.95" customHeight="1">
      <c r="A112" s="2686">
        <v>110</v>
      </c>
      <c r="B112" s="2686" t="s">
        <v>800</v>
      </c>
      <c r="C112" s="2687" t="s">
        <v>915</v>
      </c>
      <c r="D112" s="2686" t="str">
        <f t="shared" si="1"/>
        <v>1#地库271</v>
      </c>
      <c r="E112" s="2686" t="s">
        <v>802</v>
      </c>
      <c r="F112" s="2686" t="s">
        <v>803</v>
      </c>
      <c r="G112" s="2686" t="s">
        <v>804</v>
      </c>
      <c r="H112" s="2688">
        <v>30.6</v>
      </c>
      <c r="I112" s="2688">
        <v>12.72</v>
      </c>
      <c r="K112" s="2690" t="s">
        <v>805</v>
      </c>
      <c r="L112" s="3484" t="s">
        <v>806</v>
      </c>
    </row>
    <row r="113" spans="1:12" ht="24.95" customHeight="1">
      <c r="A113" s="2686">
        <v>111</v>
      </c>
      <c r="B113" s="2686" t="s">
        <v>800</v>
      </c>
      <c r="C113" s="2687" t="s">
        <v>916</v>
      </c>
      <c r="D113" s="2686" t="str">
        <f t="shared" si="1"/>
        <v>1#地库272</v>
      </c>
      <c r="E113" s="2686" t="s">
        <v>802</v>
      </c>
      <c r="F113" s="2686" t="s">
        <v>803</v>
      </c>
      <c r="G113" s="2686" t="s">
        <v>804</v>
      </c>
      <c r="H113" s="2688">
        <v>30.6</v>
      </c>
      <c r="I113" s="2688">
        <v>12.72</v>
      </c>
      <c r="K113" s="2690" t="s">
        <v>805</v>
      </c>
      <c r="L113" s="3484" t="s">
        <v>806</v>
      </c>
    </row>
    <row r="114" spans="1:12" ht="24.95" customHeight="1">
      <c r="A114" s="2686">
        <v>112</v>
      </c>
      <c r="B114" s="2686" t="s">
        <v>800</v>
      </c>
      <c r="C114" s="2687" t="s">
        <v>917</v>
      </c>
      <c r="D114" s="2686" t="str">
        <f t="shared" si="1"/>
        <v>1#地库274</v>
      </c>
      <c r="E114" s="2686" t="s">
        <v>802</v>
      </c>
      <c r="F114" s="2686" t="s">
        <v>803</v>
      </c>
      <c r="G114" s="2686" t="s">
        <v>804</v>
      </c>
      <c r="H114" s="2688">
        <v>30.6</v>
      </c>
      <c r="I114" s="2688">
        <v>12.72</v>
      </c>
      <c r="K114" s="2690" t="s">
        <v>805</v>
      </c>
      <c r="L114" s="3484" t="s">
        <v>806</v>
      </c>
    </row>
    <row r="115" spans="1:12" ht="24.95" customHeight="1">
      <c r="A115" s="2686">
        <v>113</v>
      </c>
      <c r="B115" s="2686" t="s">
        <v>800</v>
      </c>
      <c r="C115" s="2687" t="s">
        <v>918</v>
      </c>
      <c r="D115" s="2686" t="str">
        <f t="shared" si="1"/>
        <v>1#地库278</v>
      </c>
      <c r="E115" s="2686" t="s">
        <v>802</v>
      </c>
      <c r="F115" s="2686" t="s">
        <v>803</v>
      </c>
      <c r="G115" s="2686" t="s">
        <v>804</v>
      </c>
      <c r="H115" s="2688">
        <v>30.6</v>
      </c>
      <c r="I115" s="2688">
        <v>12.72</v>
      </c>
      <c r="K115" s="2690" t="s">
        <v>805</v>
      </c>
      <c r="L115" s="3484" t="s">
        <v>806</v>
      </c>
    </row>
    <row r="116" spans="1:12" ht="24.95" customHeight="1">
      <c r="A116" s="2686">
        <v>114</v>
      </c>
      <c r="B116" s="2686" t="s">
        <v>800</v>
      </c>
      <c r="C116" s="2689" t="s">
        <v>919</v>
      </c>
      <c r="D116" s="2686" t="str">
        <f t="shared" si="1"/>
        <v>1#地库281</v>
      </c>
      <c r="E116" s="2686" t="s">
        <v>802</v>
      </c>
      <c r="F116" s="2686" t="s">
        <v>803</v>
      </c>
      <c r="G116" s="2686" t="s">
        <v>804</v>
      </c>
      <c r="H116" s="2688">
        <v>30.6</v>
      </c>
      <c r="I116" s="2688">
        <v>12.72</v>
      </c>
      <c r="K116" s="2690" t="s">
        <v>805</v>
      </c>
      <c r="L116" s="3484" t="s">
        <v>806</v>
      </c>
    </row>
    <row r="117" spans="1:12" ht="24.95" customHeight="1">
      <c r="A117" s="2686">
        <v>115</v>
      </c>
      <c r="B117" s="2686" t="s">
        <v>800</v>
      </c>
      <c r="C117" s="2687" t="s">
        <v>920</v>
      </c>
      <c r="D117" s="2686" t="str">
        <f t="shared" si="1"/>
        <v>1#地库282</v>
      </c>
      <c r="E117" s="2686" t="s">
        <v>802</v>
      </c>
      <c r="F117" s="2686" t="s">
        <v>803</v>
      </c>
      <c r="G117" s="2686" t="s">
        <v>804</v>
      </c>
      <c r="H117" s="2688">
        <v>30.6</v>
      </c>
      <c r="I117" s="2688">
        <v>12.72</v>
      </c>
      <c r="K117" s="2690" t="s">
        <v>805</v>
      </c>
      <c r="L117" s="3484" t="s">
        <v>806</v>
      </c>
    </row>
    <row r="118" spans="1:12" ht="24.95" customHeight="1">
      <c r="A118" s="2686">
        <v>116</v>
      </c>
      <c r="B118" s="2686" t="s">
        <v>800</v>
      </c>
      <c r="C118" s="2687" t="s">
        <v>921</v>
      </c>
      <c r="D118" s="2686" t="str">
        <f t="shared" si="1"/>
        <v>1#地库283</v>
      </c>
      <c r="E118" s="2686" t="s">
        <v>802</v>
      </c>
      <c r="F118" s="2686" t="s">
        <v>803</v>
      </c>
      <c r="G118" s="2686" t="s">
        <v>804</v>
      </c>
      <c r="H118" s="2688">
        <v>30.6</v>
      </c>
      <c r="I118" s="2688">
        <v>12.72</v>
      </c>
      <c r="K118" s="2690" t="s">
        <v>805</v>
      </c>
      <c r="L118" s="3484" t="s">
        <v>806</v>
      </c>
    </row>
    <row r="119" spans="1:12" ht="24.95" customHeight="1">
      <c r="A119" s="2686">
        <v>117</v>
      </c>
      <c r="B119" s="2686" t="s">
        <v>800</v>
      </c>
      <c r="C119" s="2689" t="s">
        <v>922</v>
      </c>
      <c r="D119" s="2686" t="str">
        <f t="shared" si="1"/>
        <v>1#地库284</v>
      </c>
      <c r="E119" s="2686" t="s">
        <v>802</v>
      </c>
      <c r="F119" s="2686" t="s">
        <v>803</v>
      </c>
      <c r="G119" s="2686" t="s">
        <v>804</v>
      </c>
      <c r="H119" s="2688">
        <v>30.6</v>
      </c>
      <c r="I119" s="2688">
        <v>12.72</v>
      </c>
      <c r="K119" s="2690" t="s">
        <v>805</v>
      </c>
      <c r="L119" s="3484" t="s">
        <v>806</v>
      </c>
    </row>
    <row r="120" spans="1:12" ht="24.95" customHeight="1">
      <c r="A120" s="2686">
        <v>118</v>
      </c>
      <c r="B120" s="2686" t="s">
        <v>800</v>
      </c>
      <c r="C120" s="2689" t="s">
        <v>923</v>
      </c>
      <c r="D120" s="2686" t="str">
        <f t="shared" si="1"/>
        <v>1#地库285</v>
      </c>
      <c r="E120" s="2686" t="s">
        <v>802</v>
      </c>
      <c r="F120" s="2686" t="s">
        <v>803</v>
      </c>
      <c r="G120" s="2686" t="s">
        <v>804</v>
      </c>
      <c r="H120" s="2688">
        <v>30.6</v>
      </c>
      <c r="I120" s="2688">
        <v>12.72</v>
      </c>
      <c r="K120" s="2690" t="s">
        <v>805</v>
      </c>
      <c r="L120" s="3484" t="s">
        <v>806</v>
      </c>
    </row>
    <row r="121" spans="1:12" ht="24.95" customHeight="1">
      <c r="A121" s="2686">
        <v>119</v>
      </c>
      <c r="B121" s="2686" t="s">
        <v>800</v>
      </c>
      <c r="C121" s="2689" t="s">
        <v>924</v>
      </c>
      <c r="D121" s="2686" t="str">
        <f t="shared" si="1"/>
        <v>1#地库286</v>
      </c>
      <c r="E121" s="2686" t="s">
        <v>802</v>
      </c>
      <c r="F121" s="2686" t="s">
        <v>803</v>
      </c>
      <c r="G121" s="2686" t="s">
        <v>804</v>
      </c>
      <c r="H121" s="2688">
        <v>30.6</v>
      </c>
      <c r="I121" s="2688">
        <v>12.72</v>
      </c>
      <c r="K121" s="2690" t="s">
        <v>805</v>
      </c>
      <c r="L121" s="3484" t="s">
        <v>806</v>
      </c>
    </row>
    <row r="122" spans="1:12" ht="24.95" customHeight="1">
      <c r="A122" s="2686">
        <v>120</v>
      </c>
      <c r="B122" s="2686" t="s">
        <v>800</v>
      </c>
      <c r="C122" s="2689" t="s">
        <v>925</v>
      </c>
      <c r="D122" s="2686" t="str">
        <f t="shared" si="1"/>
        <v>1#地库287</v>
      </c>
      <c r="E122" s="2686" t="s">
        <v>802</v>
      </c>
      <c r="F122" s="2686" t="s">
        <v>803</v>
      </c>
      <c r="G122" s="2686" t="s">
        <v>804</v>
      </c>
      <c r="H122" s="2688">
        <v>30.6</v>
      </c>
      <c r="I122" s="2688">
        <v>12.72</v>
      </c>
      <c r="K122" s="2690" t="s">
        <v>805</v>
      </c>
      <c r="L122" s="3484" t="s">
        <v>806</v>
      </c>
    </row>
    <row r="123" spans="1:12" ht="24.95" customHeight="1">
      <c r="A123" s="2686">
        <v>121</v>
      </c>
      <c r="B123" s="2686" t="s">
        <v>800</v>
      </c>
      <c r="C123" s="2687" t="s">
        <v>926</v>
      </c>
      <c r="D123" s="2686" t="str">
        <f t="shared" si="1"/>
        <v>1#地库289</v>
      </c>
      <c r="E123" s="2686" t="s">
        <v>802</v>
      </c>
      <c r="F123" s="2686" t="s">
        <v>803</v>
      </c>
      <c r="G123" s="2686" t="s">
        <v>804</v>
      </c>
      <c r="H123" s="2688">
        <v>30.6</v>
      </c>
      <c r="I123" s="2688">
        <v>12.72</v>
      </c>
      <c r="K123" s="2690" t="s">
        <v>805</v>
      </c>
      <c r="L123" s="3484" t="s">
        <v>806</v>
      </c>
    </row>
    <row r="124" spans="1:12" ht="24.95" customHeight="1">
      <c r="A124" s="2686">
        <v>122</v>
      </c>
      <c r="B124" s="2686" t="s">
        <v>800</v>
      </c>
      <c r="C124" s="2687" t="s">
        <v>927</v>
      </c>
      <c r="D124" s="2686" t="str">
        <f t="shared" si="1"/>
        <v>1#地库290</v>
      </c>
      <c r="E124" s="2686" t="s">
        <v>802</v>
      </c>
      <c r="F124" s="2686" t="s">
        <v>803</v>
      </c>
      <c r="G124" s="2686" t="s">
        <v>804</v>
      </c>
      <c r="H124" s="2688">
        <v>30.6</v>
      </c>
      <c r="I124" s="2688">
        <v>12.72</v>
      </c>
      <c r="K124" s="2690" t="s">
        <v>805</v>
      </c>
      <c r="L124" s="3484" t="s">
        <v>806</v>
      </c>
    </row>
    <row r="125" spans="1:12" ht="24.95" customHeight="1">
      <c r="A125" s="2686">
        <v>123</v>
      </c>
      <c r="B125" s="2686" t="s">
        <v>800</v>
      </c>
      <c r="C125" s="2689" t="s">
        <v>928</v>
      </c>
      <c r="D125" s="2686" t="str">
        <f t="shared" si="1"/>
        <v>1#地库293</v>
      </c>
      <c r="E125" s="2686" t="s">
        <v>802</v>
      </c>
      <c r="F125" s="2686" t="s">
        <v>803</v>
      </c>
      <c r="G125" s="2686" t="s">
        <v>804</v>
      </c>
      <c r="H125" s="2688">
        <v>30.6</v>
      </c>
      <c r="I125" s="2688">
        <v>12.72</v>
      </c>
      <c r="K125" s="2690" t="s">
        <v>805</v>
      </c>
      <c r="L125" s="3484" t="s">
        <v>806</v>
      </c>
    </row>
    <row r="126" spans="1:12" ht="24.95" customHeight="1">
      <c r="A126" s="2686">
        <v>124</v>
      </c>
      <c r="B126" s="2686" t="s">
        <v>800</v>
      </c>
      <c r="C126" s="2689" t="s">
        <v>929</v>
      </c>
      <c r="D126" s="2686" t="str">
        <f t="shared" si="1"/>
        <v>1#地库294</v>
      </c>
      <c r="E126" s="2686" t="s">
        <v>802</v>
      </c>
      <c r="F126" s="2686" t="s">
        <v>803</v>
      </c>
      <c r="G126" s="2686" t="s">
        <v>804</v>
      </c>
      <c r="H126" s="2688">
        <v>30.6</v>
      </c>
      <c r="I126" s="2688">
        <v>12.72</v>
      </c>
      <c r="K126" s="2690" t="s">
        <v>805</v>
      </c>
      <c r="L126" s="3484" t="s">
        <v>806</v>
      </c>
    </row>
    <row r="127" spans="1:12" ht="24.95" customHeight="1">
      <c r="A127" s="2686">
        <v>125</v>
      </c>
      <c r="B127" s="2686" t="s">
        <v>800</v>
      </c>
      <c r="C127" s="2687" t="s">
        <v>930</v>
      </c>
      <c r="D127" s="2686" t="str">
        <f t="shared" si="1"/>
        <v>1#地库295</v>
      </c>
      <c r="E127" s="2686" t="s">
        <v>802</v>
      </c>
      <c r="F127" s="2686" t="s">
        <v>803</v>
      </c>
      <c r="G127" s="2686" t="s">
        <v>804</v>
      </c>
      <c r="H127" s="2688">
        <v>30.6</v>
      </c>
      <c r="I127" s="2688">
        <v>12.72</v>
      </c>
      <c r="K127" s="2690" t="s">
        <v>805</v>
      </c>
      <c r="L127" s="3484" t="s">
        <v>806</v>
      </c>
    </row>
    <row r="128" spans="1:12" ht="24.95" customHeight="1">
      <c r="A128" s="2686">
        <v>126</v>
      </c>
      <c r="B128" s="2686" t="s">
        <v>800</v>
      </c>
      <c r="C128" s="2689" t="s">
        <v>931</v>
      </c>
      <c r="D128" s="2686" t="str">
        <f t="shared" si="1"/>
        <v>1#地库299</v>
      </c>
      <c r="E128" s="2686" t="s">
        <v>802</v>
      </c>
      <c r="F128" s="2686" t="s">
        <v>803</v>
      </c>
      <c r="G128" s="2686" t="s">
        <v>804</v>
      </c>
      <c r="H128" s="2688">
        <v>30.6</v>
      </c>
      <c r="I128" s="2688">
        <v>12.72</v>
      </c>
      <c r="K128" s="2690" t="s">
        <v>805</v>
      </c>
      <c r="L128" s="3484" t="s">
        <v>806</v>
      </c>
    </row>
    <row r="129" spans="1:12" ht="24.95" customHeight="1">
      <c r="A129" s="2686">
        <v>127</v>
      </c>
      <c r="B129" s="2686" t="s">
        <v>800</v>
      </c>
      <c r="C129" s="2689" t="s">
        <v>932</v>
      </c>
      <c r="D129" s="2686" t="str">
        <f t="shared" si="1"/>
        <v>1#地库302</v>
      </c>
      <c r="E129" s="2686" t="s">
        <v>802</v>
      </c>
      <c r="F129" s="2686" t="s">
        <v>803</v>
      </c>
      <c r="G129" s="2686" t="s">
        <v>804</v>
      </c>
      <c r="H129" s="2688">
        <v>30.6</v>
      </c>
      <c r="I129" s="2688">
        <v>12.72</v>
      </c>
      <c r="K129" s="2690" t="s">
        <v>805</v>
      </c>
      <c r="L129" s="3484" t="s">
        <v>806</v>
      </c>
    </row>
    <row r="130" spans="1:12" ht="24.95" customHeight="1">
      <c r="A130" s="2686">
        <v>128</v>
      </c>
      <c r="B130" s="2686" t="s">
        <v>800</v>
      </c>
      <c r="C130" s="2687" t="s">
        <v>933</v>
      </c>
      <c r="D130" s="2686" t="str">
        <f t="shared" si="1"/>
        <v>1#地库304</v>
      </c>
      <c r="E130" s="2686" t="s">
        <v>802</v>
      </c>
      <c r="F130" s="2686" t="s">
        <v>803</v>
      </c>
      <c r="G130" s="2686" t="s">
        <v>804</v>
      </c>
      <c r="H130" s="2688">
        <v>30.6</v>
      </c>
      <c r="I130" s="2688">
        <v>12.72</v>
      </c>
      <c r="K130" s="2690" t="s">
        <v>805</v>
      </c>
      <c r="L130" s="3484" t="s">
        <v>806</v>
      </c>
    </row>
    <row r="131" spans="1:12" ht="24.95" customHeight="1">
      <c r="A131" s="2686">
        <v>129</v>
      </c>
      <c r="B131" s="2686" t="s">
        <v>800</v>
      </c>
      <c r="C131" s="2689" t="s">
        <v>934</v>
      </c>
      <c r="D131" s="2686" t="str">
        <f t="shared" si="1"/>
        <v>1#地库305</v>
      </c>
      <c r="E131" s="2686" t="s">
        <v>802</v>
      </c>
      <c r="F131" s="2686" t="s">
        <v>803</v>
      </c>
      <c r="G131" s="2686" t="s">
        <v>804</v>
      </c>
      <c r="H131" s="2688">
        <v>30.6</v>
      </c>
      <c r="I131" s="2688">
        <v>12.72</v>
      </c>
      <c r="K131" s="2690" t="s">
        <v>805</v>
      </c>
      <c r="L131" s="3484" t="s">
        <v>806</v>
      </c>
    </row>
    <row r="132" spans="1:12" ht="24.95" customHeight="1">
      <c r="A132" s="2686">
        <v>130</v>
      </c>
      <c r="B132" s="2686" t="s">
        <v>800</v>
      </c>
      <c r="C132" s="2689" t="s">
        <v>935</v>
      </c>
      <c r="D132" s="2686" t="str">
        <f t="shared" si="1"/>
        <v>1#地库306</v>
      </c>
      <c r="E132" s="2686" t="s">
        <v>802</v>
      </c>
      <c r="F132" s="2686" t="s">
        <v>803</v>
      </c>
      <c r="G132" s="2686" t="s">
        <v>804</v>
      </c>
      <c r="H132" s="2688">
        <v>30.6</v>
      </c>
      <c r="I132" s="2688">
        <v>12.72</v>
      </c>
      <c r="K132" s="2690" t="s">
        <v>805</v>
      </c>
      <c r="L132" s="3484" t="s">
        <v>806</v>
      </c>
    </row>
    <row r="133" spans="1:12" ht="24.95" customHeight="1">
      <c r="A133" s="2686">
        <v>131</v>
      </c>
      <c r="B133" s="2686" t="s">
        <v>800</v>
      </c>
      <c r="C133" s="2687" t="s">
        <v>936</v>
      </c>
      <c r="D133" s="2686" t="str">
        <f t="shared" si="1"/>
        <v>1#地库310</v>
      </c>
      <c r="E133" s="2686" t="s">
        <v>802</v>
      </c>
      <c r="F133" s="2686" t="s">
        <v>803</v>
      </c>
      <c r="G133" s="2686" t="s">
        <v>804</v>
      </c>
      <c r="H133" s="2688">
        <v>30.6</v>
      </c>
      <c r="I133" s="2688">
        <v>12.72</v>
      </c>
      <c r="K133" s="2690" t="s">
        <v>805</v>
      </c>
      <c r="L133" s="3484" t="s">
        <v>806</v>
      </c>
    </row>
    <row r="134" spans="1:12" ht="24.95" customHeight="1">
      <c r="A134" s="2686">
        <v>132</v>
      </c>
      <c r="B134" s="2686" t="s">
        <v>800</v>
      </c>
      <c r="C134" s="2689" t="s">
        <v>937</v>
      </c>
      <c r="D134" s="2686" t="str">
        <f t="shared" si="1"/>
        <v>1#地库312</v>
      </c>
      <c r="E134" s="2686" t="s">
        <v>802</v>
      </c>
      <c r="F134" s="2686" t="s">
        <v>803</v>
      </c>
      <c r="G134" s="2686" t="s">
        <v>804</v>
      </c>
      <c r="H134" s="2688">
        <v>30.6</v>
      </c>
      <c r="I134" s="2688">
        <v>12.72</v>
      </c>
      <c r="K134" s="2690" t="s">
        <v>805</v>
      </c>
      <c r="L134" s="3484" t="s">
        <v>806</v>
      </c>
    </row>
    <row r="135" spans="1:12" ht="24.95" customHeight="1">
      <c r="A135" s="2686">
        <v>133</v>
      </c>
      <c r="B135" s="2686" t="s">
        <v>800</v>
      </c>
      <c r="C135" s="2687" t="s">
        <v>938</v>
      </c>
      <c r="D135" s="2686" t="str">
        <f t="shared" si="1"/>
        <v>1#地库313</v>
      </c>
      <c r="E135" s="2686" t="s">
        <v>802</v>
      </c>
      <c r="F135" s="2686" t="s">
        <v>803</v>
      </c>
      <c r="G135" s="2686" t="s">
        <v>804</v>
      </c>
      <c r="H135" s="2688">
        <v>30.6</v>
      </c>
      <c r="I135" s="2688">
        <v>12.72</v>
      </c>
      <c r="K135" s="2690" t="s">
        <v>805</v>
      </c>
      <c r="L135" s="3484" t="s">
        <v>806</v>
      </c>
    </row>
    <row r="136" spans="1:12" ht="24.95" customHeight="1">
      <c r="A136" s="2686">
        <v>134</v>
      </c>
      <c r="B136" s="2686" t="s">
        <v>800</v>
      </c>
      <c r="C136" s="2689" t="s">
        <v>939</v>
      </c>
      <c r="D136" s="2686" t="str">
        <f t="shared" ref="D136:D199" si="2">B136&amp;C136</f>
        <v>1#地库314</v>
      </c>
      <c r="E136" s="2686" t="s">
        <v>802</v>
      </c>
      <c r="F136" s="2686" t="s">
        <v>803</v>
      </c>
      <c r="G136" s="2686" t="s">
        <v>804</v>
      </c>
      <c r="H136" s="2688">
        <v>30.6</v>
      </c>
      <c r="I136" s="2688">
        <v>12.72</v>
      </c>
      <c r="K136" s="2690" t="s">
        <v>805</v>
      </c>
      <c r="L136" s="3484" t="s">
        <v>806</v>
      </c>
    </row>
    <row r="137" spans="1:12" ht="24.95" customHeight="1">
      <c r="A137" s="2686">
        <v>135</v>
      </c>
      <c r="B137" s="2686" t="s">
        <v>800</v>
      </c>
      <c r="C137" s="2689" t="s">
        <v>940</v>
      </c>
      <c r="D137" s="2686" t="str">
        <f t="shared" si="2"/>
        <v>1#地库315</v>
      </c>
      <c r="E137" s="2686" t="s">
        <v>802</v>
      </c>
      <c r="F137" s="2686" t="s">
        <v>803</v>
      </c>
      <c r="G137" s="2686" t="s">
        <v>804</v>
      </c>
      <c r="H137" s="2688">
        <v>30.6</v>
      </c>
      <c r="I137" s="2688">
        <v>12.72</v>
      </c>
      <c r="K137" s="2690" t="s">
        <v>805</v>
      </c>
      <c r="L137" s="3484" t="s">
        <v>806</v>
      </c>
    </row>
    <row r="138" spans="1:12" ht="24.95" customHeight="1">
      <c r="A138" s="2686">
        <v>136</v>
      </c>
      <c r="B138" s="2686" t="s">
        <v>800</v>
      </c>
      <c r="C138" s="2687" t="s">
        <v>941</v>
      </c>
      <c r="D138" s="2686" t="str">
        <f t="shared" si="2"/>
        <v>1#地库316</v>
      </c>
      <c r="E138" s="2686" t="s">
        <v>802</v>
      </c>
      <c r="F138" s="2686" t="s">
        <v>803</v>
      </c>
      <c r="G138" s="2686" t="s">
        <v>804</v>
      </c>
      <c r="H138" s="2688">
        <v>30.6</v>
      </c>
      <c r="I138" s="2688">
        <v>12.72</v>
      </c>
      <c r="K138" s="2690" t="s">
        <v>805</v>
      </c>
      <c r="L138" s="3484" t="s">
        <v>806</v>
      </c>
    </row>
    <row r="139" spans="1:12" ht="24.95" customHeight="1">
      <c r="A139" s="2686">
        <v>137</v>
      </c>
      <c r="B139" s="2686" t="s">
        <v>800</v>
      </c>
      <c r="C139" s="2687" t="s">
        <v>942</v>
      </c>
      <c r="D139" s="2686" t="str">
        <f t="shared" si="2"/>
        <v>1#地库318</v>
      </c>
      <c r="E139" s="2686" t="s">
        <v>802</v>
      </c>
      <c r="F139" s="2686" t="s">
        <v>803</v>
      </c>
      <c r="G139" s="2686" t="s">
        <v>804</v>
      </c>
      <c r="H139" s="2688">
        <v>30.6</v>
      </c>
      <c r="I139" s="2688">
        <v>12.72</v>
      </c>
      <c r="K139" s="2690" t="s">
        <v>805</v>
      </c>
      <c r="L139" s="3484" t="s">
        <v>806</v>
      </c>
    </row>
    <row r="140" spans="1:12" ht="24.95" customHeight="1">
      <c r="A140" s="2686">
        <v>138</v>
      </c>
      <c r="B140" s="2686" t="s">
        <v>800</v>
      </c>
      <c r="C140" s="2687" t="s">
        <v>943</v>
      </c>
      <c r="D140" s="2686" t="str">
        <f t="shared" si="2"/>
        <v>1#地库322</v>
      </c>
      <c r="E140" s="2686" t="s">
        <v>802</v>
      </c>
      <c r="F140" s="2686" t="s">
        <v>803</v>
      </c>
      <c r="G140" s="2686" t="s">
        <v>804</v>
      </c>
      <c r="H140" s="2688">
        <v>31.88</v>
      </c>
      <c r="I140" s="2688">
        <v>13.25</v>
      </c>
      <c r="K140" s="2690" t="s">
        <v>805</v>
      </c>
      <c r="L140" s="3484" t="s">
        <v>806</v>
      </c>
    </row>
    <row r="141" spans="1:12" ht="24.95" customHeight="1">
      <c r="A141" s="2686">
        <v>139</v>
      </c>
      <c r="B141" s="2686" t="s">
        <v>800</v>
      </c>
      <c r="C141" s="2687" t="s">
        <v>944</v>
      </c>
      <c r="D141" s="2686" t="str">
        <f t="shared" si="2"/>
        <v>1#地库323</v>
      </c>
      <c r="E141" s="2686" t="s">
        <v>802</v>
      </c>
      <c r="F141" s="2686" t="s">
        <v>803</v>
      </c>
      <c r="G141" s="2686" t="s">
        <v>804</v>
      </c>
      <c r="H141" s="2688">
        <v>30.6</v>
      </c>
      <c r="I141" s="2688">
        <v>12.72</v>
      </c>
      <c r="K141" s="2690" t="s">
        <v>805</v>
      </c>
      <c r="L141" s="3484" t="s">
        <v>806</v>
      </c>
    </row>
    <row r="142" spans="1:12" ht="24.95" customHeight="1">
      <c r="A142" s="2686">
        <v>140</v>
      </c>
      <c r="B142" s="2686" t="s">
        <v>800</v>
      </c>
      <c r="C142" s="2689" t="s">
        <v>945</v>
      </c>
      <c r="D142" s="2686" t="str">
        <f t="shared" si="2"/>
        <v>1#地库324</v>
      </c>
      <c r="E142" s="2686" t="s">
        <v>802</v>
      </c>
      <c r="F142" s="2686" t="s">
        <v>803</v>
      </c>
      <c r="G142" s="2686" t="s">
        <v>804</v>
      </c>
      <c r="H142" s="2688">
        <v>30.6</v>
      </c>
      <c r="I142" s="2688">
        <v>12.72</v>
      </c>
      <c r="K142" s="2690" t="s">
        <v>805</v>
      </c>
      <c r="L142" s="3484" t="s">
        <v>806</v>
      </c>
    </row>
    <row r="143" spans="1:12" ht="24.95" customHeight="1">
      <c r="A143" s="2686">
        <v>141</v>
      </c>
      <c r="B143" s="2686" t="s">
        <v>800</v>
      </c>
      <c r="C143" s="2689" t="s">
        <v>946</v>
      </c>
      <c r="D143" s="2686" t="str">
        <f t="shared" si="2"/>
        <v>1#地库329</v>
      </c>
      <c r="E143" s="2686" t="s">
        <v>802</v>
      </c>
      <c r="F143" s="2686" t="s">
        <v>803</v>
      </c>
      <c r="G143" s="2686" t="s">
        <v>804</v>
      </c>
      <c r="H143" s="2688">
        <v>30.6</v>
      </c>
      <c r="I143" s="2688">
        <v>12.72</v>
      </c>
      <c r="K143" s="2690" t="s">
        <v>805</v>
      </c>
      <c r="L143" s="3484" t="s">
        <v>806</v>
      </c>
    </row>
    <row r="144" spans="1:12" ht="24.95" customHeight="1">
      <c r="A144" s="2686">
        <v>142</v>
      </c>
      <c r="B144" s="2686" t="s">
        <v>800</v>
      </c>
      <c r="C144" s="2689" t="s">
        <v>947</v>
      </c>
      <c r="D144" s="2686" t="str">
        <f t="shared" si="2"/>
        <v>1#地库331</v>
      </c>
      <c r="E144" s="2686" t="s">
        <v>802</v>
      </c>
      <c r="F144" s="2686" t="s">
        <v>803</v>
      </c>
      <c r="G144" s="2686" t="s">
        <v>804</v>
      </c>
      <c r="H144" s="2688">
        <v>30.6</v>
      </c>
      <c r="I144" s="2688">
        <v>12.72</v>
      </c>
      <c r="K144" s="2690" t="s">
        <v>805</v>
      </c>
      <c r="L144" s="3484" t="s">
        <v>806</v>
      </c>
    </row>
    <row r="145" spans="1:12" ht="24.95" customHeight="1">
      <c r="A145" s="2686">
        <v>143</v>
      </c>
      <c r="B145" s="2686" t="s">
        <v>800</v>
      </c>
      <c r="C145" s="2687" t="s">
        <v>948</v>
      </c>
      <c r="D145" s="2686" t="str">
        <f t="shared" si="2"/>
        <v>1#地库333</v>
      </c>
      <c r="E145" s="2686" t="s">
        <v>802</v>
      </c>
      <c r="F145" s="2686" t="s">
        <v>803</v>
      </c>
      <c r="G145" s="2686" t="s">
        <v>804</v>
      </c>
      <c r="H145" s="2688">
        <v>30.6</v>
      </c>
      <c r="I145" s="2688">
        <v>12.72</v>
      </c>
      <c r="K145" s="2690" t="s">
        <v>805</v>
      </c>
      <c r="L145" s="3484" t="s">
        <v>806</v>
      </c>
    </row>
    <row r="146" spans="1:12" ht="24.95" customHeight="1">
      <c r="A146" s="2686">
        <v>144</v>
      </c>
      <c r="B146" s="2686" t="s">
        <v>800</v>
      </c>
      <c r="C146" s="2689" t="s">
        <v>949</v>
      </c>
      <c r="D146" s="2686" t="str">
        <f t="shared" si="2"/>
        <v>1#地库334</v>
      </c>
      <c r="E146" s="2686" t="s">
        <v>802</v>
      </c>
      <c r="F146" s="2686" t="s">
        <v>803</v>
      </c>
      <c r="G146" s="2686" t="s">
        <v>804</v>
      </c>
      <c r="H146" s="2688">
        <v>30.6</v>
      </c>
      <c r="I146" s="2688">
        <v>12.72</v>
      </c>
      <c r="K146" s="2690" t="s">
        <v>805</v>
      </c>
      <c r="L146" s="3484" t="s">
        <v>806</v>
      </c>
    </row>
    <row r="147" spans="1:12" ht="24.95" customHeight="1">
      <c r="A147" s="2686">
        <v>145</v>
      </c>
      <c r="B147" s="2686" t="s">
        <v>800</v>
      </c>
      <c r="C147" s="2689" t="s">
        <v>950</v>
      </c>
      <c r="D147" s="2686" t="str">
        <f t="shared" si="2"/>
        <v>1#地库376</v>
      </c>
      <c r="E147" s="2686" t="s">
        <v>802</v>
      </c>
      <c r="F147" s="2686" t="s">
        <v>803</v>
      </c>
      <c r="G147" s="2686" t="s">
        <v>804</v>
      </c>
      <c r="H147" s="2688">
        <v>30.6</v>
      </c>
      <c r="I147" s="2688">
        <v>12.72</v>
      </c>
      <c r="K147" s="2690" t="s">
        <v>805</v>
      </c>
      <c r="L147" s="3484" t="s">
        <v>806</v>
      </c>
    </row>
    <row r="148" spans="1:12" ht="24.95" customHeight="1">
      <c r="A148" s="2686">
        <v>146</v>
      </c>
      <c r="B148" s="2686" t="s">
        <v>800</v>
      </c>
      <c r="C148" s="2689" t="s">
        <v>951</v>
      </c>
      <c r="D148" s="2686" t="str">
        <f t="shared" si="2"/>
        <v>1#地库393</v>
      </c>
      <c r="E148" s="2686" t="s">
        <v>802</v>
      </c>
      <c r="F148" s="2686" t="s">
        <v>803</v>
      </c>
      <c r="G148" s="2686" t="s">
        <v>804</v>
      </c>
      <c r="H148" s="2688">
        <v>30.6</v>
      </c>
      <c r="I148" s="2688">
        <v>12.72</v>
      </c>
      <c r="K148" s="2690" t="s">
        <v>805</v>
      </c>
      <c r="L148" s="3484" t="s">
        <v>806</v>
      </c>
    </row>
    <row r="149" spans="1:12" ht="24.95" customHeight="1">
      <c r="A149" s="2686">
        <v>147</v>
      </c>
      <c r="B149" s="2686" t="s">
        <v>800</v>
      </c>
      <c r="C149" s="2689" t="s">
        <v>952</v>
      </c>
      <c r="D149" s="2686" t="str">
        <f t="shared" si="2"/>
        <v>1#地库397</v>
      </c>
      <c r="E149" s="2686" t="s">
        <v>802</v>
      </c>
      <c r="F149" s="2686" t="s">
        <v>803</v>
      </c>
      <c r="G149" s="2686" t="s">
        <v>804</v>
      </c>
      <c r="H149" s="2688">
        <v>30.6</v>
      </c>
      <c r="I149" s="2688">
        <v>12.72</v>
      </c>
      <c r="K149" s="2690" t="s">
        <v>805</v>
      </c>
      <c r="L149" s="3484" t="s">
        <v>806</v>
      </c>
    </row>
    <row r="150" spans="1:12" ht="24.95" customHeight="1">
      <c r="A150" s="2686">
        <v>148</v>
      </c>
      <c r="B150" s="2686" t="s">
        <v>800</v>
      </c>
      <c r="C150" s="2689" t="s">
        <v>953</v>
      </c>
      <c r="D150" s="2686" t="str">
        <f t="shared" si="2"/>
        <v>1#地库398</v>
      </c>
      <c r="E150" s="2686" t="s">
        <v>802</v>
      </c>
      <c r="F150" s="2686" t="s">
        <v>803</v>
      </c>
      <c r="G150" s="2686" t="s">
        <v>804</v>
      </c>
      <c r="H150" s="2688">
        <v>30.6</v>
      </c>
      <c r="I150" s="2688">
        <v>12.72</v>
      </c>
      <c r="K150" s="2690" t="s">
        <v>805</v>
      </c>
      <c r="L150" s="3484" t="s">
        <v>806</v>
      </c>
    </row>
    <row r="151" spans="1:12" ht="24.95" customHeight="1">
      <c r="A151" s="2686">
        <v>149</v>
      </c>
      <c r="B151" s="2686" t="s">
        <v>800</v>
      </c>
      <c r="C151" s="2689" t="s">
        <v>954</v>
      </c>
      <c r="D151" s="2686" t="str">
        <f t="shared" si="2"/>
        <v>1#地库399</v>
      </c>
      <c r="E151" s="2686" t="s">
        <v>802</v>
      </c>
      <c r="F151" s="2686" t="s">
        <v>803</v>
      </c>
      <c r="G151" s="2686" t="s">
        <v>804</v>
      </c>
      <c r="H151" s="2688">
        <v>30.6</v>
      </c>
      <c r="I151" s="2688">
        <v>12.72</v>
      </c>
      <c r="K151" s="2690" t="s">
        <v>805</v>
      </c>
      <c r="L151" s="3484" t="s">
        <v>806</v>
      </c>
    </row>
    <row r="152" spans="1:12" ht="24.95" customHeight="1">
      <c r="A152" s="2686">
        <v>150</v>
      </c>
      <c r="B152" s="2686" t="s">
        <v>800</v>
      </c>
      <c r="C152" s="2689" t="s">
        <v>955</v>
      </c>
      <c r="D152" s="2686" t="str">
        <f t="shared" si="2"/>
        <v>1#地库401</v>
      </c>
      <c r="E152" s="2686" t="s">
        <v>802</v>
      </c>
      <c r="F152" s="2686" t="s">
        <v>803</v>
      </c>
      <c r="G152" s="2686" t="s">
        <v>804</v>
      </c>
      <c r="H152" s="2688">
        <v>31.88</v>
      </c>
      <c r="I152" s="2688">
        <v>13.25</v>
      </c>
      <c r="K152" s="2690" t="s">
        <v>805</v>
      </c>
      <c r="L152" s="3484" t="s">
        <v>806</v>
      </c>
    </row>
    <row r="153" spans="1:12" ht="24.95" customHeight="1">
      <c r="A153" s="2686">
        <v>151</v>
      </c>
      <c r="B153" s="2686" t="s">
        <v>800</v>
      </c>
      <c r="C153" s="2689" t="s">
        <v>956</v>
      </c>
      <c r="D153" s="2686" t="str">
        <f t="shared" si="2"/>
        <v>1#地库405</v>
      </c>
      <c r="E153" s="2686" t="s">
        <v>802</v>
      </c>
      <c r="F153" s="2686" t="s">
        <v>803</v>
      </c>
      <c r="G153" s="2686" t="s">
        <v>804</v>
      </c>
      <c r="H153" s="2688">
        <v>30.6</v>
      </c>
      <c r="I153" s="2688">
        <v>12.72</v>
      </c>
      <c r="K153" s="2690" t="s">
        <v>805</v>
      </c>
      <c r="L153" s="3484" t="s">
        <v>806</v>
      </c>
    </row>
    <row r="154" spans="1:12" ht="24.95" customHeight="1">
      <c r="A154" s="2686">
        <v>152</v>
      </c>
      <c r="B154" s="2686" t="s">
        <v>800</v>
      </c>
      <c r="C154" s="2689" t="s">
        <v>957</v>
      </c>
      <c r="D154" s="2686" t="str">
        <f t="shared" si="2"/>
        <v>1#地库409</v>
      </c>
      <c r="E154" s="2686" t="s">
        <v>802</v>
      </c>
      <c r="F154" s="2686" t="s">
        <v>803</v>
      </c>
      <c r="G154" s="2686" t="s">
        <v>804</v>
      </c>
      <c r="H154" s="2688">
        <v>30.6</v>
      </c>
      <c r="I154" s="2688">
        <v>12.72</v>
      </c>
      <c r="K154" s="2690" t="s">
        <v>805</v>
      </c>
      <c r="L154" s="3484" t="s">
        <v>806</v>
      </c>
    </row>
    <row r="155" spans="1:12" ht="24.95" customHeight="1">
      <c r="A155" s="2686">
        <v>153</v>
      </c>
      <c r="B155" s="2686" t="s">
        <v>800</v>
      </c>
      <c r="C155" s="2689" t="s">
        <v>958</v>
      </c>
      <c r="D155" s="2686" t="str">
        <f t="shared" si="2"/>
        <v>1#地库412</v>
      </c>
      <c r="E155" s="2686" t="s">
        <v>802</v>
      </c>
      <c r="F155" s="2686" t="s">
        <v>803</v>
      </c>
      <c r="G155" s="2686" t="s">
        <v>804</v>
      </c>
      <c r="H155" s="2688">
        <v>30.6</v>
      </c>
      <c r="I155" s="2688">
        <v>12.72</v>
      </c>
      <c r="K155" s="2690" t="s">
        <v>805</v>
      </c>
      <c r="L155" s="3484" t="s">
        <v>806</v>
      </c>
    </row>
    <row r="156" spans="1:12" ht="24.95" customHeight="1">
      <c r="A156" s="2686">
        <v>154</v>
      </c>
      <c r="B156" s="2686" t="s">
        <v>800</v>
      </c>
      <c r="C156" s="2689" t="s">
        <v>959</v>
      </c>
      <c r="D156" s="2686" t="str">
        <f t="shared" si="2"/>
        <v>1#地库413</v>
      </c>
      <c r="E156" s="2686" t="s">
        <v>802</v>
      </c>
      <c r="F156" s="2686" t="s">
        <v>803</v>
      </c>
      <c r="G156" s="2686" t="s">
        <v>804</v>
      </c>
      <c r="H156" s="2688">
        <v>30.6</v>
      </c>
      <c r="I156" s="2688">
        <v>12.72</v>
      </c>
      <c r="K156" s="2690" t="s">
        <v>805</v>
      </c>
      <c r="L156" s="3484" t="s">
        <v>806</v>
      </c>
    </row>
    <row r="157" spans="1:12" ht="24.95" customHeight="1">
      <c r="A157" s="2686">
        <v>155</v>
      </c>
      <c r="B157" s="2686" t="s">
        <v>800</v>
      </c>
      <c r="C157" s="2687" t="s">
        <v>960</v>
      </c>
      <c r="D157" s="2686" t="str">
        <f t="shared" si="2"/>
        <v>1#地库414</v>
      </c>
      <c r="E157" s="2686" t="s">
        <v>802</v>
      </c>
      <c r="F157" s="2686" t="s">
        <v>803</v>
      </c>
      <c r="G157" s="2686" t="s">
        <v>804</v>
      </c>
      <c r="H157" s="2688">
        <v>30.6</v>
      </c>
      <c r="I157" s="2688">
        <v>12.72</v>
      </c>
      <c r="K157" s="2690" t="s">
        <v>805</v>
      </c>
      <c r="L157" s="3484" t="s">
        <v>806</v>
      </c>
    </row>
    <row r="158" spans="1:12" ht="24.95" customHeight="1">
      <c r="A158" s="2686">
        <v>156</v>
      </c>
      <c r="B158" s="2686" t="s">
        <v>800</v>
      </c>
      <c r="C158" s="2687" t="s">
        <v>961</v>
      </c>
      <c r="D158" s="2686" t="str">
        <f t="shared" si="2"/>
        <v>1#地库415</v>
      </c>
      <c r="E158" s="2686" t="s">
        <v>802</v>
      </c>
      <c r="F158" s="2686" t="s">
        <v>803</v>
      </c>
      <c r="G158" s="2686" t="s">
        <v>804</v>
      </c>
      <c r="H158" s="2688">
        <v>30.6</v>
      </c>
      <c r="I158" s="2688">
        <v>12.72</v>
      </c>
      <c r="K158" s="2690" t="s">
        <v>805</v>
      </c>
      <c r="L158" s="3484" t="s">
        <v>806</v>
      </c>
    </row>
    <row r="159" spans="1:12" ht="24.95" customHeight="1">
      <c r="A159" s="2686">
        <v>157</v>
      </c>
      <c r="B159" s="2686" t="s">
        <v>800</v>
      </c>
      <c r="C159" s="2687" t="s">
        <v>962</v>
      </c>
      <c r="D159" s="2686" t="str">
        <f t="shared" si="2"/>
        <v>1#地库416</v>
      </c>
      <c r="E159" s="2686" t="s">
        <v>802</v>
      </c>
      <c r="F159" s="2686" t="s">
        <v>803</v>
      </c>
      <c r="G159" s="2686" t="s">
        <v>804</v>
      </c>
      <c r="H159" s="2688">
        <v>30.6</v>
      </c>
      <c r="I159" s="2688">
        <v>12.72</v>
      </c>
      <c r="K159" s="2690" t="s">
        <v>805</v>
      </c>
      <c r="L159" s="3484" t="s">
        <v>806</v>
      </c>
    </row>
    <row r="160" spans="1:12" ht="24.95" customHeight="1">
      <c r="A160" s="2686">
        <v>158</v>
      </c>
      <c r="B160" s="2686" t="s">
        <v>800</v>
      </c>
      <c r="C160" s="2689" t="s">
        <v>963</v>
      </c>
      <c r="D160" s="2686" t="str">
        <f t="shared" si="2"/>
        <v>1#地库418</v>
      </c>
      <c r="E160" s="2686" t="s">
        <v>802</v>
      </c>
      <c r="F160" s="2686" t="s">
        <v>803</v>
      </c>
      <c r="G160" s="2686" t="s">
        <v>804</v>
      </c>
      <c r="H160" s="2688">
        <v>30.6</v>
      </c>
      <c r="I160" s="2688">
        <v>12.72</v>
      </c>
      <c r="K160" s="2690" t="s">
        <v>805</v>
      </c>
      <c r="L160" s="3484" t="s">
        <v>806</v>
      </c>
    </row>
    <row r="161" spans="1:12" ht="24.95" customHeight="1">
      <c r="A161" s="2686">
        <v>159</v>
      </c>
      <c r="B161" s="2686" t="s">
        <v>800</v>
      </c>
      <c r="C161" s="2687" t="s">
        <v>964</v>
      </c>
      <c r="D161" s="2686" t="str">
        <f t="shared" si="2"/>
        <v>1#地库419</v>
      </c>
      <c r="E161" s="2686" t="s">
        <v>802</v>
      </c>
      <c r="F161" s="2686" t="s">
        <v>803</v>
      </c>
      <c r="G161" s="2686" t="s">
        <v>804</v>
      </c>
      <c r="H161" s="2688">
        <v>30.6</v>
      </c>
      <c r="I161" s="2688">
        <v>12.72</v>
      </c>
      <c r="K161" s="2690" t="s">
        <v>805</v>
      </c>
      <c r="L161" s="3484" t="s">
        <v>806</v>
      </c>
    </row>
    <row r="162" spans="1:12" ht="24.95" customHeight="1">
      <c r="A162" s="2686">
        <v>160</v>
      </c>
      <c r="B162" s="2686" t="s">
        <v>800</v>
      </c>
      <c r="C162" s="2687" t="s">
        <v>965</v>
      </c>
      <c r="D162" s="2686" t="str">
        <f t="shared" si="2"/>
        <v>1#地库421</v>
      </c>
      <c r="E162" s="2686" t="s">
        <v>802</v>
      </c>
      <c r="F162" s="2686" t="s">
        <v>803</v>
      </c>
      <c r="G162" s="2686" t="s">
        <v>804</v>
      </c>
      <c r="H162" s="2688">
        <v>30.6</v>
      </c>
      <c r="I162" s="2688">
        <v>12.72</v>
      </c>
      <c r="K162" s="2690" t="s">
        <v>805</v>
      </c>
      <c r="L162" s="3484" t="s">
        <v>806</v>
      </c>
    </row>
    <row r="163" spans="1:12" ht="24.95" customHeight="1">
      <c r="A163" s="2686">
        <v>161</v>
      </c>
      <c r="B163" s="2686" t="s">
        <v>800</v>
      </c>
      <c r="C163" s="2687" t="s">
        <v>966</v>
      </c>
      <c r="D163" s="2686" t="str">
        <f t="shared" si="2"/>
        <v>1#地库422</v>
      </c>
      <c r="E163" s="2686" t="s">
        <v>802</v>
      </c>
      <c r="F163" s="2686" t="s">
        <v>803</v>
      </c>
      <c r="G163" s="2686" t="s">
        <v>804</v>
      </c>
      <c r="H163" s="2688">
        <v>30.6</v>
      </c>
      <c r="I163" s="2688">
        <v>12.72</v>
      </c>
      <c r="K163" s="2690" t="s">
        <v>805</v>
      </c>
      <c r="L163" s="3484" t="s">
        <v>806</v>
      </c>
    </row>
    <row r="164" spans="1:12" ht="24.95" customHeight="1">
      <c r="A164" s="2686">
        <v>162</v>
      </c>
      <c r="B164" s="2686" t="s">
        <v>800</v>
      </c>
      <c r="C164" s="2687" t="s">
        <v>967</v>
      </c>
      <c r="D164" s="2686" t="str">
        <f t="shared" si="2"/>
        <v>1#地库423</v>
      </c>
      <c r="E164" s="2686" t="s">
        <v>802</v>
      </c>
      <c r="F164" s="2686" t="s">
        <v>803</v>
      </c>
      <c r="G164" s="2686" t="s">
        <v>804</v>
      </c>
      <c r="H164" s="2688">
        <v>30.6</v>
      </c>
      <c r="I164" s="2688">
        <v>12.72</v>
      </c>
      <c r="K164" s="2690" t="s">
        <v>805</v>
      </c>
      <c r="L164" s="3484" t="s">
        <v>806</v>
      </c>
    </row>
    <row r="165" spans="1:12" ht="24.95" customHeight="1">
      <c r="A165" s="2686">
        <v>163</v>
      </c>
      <c r="B165" s="2686" t="s">
        <v>800</v>
      </c>
      <c r="C165" s="2687" t="s">
        <v>968</v>
      </c>
      <c r="D165" s="2686" t="str">
        <f t="shared" si="2"/>
        <v>1#地库424</v>
      </c>
      <c r="E165" s="2686" t="s">
        <v>802</v>
      </c>
      <c r="F165" s="2686" t="s">
        <v>803</v>
      </c>
      <c r="G165" s="2686" t="s">
        <v>804</v>
      </c>
      <c r="H165" s="2688">
        <v>30.6</v>
      </c>
      <c r="I165" s="2688">
        <v>12.72</v>
      </c>
      <c r="K165" s="2690" t="s">
        <v>805</v>
      </c>
      <c r="L165" s="3484" t="s">
        <v>806</v>
      </c>
    </row>
    <row r="166" spans="1:12" ht="24.95" customHeight="1">
      <c r="A166" s="2686">
        <v>164</v>
      </c>
      <c r="B166" s="2686" t="s">
        <v>800</v>
      </c>
      <c r="C166" s="2689" t="s">
        <v>969</v>
      </c>
      <c r="D166" s="2686" t="str">
        <f t="shared" si="2"/>
        <v>1#地库425</v>
      </c>
      <c r="E166" s="2686" t="s">
        <v>802</v>
      </c>
      <c r="F166" s="2686" t="s">
        <v>803</v>
      </c>
      <c r="G166" s="2686" t="s">
        <v>804</v>
      </c>
      <c r="H166" s="2688">
        <v>30.6</v>
      </c>
      <c r="I166" s="2688">
        <v>12.72</v>
      </c>
      <c r="K166" s="2690" t="s">
        <v>805</v>
      </c>
      <c r="L166" s="3484" t="s">
        <v>806</v>
      </c>
    </row>
    <row r="167" spans="1:12" ht="24.95" customHeight="1">
      <c r="A167" s="2686">
        <v>165</v>
      </c>
      <c r="B167" s="2686" t="s">
        <v>800</v>
      </c>
      <c r="C167" s="2687" t="s">
        <v>970</v>
      </c>
      <c r="D167" s="2686" t="str">
        <f t="shared" si="2"/>
        <v>1#地库426</v>
      </c>
      <c r="E167" s="2686" t="s">
        <v>802</v>
      </c>
      <c r="F167" s="2686" t="s">
        <v>803</v>
      </c>
      <c r="G167" s="2686" t="s">
        <v>804</v>
      </c>
      <c r="H167" s="2688">
        <v>30.6</v>
      </c>
      <c r="I167" s="2688">
        <v>12.72</v>
      </c>
      <c r="K167" s="2690" t="s">
        <v>805</v>
      </c>
      <c r="L167" s="3484" t="s">
        <v>806</v>
      </c>
    </row>
    <row r="168" spans="1:12" ht="24.95" customHeight="1">
      <c r="A168" s="2686">
        <v>166</v>
      </c>
      <c r="B168" s="2686" t="s">
        <v>800</v>
      </c>
      <c r="C168" s="2687" t="s">
        <v>971</v>
      </c>
      <c r="D168" s="2686" t="str">
        <f t="shared" si="2"/>
        <v>1#地库427</v>
      </c>
      <c r="E168" s="2686" t="s">
        <v>802</v>
      </c>
      <c r="F168" s="2686" t="s">
        <v>803</v>
      </c>
      <c r="G168" s="2686" t="s">
        <v>804</v>
      </c>
      <c r="H168" s="2688">
        <v>30.6</v>
      </c>
      <c r="I168" s="2688">
        <v>12.72</v>
      </c>
      <c r="K168" s="2690" t="s">
        <v>805</v>
      </c>
      <c r="L168" s="3484" t="s">
        <v>806</v>
      </c>
    </row>
    <row r="169" spans="1:12" ht="24.95" customHeight="1">
      <c r="A169" s="2686">
        <v>167</v>
      </c>
      <c r="B169" s="2686" t="s">
        <v>800</v>
      </c>
      <c r="C169" s="2687" t="s">
        <v>972</v>
      </c>
      <c r="D169" s="2686" t="str">
        <f t="shared" si="2"/>
        <v>1#地库430</v>
      </c>
      <c r="E169" s="2686" t="s">
        <v>802</v>
      </c>
      <c r="F169" s="2686" t="s">
        <v>803</v>
      </c>
      <c r="G169" s="2686" t="s">
        <v>804</v>
      </c>
      <c r="H169" s="2688">
        <v>30.6</v>
      </c>
      <c r="I169" s="2688">
        <v>12.72</v>
      </c>
      <c r="K169" s="2690" t="s">
        <v>805</v>
      </c>
      <c r="L169" s="3484" t="s">
        <v>806</v>
      </c>
    </row>
    <row r="170" spans="1:12" ht="24.95" customHeight="1">
      <c r="A170" s="2686">
        <v>168</v>
      </c>
      <c r="B170" s="2686" t="s">
        <v>800</v>
      </c>
      <c r="C170" s="2687" t="s">
        <v>973</v>
      </c>
      <c r="D170" s="2686" t="str">
        <f t="shared" si="2"/>
        <v>1#地库431</v>
      </c>
      <c r="E170" s="2686" t="s">
        <v>802</v>
      </c>
      <c r="F170" s="2686" t="s">
        <v>803</v>
      </c>
      <c r="G170" s="2686" t="s">
        <v>804</v>
      </c>
      <c r="H170" s="2688">
        <v>30.6</v>
      </c>
      <c r="I170" s="2688">
        <v>12.72</v>
      </c>
      <c r="K170" s="2690" t="s">
        <v>805</v>
      </c>
      <c r="L170" s="3484" t="s">
        <v>806</v>
      </c>
    </row>
    <row r="171" spans="1:12" ht="24.95" customHeight="1">
      <c r="A171" s="2686">
        <v>169</v>
      </c>
      <c r="B171" s="2686" t="s">
        <v>800</v>
      </c>
      <c r="C171" s="2687" t="s">
        <v>974</v>
      </c>
      <c r="D171" s="2686" t="str">
        <f t="shared" si="2"/>
        <v>1#地库433</v>
      </c>
      <c r="E171" s="2686" t="s">
        <v>802</v>
      </c>
      <c r="F171" s="2686" t="s">
        <v>803</v>
      </c>
      <c r="G171" s="2686" t="s">
        <v>804</v>
      </c>
      <c r="H171" s="2688">
        <v>30.6</v>
      </c>
      <c r="I171" s="2688">
        <v>12.72</v>
      </c>
      <c r="K171" s="2690" t="s">
        <v>805</v>
      </c>
      <c r="L171" s="3484" t="s">
        <v>806</v>
      </c>
    </row>
    <row r="172" spans="1:12" ht="24.95" customHeight="1">
      <c r="A172" s="2686">
        <v>170</v>
      </c>
      <c r="B172" s="2686" t="s">
        <v>800</v>
      </c>
      <c r="C172" s="2687" t="s">
        <v>975</v>
      </c>
      <c r="D172" s="2686" t="str">
        <f t="shared" si="2"/>
        <v>1#地库441</v>
      </c>
      <c r="E172" s="2686" t="s">
        <v>802</v>
      </c>
      <c r="F172" s="2686" t="s">
        <v>803</v>
      </c>
      <c r="G172" s="2686" t="s">
        <v>804</v>
      </c>
      <c r="H172" s="2688">
        <v>30.6</v>
      </c>
      <c r="I172" s="2688">
        <v>12.72</v>
      </c>
      <c r="K172" s="2690" t="s">
        <v>805</v>
      </c>
      <c r="L172" s="3484" t="s">
        <v>806</v>
      </c>
    </row>
    <row r="173" spans="1:12" ht="24.95" customHeight="1">
      <c r="A173" s="2686">
        <v>171</v>
      </c>
      <c r="B173" s="2686" t="s">
        <v>800</v>
      </c>
      <c r="C173" s="2687" t="s">
        <v>976</v>
      </c>
      <c r="D173" s="2686" t="str">
        <f t="shared" si="2"/>
        <v>1#地库442</v>
      </c>
      <c r="E173" s="2686" t="s">
        <v>802</v>
      </c>
      <c r="F173" s="2686" t="s">
        <v>803</v>
      </c>
      <c r="G173" s="2686" t="s">
        <v>804</v>
      </c>
      <c r="H173" s="2688">
        <v>30.6</v>
      </c>
      <c r="I173" s="2688">
        <v>12.72</v>
      </c>
      <c r="K173" s="2690" t="s">
        <v>805</v>
      </c>
      <c r="L173" s="3484" t="s">
        <v>806</v>
      </c>
    </row>
    <row r="174" spans="1:12" ht="24.95" customHeight="1">
      <c r="A174" s="2686">
        <v>172</v>
      </c>
      <c r="B174" s="2686" t="s">
        <v>800</v>
      </c>
      <c r="C174" s="2687" t="s">
        <v>977</v>
      </c>
      <c r="D174" s="2686" t="str">
        <f t="shared" si="2"/>
        <v>1#地库444</v>
      </c>
      <c r="E174" s="2686" t="s">
        <v>802</v>
      </c>
      <c r="F174" s="2686" t="s">
        <v>803</v>
      </c>
      <c r="G174" s="2686" t="s">
        <v>804</v>
      </c>
      <c r="H174" s="2688">
        <v>30.6</v>
      </c>
      <c r="I174" s="2688">
        <v>12.72</v>
      </c>
      <c r="K174" s="2690" t="s">
        <v>805</v>
      </c>
      <c r="L174" s="3484" t="s">
        <v>806</v>
      </c>
    </row>
    <row r="175" spans="1:12" ht="24.95" customHeight="1">
      <c r="A175" s="2686">
        <v>173</v>
      </c>
      <c r="B175" s="2686" t="s">
        <v>800</v>
      </c>
      <c r="C175" s="2687" t="s">
        <v>978</v>
      </c>
      <c r="D175" s="2686" t="str">
        <f t="shared" si="2"/>
        <v>1#地库448</v>
      </c>
      <c r="E175" s="2686" t="s">
        <v>802</v>
      </c>
      <c r="F175" s="2686" t="s">
        <v>803</v>
      </c>
      <c r="G175" s="2686" t="s">
        <v>804</v>
      </c>
      <c r="H175" s="2688">
        <v>30.6</v>
      </c>
      <c r="I175" s="2688">
        <v>12.72</v>
      </c>
      <c r="K175" s="2690" t="s">
        <v>805</v>
      </c>
      <c r="L175" s="3484" t="s">
        <v>806</v>
      </c>
    </row>
    <row r="176" spans="1:12" ht="24.95" customHeight="1">
      <c r="A176" s="2686">
        <v>174</v>
      </c>
      <c r="B176" s="2686" t="s">
        <v>800</v>
      </c>
      <c r="C176" s="2687" t="s">
        <v>979</v>
      </c>
      <c r="D176" s="2686" t="str">
        <f t="shared" si="2"/>
        <v>1#地库451</v>
      </c>
      <c r="E176" s="2686" t="s">
        <v>802</v>
      </c>
      <c r="F176" s="2686" t="s">
        <v>803</v>
      </c>
      <c r="G176" s="2686" t="s">
        <v>804</v>
      </c>
      <c r="H176" s="2688">
        <v>30.6</v>
      </c>
      <c r="I176" s="2688">
        <v>12.72</v>
      </c>
      <c r="K176" s="2690" t="s">
        <v>805</v>
      </c>
      <c r="L176" s="3484" t="s">
        <v>806</v>
      </c>
    </row>
    <row r="177" spans="1:12" ht="24.95" customHeight="1">
      <c r="A177" s="2686">
        <v>175</v>
      </c>
      <c r="B177" s="2686" t="s">
        <v>800</v>
      </c>
      <c r="C177" s="2687" t="s">
        <v>980</v>
      </c>
      <c r="D177" s="2686" t="str">
        <f t="shared" si="2"/>
        <v>1#地库454</v>
      </c>
      <c r="E177" s="2686" t="s">
        <v>802</v>
      </c>
      <c r="F177" s="2686" t="s">
        <v>803</v>
      </c>
      <c r="G177" s="2686" t="s">
        <v>804</v>
      </c>
      <c r="H177" s="2688">
        <v>30.6</v>
      </c>
      <c r="I177" s="2688">
        <v>12.72</v>
      </c>
      <c r="K177" s="2690" t="s">
        <v>805</v>
      </c>
      <c r="L177" s="3484" t="s">
        <v>806</v>
      </c>
    </row>
    <row r="178" spans="1:12" ht="24.95" customHeight="1">
      <c r="A178" s="2686">
        <v>176</v>
      </c>
      <c r="B178" s="2686" t="s">
        <v>800</v>
      </c>
      <c r="C178" s="2687" t="s">
        <v>981</v>
      </c>
      <c r="D178" s="2686" t="str">
        <f t="shared" si="2"/>
        <v>1#地库462</v>
      </c>
      <c r="E178" s="2686" t="s">
        <v>802</v>
      </c>
      <c r="F178" s="2686" t="s">
        <v>803</v>
      </c>
      <c r="G178" s="2686" t="s">
        <v>804</v>
      </c>
      <c r="H178" s="2688">
        <v>30.6</v>
      </c>
      <c r="I178" s="2688">
        <v>12.72</v>
      </c>
      <c r="K178" s="2690" t="s">
        <v>805</v>
      </c>
      <c r="L178" s="3484" t="s">
        <v>806</v>
      </c>
    </row>
    <row r="179" spans="1:12" ht="24.95" customHeight="1">
      <c r="A179" s="2686">
        <v>177</v>
      </c>
      <c r="B179" s="2686" t="s">
        <v>800</v>
      </c>
      <c r="C179" s="2687" t="s">
        <v>982</v>
      </c>
      <c r="D179" s="2686" t="str">
        <f t="shared" si="2"/>
        <v>1#地库463</v>
      </c>
      <c r="E179" s="2686" t="s">
        <v>802</v>
      </c>
      <c r="F179" s="2686" t="s">
        <v>803</v>
      </c>
      <c r="G179" s="2686" t="s">
        <v>804</v>
      </c>
      <c r="H179" s="2688">
        <v>30.6</v>
      </c>
      <c r="I179" s="2688">
        <v>12.72</v>
      </c>
      <c r="K179" s="2690" t="s">
        <v>805</v>
      </c>
      <c r="L179" s="3484" t="s">
        <v>806</v>
      </c>
    </row>
    <row r="180" spans="1:12" ht="24.95" customHeight="1">
      <c r="A180" s="2686">
        <v>178</v>
      </c>
      <c r="B180" s="2686" t="s">
        <v>800</v>
      </c>
      <c r="C180" s="2687" t="s">
        <v>983</v>
      </c>
      <c r="D180" s="2686" t="str">
        <f t="shared" si="2"/>
        <v>1#地库464</v>
      </c>
      <c r="E180" s="2686" t="s">
        <v>802</v>
      </c>
      <c r="F180" s="2686" t="s">
        <v>803</v>
      </c>
      <c r="G180" s="2686" t="s">
        <v>804</v>
      </c>
      <c r="H180" s="2688">
        <v>30.6</v>
      </c>
      <c r="I180" s="2688">
        <v>12.72</v>
      </c>
      <c r="K180" s="2690" t="s">
        <v>805</v>
      </c>
      <c r="L180" s="3484" t="s">
        <v>806</v>
      </c>
    </row>
    <row r="181" spans="1:12" ht="24.95" customHeight="1">
      <c r="A181" s="2686">
        <v>179</v>
      </c>
      <c r="B181" s="2686" t="s">
        <v>800</v>
      </c>
      <c r="C181" s="2687" t="s">
        <v>984</v>
      </c>
      <c r="D181" s="2686" t="str">
        <f t="shared" si="2"/>
        <v>1#地库465</v>
      </c>
      <c r="E181" s="2686" t="s">
        <v>802</v>
      </c>
      <c r="F181" s="2686" t="s">
        <v>803</v>
      </c>
      <c r="G181" s="2686" t="s">
        <v>804</v>
      </c>
      <c r="H181" s="2688">
        <v>30.6</v>
      </c>
      <c r="I181" s="2688">
        <v>12.72</v>
      </c>
      <c r="K181" s="2690" t="s">
        <v>805</v>
      </c>
      <c r="L181" s="3484" t="s">
        <v>806</v>
      </c>
    </row>
    <row r="182" spans="1:12" ht="24.95" customHeight="1">
      <c r="A182" s="2686">
        <v>180</v>
      </c>
      <c r="B182" s="2686" t="s">
        <v>800</v>
      </c>
      <c r="C182" s="2689" t="s">
        <v>985</v>
      </c>
      <c r="D182" s="2686" t="str">
        <f t="shared" si="2"/>
        <v>1#地库466</v>
      </c>
      <c r="E182" s="2686" t="s">
        <v>802</v>
      </c>
      <c r="F182" s="2686" t="s">
        <v>803</v>
      </c>
      <c r="G182" s="2686" t="s">
        <v>804</v>
      </c>
      <c r="H182" s="2688">
        <v>30.6</v>
      </c>
      <c r="I182" s="2688">
        <v>12.72</v>
      </c>
      <c r="K182" s="2690" t="s">
        <v>805</v>
      </c>
      <c r="L182" s="3484" t="s">
        <v>806</v>
      </c>
    </row>
    <row r="183" spans="1:12" ht="24.95" customHeight="1">
      <c r="A183" s="2686">
        <v>181</v>
      </c>
      <c r="B183" s="2686" t="s">
        <v>800</v>
      </c>
      <c r="C183" s="2687" t="s">
        <v>986</v>
      </c>
      <c r="D183" s="2686" t="str">
        <f t="shared" si="2"/>
        <v>1#地库467</v>
      </c>
      <c r="E183" s="2686" t="s">
        <v>802</v>
      </c>
      <c r="F183" s="2686" t="s">
        <v>803</v>
      </c>
      <c r="G183" s="2686" t="s">
        <v>804</v>
      </c>
      <c r="H183" s="2688">
        <v>30.6</v>
      </c>
      <c r="I183" s="2688">
        <v>12.72</v>
      </c>
      <c r="K183" s="2690" t="s">
        <v>805</v>
      </c>
      <c r="L183" s="3484" t="s">
        <v>806</v>
      </c>
    </row>
    <row r="184" spans="1:12" ht="24.95" customHeight="1">
      <c r="A184" s="2686">
        <v>182</v>
      </c>
      <c r="B184" s="2686" t="s">
        <v>800</v>
      </c>
      <c r="C184" s="2687" t="s">
        <v>987</v>
      </c>
      <c r="D184" s="2686" t="str">
        <f t="shared" si="2"/>
        <v>1#地库468</v>
      </c>
      <c r="E184" s="2686" t="s">
        <v>802</v>
      </c>
      <c r="F184" s="2686" t="s">
        <v>803</v>
      </c>
      <c r="G184" s="2686" t="s">
        <v>804</v>
      </c>
      <c r="H184" s="2688">
        <v>30.6</v>
      </c>
      <c r="I184" s="2688">
        <v>12.72</v>
      </c>
      <c r="K184" s="2690" t="s">
        <v>805</v>
      </c>
      <c r="L184" s="3484" t="s">
        <v>806</v>
      </c>
    </row>
    <row r="185" spans="1:12" ht="24.95" customHeight="1">
      <c r="A185" s="2686">
        <v>183</v>
      </c>
      <c r="B185" s="2686" t="s">
        <v>800</v>
      </c>
      <c r="C185" s="2689" t="s">
        <v>988</v>
      </c>
      <c r="D185" s="2686" t="str">
        <f t="shared" si="2"/>
        <v>1#地库469</v>
      </c>
      <c r="E185" s="2686" t="s">
        <v>802</v>
      </c>
      <c r="F185" s="2686" t="s">
        <v>803</v>
      </c>
      <c r="G185" s="2686" t="s">
        <v>804</v>
      </c>
      <c r="H185" s="2688">
        <v>30.6</v>
      </c>
      <c r="I185" s="2688">
        <v>12.72</v>
      </c>
      <c r="K185" s="2690" t="s">
        <v>805</v>
      </c>
      <c r="L185" s="3484" t="s">
        <v>806</v>
      </c>
    </row>
    <row r="186" spans="1:12" ht="24.95" customHeight="1">
      <c r="A186" s="2686">
        <v>184</v>
      </c>
      <c r="B186" s="2686" t="s">
        <v>800</v>
      </c>
      <c r="C186" s="2687" t="s">
        <v>989</v>
      </c>
      <c r="D186" s="2686" t="str">
        <f t="shared" si="2"/>
        <v>1#地库470</v>
      </c>
      <c r="E186" s="2686" t="s">
        <v>802</v>
      </c>
      <c r="F186" s="2686" t="s">
        <v>803</v>
      </c>
      <c r="G186" s="2686" t="s">
        <v>804</v>
      </c>
      <c r="H186" s="2688">
        <v>30.6</v>
      </c>
      <c r="I186" s="2688">
        <v>12.72</v>
      </c>
      <c r="K186" s="2690" t="s">
        <v>805</v>
      </c>
      <c r="L186" s="3484" t="s">
        <v>806</v>
      </c>
    </row>
    <row r="187" spans="1:12" ht="24.95" customHeight="1">
      <c r="A187" s="2686">
        <v>185</v>
      </c>
      <c r="B187" s="2686" t="s">
        <v>800</v>
      </c>
      <c r="C187" s="2687" t="s">
        <v>990</v>
      </c>
      <c r="D187" s="2686" t="str">
        <f t="shared" si="2"/>
        <v>1#地库471</v>
      </c>
      <c r="E187" s="2686" t="s">
        <v>802</v>
      </c>
      <c r="F187" s="2686" t="s">
        <v>803</v>
      </c>
      <c r="G187" s="2686" t="s">
        <v>804</v>
      </c>
      <c r="H187" s="2688">
        <v>30.6</v>
      </c>
      <c r="I187" s="2688">
        <v>12.72</v>
      </c>
      <c r="K187" s="2690" t="s">
        <v>805</v>
      </c>
      <c r="L187" s="3484" t="s">
        <v>806</v>
      </c>
    </row>
    <row r="188" spans="1:12" ht="24.95" customHeight="1">
      <c r="A188" s="2686">
        <v>186</v>
      </c>
      <c r="B188" s="2686" t="s">
        <v>800</v>
      </c>
      <c r="C188" s="2687" t="s">
        <v>991</v>
      </c>
      <c r="D188" s="2686" t="str">
        <f t="shared" si="2"/>
        <v>1#地库473</v>
      </c>
      <c r="E188" s="2686" t="s">
        <v>802</v>
      </c>
      <c r="F188" s="2686" t="s">
        <v>803</v>
      </c>
      <c r="G188" s="2686" t="s">
        <v>804</v>
      </c>
      <c r="H188" s="2688">
        <v>30.6</v>
      </c>
      <c r="I188" s="2688">
        <v>12.72</v>
      </c>
      <c r="K188" s="2690" t="s">
        <v>805</v>
      </c>
      <c r="L188" s="3484" t="s">
        <v>806</v>
      </c>
    </row>
    <row r="189" spans="1:12" ht="24.95" customHeight="1">
      <c r="A189" s="2686">
        <v>187</v>
      </c>
      <c r="B189" s="2686" t="s">
        <v>800</v>
      </c>
      <c r="C189" s="2687" t="s">
        <v>992</v>
      </c>
      <c r="D189" s="2686" t="str">
        <f t="shared" si="2"/>
        <v>1#地库474</v>
      </c>
      <c r="E189" s="2686" t="s">
        <v>802</v>
      </c>
      <c r="F189" s="2686" t="s">
        <v>803</v>
      </c>
      <c r="G189" s="2686" t="s">
        <v>804</v>
      </c>
      <c r="H189" s="2688">
        <v>30.6</v>
      </c>
      <c r="I189" s="2688">
        <v>12.72</v>
      </c>
      <c r="K189" s="2690" t="s">
        <v>805</v>
      </c>
      <c r="L189" s="3484" t="s">
        <v>806</v>
      </c>
    </row>
    <row r="190" spans="1:12" ht="24.95" customHeight="1">
      <c r="A190" s="2686">
        <v>188</v>
      </c>
      <c r="B190" s="2686" t="s">
        <v>800</v>
      </c>
      <c r="C190" s="2687" t="s">
        <v>993</v>
      </c>
      <c r="D190" s="2686" t="str">
        <f t="shared" si="2"/>
        <v>1#地库475</v>
      </c>
      <c r="E190" s="2686" t="s">
        <v>802</v>
      </c>
      <c r="F190" s="2686" t="s">
        <v>803</v>
      </c>
      <c r="G190" s="2686" t="s">
        <v>804</v>
      </c>
      <c r="H190" s="2688">
        <v>30.6</v>
      </c>
      <c r="I190" s="2688">
        <v>12.72</v>
      </c>
      <c r="K190" s="2690" t="s">
        <v>805</v>
      </c>
      <c r="L190" s="3484" t="s">
        <v>806</v>
      </c>
    </row>
    <row r="191" spans="1:12" ht="24.95" customHeight="1">
      <c r="A191" s="2686">
        <v>189</v>
      </c>
      <c r="B191" s="2686" t="s">
        <v>800</v>
      </c>
      <c r="C191" s="2689" t="s">
        <v>994</v>
      </c>
      <c r="D191" s="2686" t="str">
        <f t="shared" si="2"/>
        <v>1#地库477</v>
      </c>
      <c r="E191" s="2686" t="s">
        <v>802</v>
      </c>
      <c r="F191" s="2686" t="s">
        <v>803</v>
      </c>
      <c r="G191" s="2686" t="s">
        <v>804</v>
      </c>
      <c r="H191" s="2688">
        <v>30.6</v>
      </c>
      <c r="I191" s="2688">
        <v>12.72</v>
      </c>
      <c r="K191" s="2690" t="s">
        <v>805</v>
      </c>
      <c r="L191" s="3484" t="s">
        <v>806</v>
      </c>
    </row>
    <row r="192" spans="1:12" ht="24.95" customHeight="1">
      <c r="A192" s="2686">
        <v>190</v>
      </c>
      <c r="B192" s="2686" t="s">
        <v>800</v>
      </c>
      <c r="C192" s="2687" t="s">
        <v>995</v>
      </c>
      <c r="D192" s="2686" t="str">
        <f t="shared" si="2"/>
        <v>1#地库480</v>
      </c>
      <c r="E192" s="2686" t="s">
        <v>802</v>
      </c>
      <c r="F192" s="2686" t="s">
        <v>803</v>
      </c>
      <c r="G192" s="2686" t="s">
        <v>804</v>
      </c>
      <c r="H192" s="2688">
        <v>30.6</v>
      </c>
      <c r="I192" s="2688">
        <v>12.72</v>
      </c>
      <c r="K192" s="2690" t="s">
        <v>805</v>
      </c>
      <c r="L192" s="3484" t="s">
        <v>806</v>
      </c>
    </row>
    <row r="193" spans="1:12" ht="24.95" customHeight="1">
      <c r="A193" s="2686">
        <v>191</v>
      </c>
      <c r="B193" s="2686" t="s">
        <v>800</v>
      </c>
      <c r="C193" s="2687" t="s">
        <v>996</v>
      </c>
      <c r="D193" s="2686" t="str">
        <f t="shared" si="2"/>
        <v>1#地库483</v>
      </c>
      <c r="E193" s="2686" t="s">
        <v>802</v>
      </c>
      <c r="F193" s="2686" t="s">
        <v>803</v>
      </c>
      <c r="G193" s="2686" t="s">
        <v>804</v>
      </c>
      <c r="H193" s="2688">
        <v>30.6</v>
      </c>
      <c r="I193" s="2688">
        <v>12.72</v>
      </c>
      <c r="K193" s="2690" t="s">
        <v>805</v>
      </c>
      <c r="L193" s="3484" t="s">
        <v>806</v>
      </c>
    </row>
    <row r="194" spans="1:12" ht="24.95" customHeight="1">
      <c r="A194" s="2686">
        <v>192</v>
      </c>
      <c r="B194" s="2686" t="s">
        <v>800</v>
      </c>
      <c r="C194" s="2689" t="s">
        <v>997</v>
      </c>
      <c r="D194" s="2686" t="str">
        <f t="shared" si="2"/>
        <v>1#地库489</v>
      </c>
      <c r="E194" s="2686" t="s">
        <v>802</v>
      </c>
      <c r="F194" s="2686" t="s">
        <v>803</v>
      </c>
      <c r="G194" s="2686" t="s">
        <v>804</v>
      </c>
      <c r="H194" s="2688">
        <v>30.6</v>
      </c>
      <c r="I194" s="2688">
        <v>12.72</v>
      </c>
      <c r="K194" s="2690" t="s">
        <v>805</v>
      </c>
      <c r="L194" s="3484" t="s">
        <v>806</v>
      </c>
    </row>
    <row r="195" spans="1:12" ht="24.95" customHeight="1">
      <c r="A195" s="2686">
        <v>193</v>
      </c>
      <c r="B195" s="2686" t="s">
        <v>800</v>
      </c>
      <c r="C195" s="2687" t="s">
        <v>998</v>
      </c>
      <c r="D195" s="2686" t="str">
        <f t="shared" si="2"/>
        <v>1#地库492</v>
      </c>
      <c r="E195" s="2686" t="s">
        <v>802</v>
      </c>
      <c r="F195" s="2686" t="s">
        <v>803</v>
      </c>
      <c r="G195" s="2686" t="s">
        <v>804</v>
      </c>
      <c r="H195" s="2688">
        <v>30.6</v>
      </c>
      <c r="I195" s="2688">
        <v>12.72</v>
      </c>
      <c r="K195" s="2690" t="s">
        <v>805</v>
      </c>
      <c r="L195" s="3484" t="s">
        <v>806</v>
      </c>
    </row>
    <row r="196" spans="1:12" ht="24.95" customHeight="1">
      <c r="A196" s="2686">
        <v>194</v>
      </c>
      <c r="B196" s="2686" t="s">
        <v>800</v>
      </c>
      <c r="C196" s="2689" t="s">
        <v>999</v>
      </c>
      <c r="D196" s="2686" t="str">
        <f t="shared" si="2"/>
        <v>1#地库493</v>
      </c>
      <c r="E196" s="2686" t="s">
        <v>802</v>
      </c>
      <c r="F196" s="2686" t="s">
        <v>803</v>
      </c>
      <c r="G196" s="2686" t="s">
        <v>804</v>
      </c>
      <c r="H196" s="2688">
        <v>30.6</v>
      </c>
      <c r="I196" s="2688">
        <v>12.72</v>
      </c>
      <c r="K196" s="2690" t="s">
        <v>805</v>
      </c>
      <c r="L196" s="3484" t="s">
        <v>806</v>
      </c>
    </row>
    <row r="197" spans="1:12" ht="24.95" customHeight="1">
      <c r="A197" s="2686">
        <v>195</v>
      </c>
      <c r="B197" s="2686" t="s">
        <v>800</v>
      </c>
      <c r="C197" s="2689" t="s">
        <v>1000</v>
      </c>
      <c r="D197" s="2686" t="str">
        <f t="shared" si="2"/>
        <v>1#地库495</v>
      </c>
      <c r="E197" s="2686" t="s">
        <v>802</v>
      </c>
      <c r="F197" s="2686" t="s">
        <v>803</v>
      </c>
      <c r="G197" s="2686" t="s">
        <v>804</v>
      </c>
      <c r="H197" s="2688">
        <v>30.6</v>
      </c>
      <c r="I197" s="2688">
        <v>12.72</v>
      </c>
      <c r="K197" s="2690" t="s">
        <v>805</v>
      </c>
      <c r="L197" s="3484" t="s">
        <v>806</v>
      </c>
    </row>
    <row r="198" spans="1:12" ht="24.95" customHeight="1">
      <c r="A198" s="2686">
        <v>196</v>
      </c>
      <c r="B198" s="2686" t="s">
        <v>800</v>
      </c>
      <c r="C198" s="2687" t="s">
        <v>1001</v>
      </c>
      <c r="D198" s="2686" t="str">
        <f t="shared" si="2"/>
        <v>1#地库498</v>
      </c>
      <c r="E198" s="2686" t="s">
        <v>802</v>
      </c>
      <c r="F198" s="2686" t="s">
        <v>803</v>
      </c>
      <c r="G198" s="2686" t="s">
        <v>804</v>
      </c>
      <c r="H198" s="2688">
        <v>30.6</v>
      </c>
      <c r="I198" s="2688">
        <v>12.72</v>
      </c>
      <c r="K198" s="2690" t="s">
        <v>805</v>
      </c>
      <c r="L198" s="3484" t="s">
        <v>806</v>
      </c>
    </row>
    <row r="199" spans="1:12" ht="24.95" customHeight="1">
      <c r="A199" s="2686">
        <v>197</v>
      </c>
      <c r="B199" s="2686" t="s">
        <v>800</v>
      </c>
      <c r="C199" s="2687" t="s">
        <v>1002</v>
      </c>
      <c r="D199" s="2686" t="str">
        <f t="shared" si="2"/>
        <v>1#地库501</v>
      </c>
      <c r="E199" s="2686" t="s">
        <v>802</v>
      </c>
      <c r="F199" s="2686" t="s">
        <v>803</v>
      </c>
      <c r="G199" s="2686" t="s">
        <v>804</v>
      </c>
      <c r="H199" s="2688">
        <v>30.6</v>
      </c>
      <c r="I199" s="2688">
        <v>12.72</v>
      </c>
      <c r="K199" s="2690" t="s">
        <v>805</v>
      </c>
      <c r="L199" s="3484" t="s">
        <v>806</v>
      </c>
    </row>
    <row r="200" spans="1:12" ht="24.95" customHeight="1">
      <c r="A200" s="2686">
        <v>198</v>
      </c>
      <c r="B200" s="2686" t="s">
        <v>800</v>
      </c>
      <c r="C200" s="2689" t="s">
        <v>1003</v>
      </c>
      <c r="D200" s="2686" t="str">
        <f t="shared" ref="D200:D263" si="3">B200&amp;C200</f>
        <v>1#地库502</v>
      </c>
      <c r="E200" s="2686" t="s">
        <v>802</v>
      </c>
      <c r="F200" s="2686" t="s">
        <v>803</v>
      </c>
      <c r="G200" s="2686" t="s">
        <v>804</v>
      </c>
      <c r="H200" s="2688">
        <v>30.6</v>
      </c>
      <c r="I200" s="2688">
        <v>12.72</v>
      </c>
      <c r="K200" s="2690" t="s">
        <v>805</v>
      </c>
      <c r="L200" s="3484" t="s">
        <v>806</v>
      </c>
    </row>
    <row r="201" spans="1:12" ht="24.95" customHeight="1">
      <c r="A201" s="2686">
        <v>199</v>
      </c>
      <c r="B201" s="2686" t="s">
        <v>800</v>
      </c>
      <c r="C201" s="2687" t="s">
        <v>1004</v>
      </c>
      <c r="D201" s="2686" t="str">
        <f t="shared" si="3"/>
        <v>1#地库503</v>
      </c>
      <c r="E201" s="2686" t="s">
        <v>802</v>
      </c>
      <c r="F201" s="2686" t="s">
        <v>803</v>
      </c>
      <c r="G201" s="2686" t="s">
        <v>804</v>
      </c>
      <c r="H201" s="2688">
        <v>30.6</v>
      </c>
      <c r="I201" s="2688">
        <v>12.72</v>
      </c>
      <c r="K201" s="2690" t="s">
        <v>805</v>
      </c>
      <c r="L201" s="3484" t="s">
        <v>806</v>
      </c>
    </row>
    <row r="202" spans="1:12" ht="24.95" customHeight="1">
      <c r="A202" s="2686">
        <v>200</v>
      </c>
      <c r="B202" s="2686" t="s">
        <v>800</v>
      </c>
      <c r="C202" s="2687" t="s">
        <v>1005</v>
      </c>
      <c r="D202" s="2686" t="str">
        <f t="shared" si="3"/>
        <v>1#地库504</v>
      </c>
      <c r="E202" s="2686" t="s">
        <v>802</v>
      </c>
      <c r="F202" s="2686" t="s">
        <v>803</v>
      </c>
      <c r="G202" s="2686" t="s">
        <v>804</v>
      </c>
      <c r="H202" s="2688">
        <v>30.6</v>
      </c>
      <c r="I202" s="2688">
        <v>12.72</v>
      </c>
      <c r="K202" s="2690" t="s">
        <v>805</v>
      </c>
      <c r="L202" s="3484" t="s">
        <v>806</v>
      </c>
    </row>
    <row r="203" spans="1:12" ht="24.95" customHeight="1">
      <c r="A203" s="2686">
        <v>201</v>
      </c>
      <c r="B203" s="2686" t="s">
        <v>800</v>
      </c>
      <c r="C203" s="2689" t="s">
        <v>1006</v>
      </c>
      <c r="D203" s="2686" t="str">
        <f t="shared" si="3"/>
        <v>1#地库505</v>
      </c>
      <c r="E203" s="2686" t="s">
        <v>802</v>
      </c>
      <c r="F203" s="2686" t="s">
        <v>803</v>
      </c>
      <c r="G203" s="2686" t="s">
        <v>804</v>
      </c>
      <c r="H203" s="2688">
        <v>30.6</v>
      </c>
      <c r="I203" s="2688">
        <v>12.72</v>
      </c>
      <c r="K203" s="2690" t="s">
        <v>805</v>
      </c>
      <c r="L203" s="3484" t="s">
        <v>806</v>
      </c>
    </row>
    <row r="204" spans="1:12" ht="24.95" customHeight="1">
      <c r="A204" s="2686">
        <v>202</v>
      </c>
      <c r="B204" s="2686" t="s">
        <v>800</v>
      </c>
      <c r="C204" s="2689" t="s">
        <v>1007</v>
      </c>
      <c r="D204" s="2686" t="str">
        <f t="shared" si="3"/>
        <v>1#地库506</v>
      </c>
      <c r="E204" s="2686" t="s">
        <v>802</v>
      </c>
      <c r="F204" s="2686" t="s">
        <v>803</v>
      </c>
      <c r="G204" s="2686" t="s">
        <v>804</v>
      </c>
      <c r="H204" s="2688">
        <v>30.6</v>
      </c>
      <c r="I204" s="2688">
        <v>12.72</v>
      </c>
      <c r="K204" s="2690" t="s">
        <v>805</v>
      </c>
      <c r="L204" s="3484" t="s">
        <v>806</v>
      </c>
    </row>
    <row r="205" spans="1:12" ht="24.95" customHeight="1">
      <c r="A205" s="2686">
        <v>203</v>
      </c>
      <c r="B205" s="2686" t="s">
        <v>800</v>
      </c>
      <c r="C205" s="2689" t="s">
        <v>1008</v>
      </c>
      <c r="D205" s="2686" t="str">
        <f t="shared" si="3"/>
        <v>1#地库507</v>
      </c>
      <c r="E205" s="2686" t="s">
        <v>802</v>
      </c>
      <c r="F205" s="2686" t="s">
        <v>803</v>
      </c>
      <c r="G205" s="2686" t="s">
        <v>804</v>
      </c>
      <c r="H205" s="2688">
        <v>30.6</v>
      </c>
      <c r="I205" s="2688">
        <v>12.72</v>
      </c>
      <c r="K205" s="2690" t="s">
        <v>805</v>
      </c>
      <c r="L205" s="3484" t="s">
        <v>806</v>
      </c>
    </row>
    <row r="206" spans="1:12" ht="24.95" customHeight="1">
      <c r="A206" s="2686">
        <v>204</v>
      </c>
      <c r="B206" s="2686" t="s">
        <v>800</v>
      </c>
      <c r="C206" s="2689" t="s">
        <v>1009</v>
      </c>
      <c r="D206" s="2686" t="str">
        <f t="shared" si="3"/>
        <v>1#地库508</v>
      </c>
      <c r="E206" s="2686" t="s">
        <v>802</v>
      </c>
      <c r="F206" s="2686" t="s">
        <v>803</v>
      </c>
      <c r="G206" s="2686" t="s">
        <v>804</v>
      </c>
      <c r="H206" s="2688">
        <v>30.6</v>
      </c>
      <c r="I206" s="2688">
        <v>12.72</v>
      </c>
      <c r="K206" s="2690" t="s">
        <v>805</v>
      </c>
      <c r="L206" s="3484" t="s">
        <v>806</v>
      </c>
    </row>
    <row r="207" spans="1:12" ht="24.95" customHeight="1">
      <c r="A207" s="2686">
        <v>205</v>
      </c>
      <c r="B207" s="2686" t="s">
        <v>800</v>
      </c>
      <c r="C207" s="2689" t="s">
        <v>1010</v>
      </c>
      <c r="D207" s="2686" t="str">
        <f t="shared" si="3"/>
        <v>1#地库509</v>
      </c>
      <c r="E207" s="2686" t="s">
        <v>802</v>
      </c>
      <c r="F207" s="2686" t="s">
        <v>803</v>
      </c>
      <c r="G207" s="2686" t="s">
        <v>804</v>
      </c>
      <c r="H207" s="2688">
        <v>30.6</v>
      </c>
      <c r="I207" s="2688">
        <v>12.72</v>
      </c>
      <c r="K207" s="2690" t="s">
        <v>805</v>
      </c>
      <c r="L207" s="3484" t="s">
        <v>806</v>
      </c>
    </row>
    <row r="208" spans="1:12" ht="24.95" customHeight="1">
      <c r="A208" s="2686">
        <v>206</v>
      </c>
      <c r="B208" s="2686" t="s">
        <v>800</v>
      </c>
      <c r="C208" s="2689" t="s">
        <v>1011</v>
      </c>
      <c r="D208" s="2686" t="str">
        <f t="shared" si="3"/>
        <v>1#地库510</v>
      </c>
      <c r="E208" s="2686" t="s">
        <v>802</v>
      </c>
      <c r="F208" s="2686" t="s">
        <v>803</v>
      </c>
      <c r="G208" s="2686" t="s">
        <v>804</v>
      </c>
      <c r="H208" s="2688">
        <v>30.6</v>
      </c>
      <c r="I208" s="2688">
        <v>12.72</v>
      </c>
      <c r="K208" s="2690" t="s">
        <v>805</v>
      </c>
      <c r="L208" s="3484" t="s">
        <v>806</v>
      </c>
    </row>
    <row r="209" spans="1:12" ht="24.95" customHeight="1">
      <c r="A209" s="2686">
        <v>207</v>
      </c>
      <c r="B209" s="2686" t="s">
        <v>800</v>
      </c>
      <c r="C209" s="2689" t="s">
        <v>1012</v>
      </c>
      <c r="D209" s="2686" t="str">
        <f t="shared" si="3"/>
        <v>1#地库511</v>
      </c>
      <c r="E209" s="2686" t="s">
        <v>802</v>
      </c>
      <c r="F209" s="2686" t="s">
        <v>803</v>
      </c>
      <c r="G209" s="2686" t="s">
        <v>804</v>
      </c>
      <c r="H209" s="2688">
        <v>30.6</v>
      </c>
      <c r="I209" s="2688">
        <v>12.72</v>
      </c>
      <c r="K209" s="2690" t="s">
        <v>805</v>
      </c>
      <c r="L209" s="3484" t="s">
        <v>806</v>
      </c>
    </row>
    <row r="210" spans="1:12" ht="24.95" customHeight="1">
      <c r="A210" s="2686">
        <v>208</v>
      </c>
      <c r="B210" s="2686" t="s">
        <v>800</v>
      </c>
      <c r="C210" s="2689" t="s">
        <v>1013</v>
      </c>
      <c r="D210" s="2686" t="str">
        <f t="shared" si="3"/>
        <v>1#地库512</v>
      </c>
      <c r="E210" s="2686" t="s">
        <v>802</v>
      </c>
      <c r="F210" s="2686" t="s">
        <v>803</v>
      </c>
      <c r="G210" s="2686" t="s">
        <v>804</v>
      </c>
      <c r="H210" s="2688">
        <v>31.88</v>
      </c>
      <c r="I210" s="2688">
        <v>13.25</v>
      </c>
      <c r="K210" s="2690" t="s">
        <v>805</v>
      </c>
      <c r="L210" s="3484" t="s">
        <v>806</v>
      </c>
    </row>
    <row r="211" spans="1:12" ht="24.95" customHeight="1">
      <c r="A211" s="2691">
        <v>209</v>
      </c>
      <c r="B211" s="2691" t="s">
        <v>800</v>
      </c>
      <c r="C211" s="2692" t="s">
        <v>1014</v>
      </c>
      <c r="D211" s="2691" t="str">
        <f t="shared" si="3"/>
        <v>1#地库513</v>
      </c>
      <c r="E211" s="2691" t="s">
        <v>802</v>
      </c>
      <c r="F211" s="2691" t="s">
        <v>803</v>
      </c>
      <c r="G211" s="2691" t="s">
        <v>804</v>
      </c>
      <c r="H211" s="2693">
        <v>19.73</v>
      </c>
      <c r="I211" s="2693">
        <v>8.1999999999999993</v>
      </c>
      <c r="K211" s="2690" t="s">
        <v>1015</v>
      </c>
      <c r="L211" s="3484" t="s">
        <v>806</v>
      </c>
    </row>
    <row r="212" spans="1:12" ht="24.95" customHeight="1">
      <c r="A212" s="2686">
        <v>210</v>
      </c>
      <c r="B212" s="2686" t="s">
        <v>1016</v>
      </c>
      <c r="C212" s="2689">
        <v>182</v>
      </c>
      <c r="D212" s="2686" t="str">
        <f t="shared" si="3"/>
        <v>2#地库182</v>
      </c>
      <c r="E212" s="2686" t="s">
        <v>1017</v>
      </c>
      <c r="F212" s="2686" t="s">
        <v>803</v>
      </c>
      <c r="G212" s="2686" t="s">
        <v>803</v>
      </c>
      <c r="H212" s="2688">
        <v>27.24</v>
      </c>
      <c r="I212" s="2688">
        <v>11.99</v>
      </c>
      <c r="K212" s="2690" t="s">
        <v>805</v>
      </c>
      <c r="L212" s="3484" t="s">
        <v>1018</v>
      </c>
    </row>
    <row r="213" spans="1:12" ht="24.95" customHeight="1">
      <c r="A213" s="2686">
        <v>211</v>
      </c>
      <c r="B213" s="2686" t="s">
        <v>1016</v>
      </c>
      <c r="C213" s="2689">
        <v>183</v>
      </c>
      <c r="D213" s="2686" t="str">
        <f t="shared" si="3"/>
        <v>2#地库183</v>
      </c>
      <c r="E213" s="2686" t="s">
        <v>1017</v>
      </c>
      <c r="F213" s="2686" t="s">
        <v>803</v>
      </c>
      <c r="G213" s="2686" t="s">
        <v>803</v>
      </c>
      <c r="H213" s="2688">
        <v>28.99</v>
      </c>
      <c r="I213" s="2688">
        <v>12.76</v>
      </c>
      <c r="K213" s="2690" t="s">
        <v>805</v>
      </c>
      <c r="L213" s="3484" t="s">
        <v>1018</v>
      </c>
    </row>
    <row r="214" spans="1:12" ht="24.95" customHeight="1">
      <c r="A214" s="2686">
        <v>212</v>
      </c>
      <c r="B214" s="2686" t="s">
        <v>1016</v>
      </c>
      <c r="C214" s="2689">
        <v>184</v>
      </c>
      <c r="D214" s="2686" t="str">
        <f t="shared" si="3"/>
        <v>2#地库184</v>
      </c>
      <c r="E214" s="2686" t="s">
        <v>1017</v>
      </c>
      <c r="F214" s="2686" t="s">
        <v>803</v>
      </c>
      <c r="G214" s="2686" t="s">
        <v>803</v>
      </c>
      <c r="H214" s="2688">
        <v>28.04</v>
      </c>
      <c r="I214" s="2688">
        <v>12.34</v>
      </c>
      <c r="K214" s="2690" t="s">
        <v>805</v>
      </c>
      <c r="L214" s="3484" t="s">
        <v>1018</v>
      </c>
    </row>
    <row r="215" spans="1:12" ht="24.95" customHeight="1">
      <c r="A215" s="2686">
        <v>213</v>
      </c>
      <c r="B215" s="2686" t="s">
        <v>1016</v>
      </c>
      <c r="C215" s="2689">
        <v>185</v>
      </c>
      <c r="D215" s="2686" t="str">
        <f t="shared" si="3"/>
        <v>2#地库185</v>
      </c>
      <c r="E215" s="2686" t="s">
        <v>1017</v>
      </c>
      <c r="F215" s="2686" t="s">
        <v>803</v>
      </c>
      <c r="G215" s="2686" t="s">
        <v>803</v>
      </c>
      <c r="H215" s="2688">
        <v>28.99</v>
      </c>
      <c r="I215" s="2688">
        <v>12.76</v>
      </c>
      <c r="K215" s="2690" t="s">
        <v>805</v>
      </c>
      <c r="L215" s="3484" t="s">
        <v>1018</v>
      </c>
    </row>
    <row r="216" spans="1:12" ht="24.95" customHeight="1">
      <c r="A216" s="2686">
        <v>214</v>
      </c>
      <c r="B216" s="2686" t="s">
        <v>1016</v>
      </c>
      <c r="C216" s="2689">
        <v>186</v>
      </c>
      <c r="D216" s="2686" t="str">
        <f t="shared" si="3"/>
        <v>2#地库186</v>
      </c>
      <c r="E216" s="2686" t="s">
        <v>1017</v>
      </c>
      <c r="F216" s="2686" t="s">
        <v>803</v>
      </c>
      <c r="G216" s="2686" t="s">
        <v>803</v>
      </c>
      <c r="H216" s="2688">
        <v>29.26</v>
      </c>
      <c r="I216" s="2688">
        <v>12.88</v>
      </c>
      <c r="K216" s="2690" t="s">
        <v>805</v>
      </c>
      <c r="L216" s="3484" t="s">
        <v>1018</v>
      </c>
    </row>
    <row r="217" spans="1:12" ht="24.95" customHeight="1">
      <c r="A217" s="2686">
        <v>215</v>
      </c>
      <c r="B217" s="2686" t="s">
        <v>1016</v>
      </c>
      <c r="C217" s="2689">
        <v>187</v>
      </c>
      <c r="D217" s="2686" t="str">
        <f t="shared" si="3"/>
        <v>2#地库187</v>
      </c>
      <c r="E217" s="2686" t="s">
        <v>1017</v>
      </c>
      <c r="F217" s="2686" t="s">
        <v>803</v>
      </c>
      <c r="G217" s="2686" t="s">
        <v>803</v>
      </c>
      <c r="H217" s="2688">
        <v>29.26</v>
      </c>
      <c r="I217" s="2688">
        <v>12.88</v>
      </c>
      <c r="K217" s="2690" t="s">
        <v>805</v>
      </c>
      <c r="L217" s="3484" t="s">
        <v>1018</v>
      </c>
    </row>
    <row r="218" spans="1:12" ht="24.95" customHeight="1">
      <c r="A218" s="2686">
        <v>216</v>
      </c>
      <c r="B218" s="2686" t="s">
        <v>1016</v>
      </c>
      <c r="C218" s="2689">
        <v>188</v>
      </c>
      <c r="D218" s="2686" t="str">
        <f t="shared" si="3"/>
        <v>2#地库188</v>
      </c>
      <c r="E218" s="2686" t="s">
        <v>1017</v>
      </c>
      <c r="F218" s="2686" t="s">
        <v>803</v>
      </c>
      <c r="G218" s="2686" t="s">
        <v>803</v>
      </c>
      <c r="H218" s="2688">
        <v>28.31</v>
      </c>
      <c r="I218" s="2688">
        <v>12.46</v>
      </c>
      <c r="K218" s="2690" t="s">
        <v>805</v>
      </c>
      <c r="L218" s="3484" t="s">
        <v>1018</v>
      </c>
    </row>
    <row r="219" spans="1:12" ht="24.95" customHeight="1">
      <c r="A219" s="2686">
        <v>217</v>
      </c>
      <c r="B219" s="2686" t="s">
        <v>1016</v>
      </c>
      <c r="C219" s="2689">
        <v>189</v>
      </c>
      <c r="D219" s="2686" t="str">
        <f t="shared" si="3"/>
        <v>2#地库189</v>
      </c>
      <c r="E219" s="2686" t="s">
        <v>1017</v>
      </c>
      <c r="F219" s="2686" t="s">
        <v>803</v>
      </c>
      <c r="G219" s="2686" t="s">
        <v>803</v>
      </c>
      <c r="H219" s="2688">
        <v>29.26</v>
      </c>
      <c r="I219" s="2688">
        <v>12.88</v>
      </c>
      <c r="K219" s="2690" t="s">
        <v>805</v>
      </c>
      <c r="L219" s="3484" t="s">
        <v>1018</v>
      </c>
    </row>
    <row r="220" spans="1:12" ht="24.95" customHeight="1">
      <c r="A220" s="2686">
        <v>218</v>
      </c>
      <c r="B220" s="2686" t="s">
        <v>1016</v>
      </c>
      <c r="C220" s="2689">
        <v>190</v>
      </c>
      <c r="D220" s="2686" t="str">
        <f t="shared" si="3"/>
        <v>2#地库190</v>
      </c>
      <c r="E220" s="2686" t="s">
        <v>1017</v>
      </c>
      <c r="F220" s="2686" t="s">
        <v>803</v>
      </c>
      <c r="G220" s="2686" t="s">
        <v>803</v>
      </c>
      <c r="H220" s="2688">
        <v>29.26</v>
      </c>
      <c r="I220" s="2688">
        <v>12.88</v>
      </c>
      <c r="K220" s="2690" t="s">
        <v>805</v>
      </c>
      <c r="L220" s="3484" t="s">
        <v>1018</v>
      </c>
    </row>
    <row r="221" spans="1:12" ht="24.95" customHeight="1">
      <c r="A221" s="2686">
        <v>219</v>
      </c>
      <c r="B221" s="2686" t="s">
        <v>1016</v>
      </c>
      <c r="C221" s="2689">
        <v>191</v>
      </c>
      <c r="D221" s="2686" t="str">
        <f t="shared" si="3"/>
        <v>2#地库191</v>
      </c>
      <c r="E221" s="2686" t="s">
        <v>1017</v>
      </c>
      <c r="F221" s="2686" t="s">
        <v>803</v>
      </c>
      <c r="G221" s="2686" t="s">
        <v>803</v>
      </c>
      <c r="H221" s="2688">
        <v>29.26</v>
      </c>
      <c r="I221" s="2688">
        <v>12.88</v>
      </c>
      <c r="K221" s="2690" t="s">
        <v>805</v>
      </c>
      <c r="L221" s="3484" t="s">
        <v>1018</v>
      </c>
    </row>
    <row r="222" spans="1:12" ht="24.95" customHeight="1">
      <c r="A222" s="2686">
        <v>220</v>
      </c>
      <c r="B222" s="2686" t="s">
        <v>1016</v>
      </c>
      <c r="C222" s="2689">
        <v>192</v>
      </c>
      <c r="D222" s="2686" t="str">
        <f t="shared" si="3"/>
        <v>2#地库192</v>
      </c>
      <c r="E222" s="2686" t="s">
        <v>1017</v>
      </c>
      <c r="F222" s="2686" t="s">
        <v>803</v>
      </c>
      <c r="G222" s="2686" t="s">
        <v>803</v>
      </c>
      <c r="H222" s="2688">
        <v>29.26</v>
      </c>
      <c r="I222" s="2688">
        <v>12.88</v>
      </c>
      <c r="K222" s="2690" t="s">
        <v>805</v>
      </c>
      <c r="L222" s="3484" t="s">
        <v>1018</v>
      </c>
    </row>
    <row r="223" spans="1:12" ht="24.95" customHeight="1">
      <c r="A223" s="2686">
        <v>221</v>
      </c>
      <c r="B223" s="2686" t="s">
        <v>1016</v>
      </c>
      <c r="C223" s="2689">
        <v>193</v>
      </c>
      <c r="D223" s="2686" t="str">
        <f t="shared" si="3"/>
        <v>2#地库193</v>
      </c>
      <c r="E223" s="2686" t="s">
        <v>1017</v>
      </c>
      <c r="F223" s="2686" t="s">
        <v>803</v>
      </c>
      <c r="G223" s="2686" t="s">
        <v>803</v>
      </c>
      <c r="H223" s="2688">
        <v>28.31</v>
      </c>
      <c r="I223" s="2688">
        <v>12.46</v>
      </c>
      <c r="K223" s="2690" t="s">
        <v>805</v>
      </c>
      <c r="L223" s="3484" t="s">
        <v>1018</v>
      </c>
    </row>
    <row r="224" spans="1:12" ht="24.95" customHeight="1">
      <c r="A224" s="2686">
        <v>222</v>
      </c>
      <c r="B224" s="2686" t="s">
        <v>1016</v>
      </c>
      <c r="C224" s="2689">
        <v>194</v>
      </c>
      <c r="D224" s="2686" t="str">
        <f t="shared" si="3"/>
        <v>2#地库194</v>
      </c>
      <c r="E224" s="2686" t="s">
        <v>1017</v>
      </c>
      <c r="F224" s="2686" t="s">
        <v>803</v>
      </c>
      <c r="G224" s="2686" t="s">
        <v>803</v>
      </c>
      <c r="H224" s="2688">
        <v>29.26</v>
      </c>
      <c r="I224" s="2688">
        <v>12.88</v>
      </c>
      <c r="K224" s="2690" t="s">
        <v>805</v>
      </c>
      <c r="L224" s="3484" t="s">
        <v>1018</v>
      </c>
    </row>
    <row r="225" spans="1:12" ht="24.95" customHeight="1">
      <c r="A225" s="2686">
        <v>223</v>
      </c>
      <c r="B225" s="2686" t="s">
        <v>1016</v>
      </c>
      <c r="C225" s="2689">
        <v>195</v>
      </c>
      <c r="D225" s="2686" t="str">
        <f t="shared" si="3"/>
        <v>2#地库195</v>
      </c>
      <c r="E225" s="2686" t="s">
        <v>1017</v>
      </c>
      <c r="F225" s="2686" t="s">
        <v>803</v>
      </c>
      <c r="G225" s="2686" t="s">
        <v>803</v>
      </c>
      <c r="H225" s="2688">
        <v>29.26</v>
      </c>
      <c r="I225" s="2688">
        <v>12.88</v>
      </c>
      <c r="K225" s="2690" t="s">
        <v>805</v>
      </c>
      <c r="L225" s="3484" t="s">
        <v>1018</v>
      </c>
    </row>
    <row r="226" spans="1:12" ht="24.95" customHeight="1">
      <c r="A226" s="2686">
        <v>224</v>
      </c>
      <c r="B226" s="2686" t="s">
        <v>1016</v>
      </c>
      <c r="C226" s="2689">
        <v>196</v>
      </c>
      <c r="D226" s="2686" t="str">
        <f t="shared" si="3"/>
        <v>2#地库196</v>
      </c>
      <c r="E226" s="2686" t="s">
        <v>1017</v>
      </c>
      <c r="F226" s="2686" t="s">
        <v>803</v>
      </c>
      <c r="G226" s="2686" t="s">
        <v>803</v>
      </c>
      <c r="H226" s="2688">
        <v>28.31</v>
      </c>
      <c r="I226" s="2688">
        <v>12.46</v>
      </c>
      <c r="K226" s="2690" t="s">
        <v>805</v>
      </c>
      <c r="L226" s="3484" t="s">
        <v>1018</v>
      </c>
    </row>
    <row r="227" spans="1:12" ht="24.95" customHeight="1">
      <c r="A227" s="2686">
        <v>225</v>
      </c>
      <c r="B227" s="2686" t="s">
        <v>1016</v>
      </c>
      <c r="C227" s="2689">
        <v>197</v>
      </c>
      <c r="D227" s="2686" t="str">
        <f t="shared" si="3"/>
        <v>2#地库197</v>
      </c>
      <c r="E227" s="2686" t="s">
        <v>1017</v>
      </c>
      <c r="F227" s="2686" t="s">
        <v>803</v>
      </c>
      <c r="G227" s="2686" t="s">
        <v>803</v>
      </c>
      <c r="H227" s="2688">
        <v>29.26</v>
      </c>
      <c r="I227" s="2688">
        <v>12.88</v>
      </c>
      <c r="K227" s="2690" t="s">
        <v>805</v>
      </c>
      <c r="L227" s="3484" t="s">
        <v>1018</v>
      </c>
    </row>
    <row r="228" spans="1:12" ht="24.95" customHeight="1">
      <c r="A228" s="2686">
        <v>226</v>
      </c>
      <c r="B228" s="2686" t="s">
        <v>1016</v>
      </c>
      <c r="C228" s="2689">
        <v>198</v>
      </c>
      <c r="D228" s="2686" t="str">
        <f t="shared" si="3"/>
        <v>2#地库198</v>
      </c>
      <c r="E228" s="2686" t="s">
        <v>1017</v>
      </c>
      <c r="F228" s="2686" t="s">
        <v>803</v>
      </c>
      <c r="G228" s="2686" t="s">
        <v>803</v>
      </c>
      <c r="H228" s="2688">
        <v>29.26</v>
      </c>
      <c r="I228" s="2688">
        <v>12.88</v>
      </c>
      <c r="K228" s="2690" t="s">
        <v>805</v>
      </c>
      <c r="L228" s="3484" t="s">
        <v>1018</v>
      </c>
    </row>
    <row r="229" spans="1:12" ht="24.95" customHeight="1">
      <c r="A229" s="2686">
        <v>227</v>
      </c>
      <c r="B229" s="2686" t="s">
        <v>1016</v>
      </c>
      <c r="C229" s="2689">
        <v>199</v>
      </c>
      <c r="D229" s="2686" t="str">
        <f t="shared" si="3"/>
        <v>2#地库199</v>
      </c>
      <c r="E229" s="2686" t="s">
        <v>1017</v>
      </c>
      <c r="F229" s="2686" t="s">
        <v>803</v>
      </c>
      <c r="G229" s="2686" t="s">
        <v>803</v>
      </c>
      <c r="H229" s="2688">
        <v>29.26</v>
      </c>
      <c r="I229" s="2688">
        <v>12.88</v>
      </c>
      <c r="K229" s="2690" t="s">
        <v>805</v>
      </c>
      <c r="L229" s="3484" t="s">
        <v>1018</v>
      </c>
    </row>
    <row r="230" spans="1:12" ht="24.95" customHeight="1">
      <c r="A230" s="2686">
        <v>228</v>
      </c>
      <c r="B230" s="2686" t="s">
        <v>1016</v>
      </c>
      <c r="C230" s="2689">
        <v>200</v>
      </c>
      <c r="D230" s="2686" t="str">
        <f t="shared" si="3"/>
        <v>2#地库200</v>
      </c>
      <c r="E230" s="2686" t="s">
        <v>1017</v>
      </c>
      <c r="F230" s="2686" t="s">
        <v>803</v>
      </c>
      <c r="G230" s="2686" t="s">
        <v>803</v>
      </c>
      <c r="H230" s="2688">
        <v>29.26</v>
      </c>
      <c r="I230" s="2688">
        <v>12.88</v>
      </c>
      <c r="K230" s="2690" t="s">
        <v>805</v>
      </c>
      <c r="L230" s="3484" t="s">
        <v>1018</v>
      </c>
    </row>
    <row r="231" spans="1:12" ht="24.95" customHeight="1">
      <c r="A231" s="2686">
        <v>229</v>
      </c>
      <c r="B231" s="2686" t="s">
        <v>1016</v>
      </c>
      <c r="C231" s="2689">
        <v>201</v>
      </c>
      <c r="D231" s="2686" t="str">
        <f t="shared" si="3"/>
        <v>2#地库201</v>
      </c>
      <c r="E231" s="2686" t="s">
        <v>1017</v>
      </c>
      <c r="F231" s="2686" t="s">
        <v>803</v>
      </c>
      <c r="G231" s="2686" t="s">
        <v>803</v>
      </c>
      <c r="H231" s="2688">
        <v>28.31</v>
      </c>
      <c r="I231" s="2688">
        <v>12.46</v>
      </c>
      <c r="K231" s="2690" t="s">
        <v>805</v>
      </c>
      <c r="L231" s="3484" t="s">
        <v>1018</v>
      </c>
    </row>
    <row r="232" spans="1:12" ht="24.95" customHeight="1">
      <c r="A232" s="2686">
        <v>230</v>
      </c>
      <c r="B232" s="2686" t="s">
        <v>1016</v>
      </c>
      <c r="C232" s="2689">
        <v>202</v>
      </c>
      <c r="D232" s="2686" t="str">
        <f t="shared" si="3"/>
        <v>2#地库202</v>
      </c>
      <c r="E232" s="2686" t="s">
        <v>1017</v>
      </c>
      <c r="F232" s="2686" t="s">
        <v>803</v>
      </c>
      <c r="G232" s="2686" t="s">
        <v>803</v>
      </c>
      <c r="H232" s="2688">
        <v>29.26</v>
      </c>
      <c r="I232" s="2688">
        <v>12.88</v>
      </c>
      <c r="K232" s="2690" t="s">
        <v>805</v>
      </c>
      <c r="L232" s="3484" t="s">
        <v>1018</v>
      </c>
    </row>
    <row r="233" spans="1:12" ht="24.95" customHeight="1">
      <c r="A233" s="2686">
        <v>231</v>
      </c>
      <c r="B233" s="2686" t="s">
        <v>1016</v>
      </c>
      <c r="C233" s="2689">
        <v>203</v>
      </c>
      <c r="D233" s="2686" t="str">
        <f t="shared" si="3"/>
        <v>2#地库203</v>
      </c>
      <c r="E233" s="2686" t="s">
        <v>1017</v>
      </c>
      <c r="F233" s="2686" t="s">
        <v>803</v>
      </c>
      <c r="G233" s="2686" t="s">
        <v>803</v>
      </c>
      <c r="H233" s="2688">
        <v>29.26</v>
      </c>
      <c r="I233" s="2688">
        <v>12.88</v>
      </c>
      <c r="K233" s="2690" t="s">
        <v>805</v>
      </c>
      <c r="L233" s="3484" t="s">
        <v>1018</v>
      </c>
    </row>
    <row r="234" spans="1:12" ht="24.95" customHeight="1">
      <c r="A234" s="2686">
        <v>232</v>
      </c>
      <c r="B234" s="2686" t="s">
        <v>1016</v>
      </c>
      <c r="C234" s="2689">
        <v>204</v>
      </c>
      <c r="D234" s="2686" t="str">
        <f t="shared" si="3"/>
        <v>2#地库204</v>
      </c>
      <c r="E234" s="2686" t="s">
        <v>1017</v>
      </c>
      <c r="F234" s="2686" t="s">
        <v>803</v>
      </c>
      <c r="G234" s="2686" t="s">
        <v>803</v>
      </c>
      <c r="H234" s="2688">
        <v>28.31</v>
      </c>
      <c r="I234" s="2688">
        <v>12.46</v>
      </c>
      <c r="K234" s="2690" t="s">
        <v>805</v>
      </c>
      <c r="L234" s="3484" t="s">
        <v>1018</v>
      </c>
    </row>
    <row r="235" spans="1:12" ht="24.95" customHeight="1">
      <c r="A235" s="2686">
        <v>233</v>
      </c>
      <c r="B235" s="2686" t="s">
        <v>1016</v>
      </c>
      <c r="C235" s="2689">
        <v>205</v>
      </c>
      <c r="D235" s="2686" t="str">
        <f t="shared" si="3"/>
        <v>2#地库205</v>
      </c>
      <c r="E235" s="2686" t="s">
        <v>1017</v>
      </c>
      <c r="F235" s="2686" t="s">
        <v>803</v>
      </c>
      <c r="G235" s="2686" t="s">
        <v>803</v>
      </c>
      <c r="H235" s="2688">
        <v>29.26</v>
      </c>
      <c r="I235" s="2688">
        <v>12.88</v>
      </c>
      <c r="K235" s="2690" t="s">
        <v>805</v>
      </c>
      <c r="L235" s="3484" t="s">
        <v>1018</v>
      </c>
    </row>
    <row r="236" spans="1:12" ht="24.95" customHeight="1">
      <c r="A236" s="2686">
        <v>234</v>
      </c>
      <c r="B236" s="2686" t="s">
        <v>1016</v>
      </c>
      <c r="C236" s="2689">
        <v>206</v>
      </c>
      <c r="D236" s="2686" t="str">
        <f t="shared" si="3"/>
        <v>2#地库206</v>
      </c>
      <c r="E236" s="2686" t="s">
        <v>1017</v>
      </c>
      <c r="F236" s="2686" t="s">
        <v>803</v>
      </c>
      <c r="G236" s="2686" t="s">
        <v>803</v>
      </c>
      <c r="H236" s="2688">
        <v>29.26</v>
      </c>
      <c r="I236" s="2688">
        <v>12.88</v>
      </c>
      <c r="K236" s="2690" t="s">
        <v>805</v>
      </c>
      <c r="L236" s="3484" t="s">
        <v>1018</v>
      </c>
    </row>
    <row r="237" spans="1:12" ht="24.95" customHeight="1">
      <c r="A237" s="2686">
        <v>235</v>
      </c>
      <c r="B237" s="2686" t="s">
        <v>1016</v>
      </c>
      <c r="C237" s="2689">
        <v>207</v>
      </c>
      <c r="D237" s="2686" t="str">
        <f t="shared" si="3"/>
        <v>2#地库207</v>
      </c>
      <c r="E237" s="2686" t="s">
        <v>1017</v>
      </c>
      <c r="F237" s="2686" t="s">
        <v>803</v>
      </c>
      <c r="G237" s="2686" t="s">
        <v>803</v>
      </c>
      <c r="H237" s="2688">
        <v>28.31</v>
      </c>
      <c r="I237" s="2688">
        <v>12.46</v>
      </c>
      <c r="K237" s="2690" t="s">
        <v>805</v>
      </c>
      <c r="L237" s="3484" t="s">
        <v>1018</v>
      </c>
    </row>
    <row r="238" spans="1:12" ht="24.95" customHeight="1">
      <c r="A238" s="2686">
        <v>236</v>
      </c>
      <c r="B238" s="2686" t="s">
        <v>1016</v>
      </c>
      <c r="C238" s="2689">
        <v>208</v>
      </c>
      <c r="D238" s="2686" t="str">
        <f t="shared" si="3"/>
        <v>2#地库208</v>
      </c>
      <c r="E238" s="2686" t="s">
        <v>1017</v>
      </c>
      <c r="F238" s="2686" t="s">
        <v>803</v>
      </c>
      <c r="G238" s="2686" t="s">
        <v>803</v>
      </c>
      <c r="H238" s="2688">
        <v>29.26</v>
      </c>
      <c r="I238" s="2688">
        <v>12.88</v>
      </c>
      <c r="K238" s="2690" t="s">
        <v>805</v>
      </c>
      <c r="L238" s="3484" t="s">
        <v>1018</v>
      </c>
    </row>
    <row r="239" spans="1:12" ht="24.95" customHeight="1">
      <c r="A239" s="2686">
        <v>237</v>
      </c>
      <c r="B239" s="2686" t="s">
        <v>1016</v>
      </c>
      <c r="C239" s="2689">
        <v>209</v>
      </c>
      <c r="D239" s="2686" t="str">
        <f t="shared" si="3"/>
        <v>2#地库209</v>
      </c>
      <c r="E239" s="2686" t="s">
        <v>1017</v>
      </c>
      <c r="F239" s="2686" t="s">
        <v>803</v>
      </c>
      <c r="G239" s="2686" t="s">
        <v>803</v>
      </c>
      <c r="H239" s="2688">
        <v>29.26</v>
      </c>
      <c r="I239" s="2688">
        <v>12.88</v>
      </c>
      <c r="K239" s="2690" t="s">
        <v>805</v>
      </c>
      <c r="L239" s="3484" t="s">
        <v>1018</v>
      </c>
    </row>
    <row r="240" spans="1:12" ht="24.95" customHeight="1">
      <c r="A240" s="2686">
        <v>238</v>
      </c>
      <c r="B240" s="2686" t="s">
        <v>1016</v>
      </c>
      <c r="C240" s="2689">
        <v>210</v>
      </c>
      <c r="D240" s="2686" t="str">
        <f t="shared" si="3"/>
        <v>2#地库210</v>
      </c>
      <c r="E240" s="2686" t="s">
        <v>1017</v>
      </c>
      <c r="F240" s="2686" t="s">
        <v>803</v>
      </c>
      <c r="G240" s="2686" t="s">
        <v>803</v>
      </c>
      <c r="H240" s="2688">
        <v>29.42</v>
      </c>
      <c r="I240" s="2688">
        <v>12.95</v>
      </c>
      <c r="K240" s="2690" t="s">
        <v>805</v>
      </c>
      <c r="L240" s="3484" t="s">
        <v>1018</v>
      </c>
    </row>
    <row r="241" spans="1:12" ht="24.95" customHeight="1">
      <c r="A241" s="2686">
        <v>239</v>
      </c>
      <c r="B241" s="2686" t="s">
        <v>1016</v>
      </c>
      <c r="C241" s="2689">
        <v>211</v>
      </c>
      <c r="D241" s="2686" t="str">
        <f t="shared" si="3"/>
        <v>2#地库211</v>
      </c>
      <c r="E241" s="2686" t="s">
        <v>1017</v>
      </c>
      <c r="F241" s="2686" t="s">
        <v>803</v>
      </c>
      <c r="G241" s="2686" t="s">
        <v>803</v>
      </c>
      <c r="H241" s="2688">
        <v>28.47</v>
      </c>
      <c r="I241" s="2688">
        <v>12.53</v>
      </c>
      <c r="K241" s="2690" t="s">
        <v>805</v>
      </c>
      <c r="L241" s="3484" t="s">
        <v>1018</v>
      </c>
    </row>
    <row r="242" spans="1:12" ht="24.95" customHeight="1">
      <c r="A242" s="2686">
        <v>240</v>
      </c>
      <c r="B242" s="2686" t="s">
        <v>1016</v>
      </c>
      <c r="C242" s="2689">
        <v>212</v>
      </c>
      <c r="D242" s="2686" t="str">
        <f t="shared" si="3"/>
        <v>2#地库212</v>
      </c>
      <c r="E242" s="2686" t="s">
        <v>1017</v>
      </c>
      <c r="F242" s="2686" t="s">
        <v>803</v>
      </c>
      <c r="G242" s="2686" t="s">
        <v>803</v>
      </c>
      <c r="H242" s="2688">
        <v>29.42</v>
      </c>
      <c r="I242" s="2688">
        <v>12.95</v>
      </c>
      <c r="K242" s="2690" t="s">
        <v>805</v>
      </c>
      <c r="L242" s="3484" t="s">
        <v>1018</v>
      </c>
    </row>
    <row r="243" spans="1:12" ht="24.95" customHeight="1">
      <c r="A243" s="2686">
        <v>241</v>
      </c>
      <c r="B243" s="2686" t="s">
        <v>1016</v>
      </c>
      <c r="C243" s="2689">
        <v>213</v>
      </c>
      <c r="D243" s="2686" t="str">
        <f t="shared" si="3"/>
        <v>2#地库213</v>
      </c>
      <c r="E243" s="2686" t="s">
        <v>1017</v>
      </c>
      <c r="F243" s="2686" t="s">
        <v>803</v>
      </c>
      <c r="G243" s="2686" t="s">
        <v>803</v>
      </c>
      <c r="H243" s="2688">
        <v>29.42</v>
      </c>
      <c r="I243" s="2688">
        <v>12.95</v>
      </c>
      <c r="K243" s="2690" t="s">
        <v>805</v>
      </c>
      <c r="L243" s="3484" t="s">
        <v>1018</v>
      </c>
    </row>
    <row r="244" spans="1:12" ht="24.95" customHeight="1">
      <c r="A244" s="2686">
        <v>242</v>
      </c>
      <c r="B244" s="2686" t="s">
        <v>1016</v>
      </c>
      <c r="C244" s="2689">
        <v>214</v>
      </c>
      <c r="D244" s="2686" t="str">
        <f t="shared" si="3"/>
        <v>2#地库214</v>
      </c>
      <c r="E244" s="2686" t="s">
        <v>1017</v>
      </c>
      <c r="F244" s="2686" t="s">
        <v>803</v>
      </c>
      <c r="G244" s="2686" t="s">
        <v>803</v>
      </c>
      <c r="H244" s="2688">
        <v>28.47</v>
      </c>
      <c r="I244" s="2688">
        <v>12.53</v>
      </c>
      <c r="K244" s="2690" t="s">
        <v>805</v>
      </c>
      <c r="L244" s="3484" t="s">
        <v>1018</v>
      </c>
    </row>
    <row r="245" spans="1:12" ht="24.95" customHeight="1">
      <c r="A245" s="2686">
        <v>243</v>
      </c>
      <c r="B245" s="2686" t="s">
        <v>1016</v>
      </c>
      <c r="C245" s="2689">
        <v>215</v>
      </c>
      <c r="D245" s="2686" t="str">
        <f t="shared" si="3"/>
        <v>2#地库215</v>
      </c>
      <c r="E245" s="2686" t="s">
        <v>1017</v>
      </c>
      <c r="F245" s="2686" t="s">
        <v>803</v>
      </c>
      <c r="G245" s="2686" t="s">
        <v>803</v>
      </c>
      <c r="H245" s="2688">
        <v>29.42</v>
      </c>
      <c r="I245" s="2688">
        <v>12.95</v>
      </c>
      <c r="K245" s="2690" t="s">
        <v>805</v>
      </c>
      <c r="L245" s="3484" t="s">
        <v>1018</v>
      </c>
    </row>
    <row r="246" spans="1:12" ht="24.95" customHeight="1">
      <c r="A246" s="2686">
        <v>244</v>
      </c>
      <c r="B246" s="2686" t="s">
        <v>1016</v>
      </c>
      <c r="C246" s="2689">
        <v>216</v>
      </c>
      <c r="D246" s="2686" t="str">
        <f t="shared" si="3"/>
        <v>2#地库216</v>
      </c>
      <c r="E246" s="2686" t="s">
        <v>1017</v>
      </c>
      <c r="F246" s="2686" t="s">
        <v>803</v>
      </c>
      <c r="G246" s="2686" t="s">
        <v>803</v>
      </c>
      <c r="H246" s="2688">
        <v>29.88</v>
      </c>
      <c r="I246" s="2688">
        <v>13.15</v>
      </c>
      <c r="K246" s="2690" t="s">
        <v>805</v>
      </c>
      <c r="L246" s="3484" t="s">
        <v>1018</v>
      </c>
    </row>
    <row r="247" spans="1:12" ht="24.95" customHeight="1">
      <c r="A247" s="2686">
        <v>245</v>
      </c>
      <c r="B247" s="2686" t="s">
        <v>1016</v>
      </c>
      <c r="C247" s="2689">
        <v>217</v>
      </c>
      <c r="D247" s="2686" t="str">
        <f t="shared" si="3"/>
        <v>2#地库217</v>
      </c>
      <c r="E247" s="2686" t="s">
        <v>1017</v>
      </c>
      <c r="F247" s="2686" t="s">
        <v>803</v>
      </c>
      <c r="G247" s="2686" t="s">
        <v>803</v>
      </c>
      <c r="H247" s="2688">
        <v>28.88</v>
      </c>
      <c r="I247" s="2688">
        <v>12.71</v>
      </c>
      <c r="K247" s="2690" t="s">
        <v>805</v>
      </c>
      <c r="L247" s="3484" t="s">
        <v>1018</v>
      </c>
    </row>
    <row r="248" spans="1:12" ht="24.95" customHeight="1">
      <c r="A248" s="2686">
        <v>246</v>
      </c>
      <c r="B248" s="2686" t="s">
        <v>1016</v>
      </c>
      <c r="C248" s="2689">
        <v>218</v>
      </c>
      <c r="D248" s="2686" t="str">
        <f t="shared" si="3"/>
        <v>2#地库218</v>
      </c>
      <c r="E248" s="2686" t="s">
        <v>1017</v>
      </c>
      <c r="F248" s="2686" t="s">
        <v>803</v>
      </c>
      <c r="G248" s="2686" t="s">
        <v>803</v>
      </c>
      <c r="H248" s="2688">
        <v>29.88</v>
      </c>
      <c r="I248" s="2688">
        <v>13.15</v>
      </c>
      <c r="K248" s="2690" t="s">
        <v>805</v>
      </c>
      <c r="L248" s="3484" t="s">
        <v>1018</v>
      </c>
    </row>
    <row r="249" spans="1:12" ht="24.95" customHeight="1">
      <c r="A249" s="2686">
        <v>247</v>
      </c>
      <c r="B249" s="2686" t="s">
        <v>1016</v>
      </c>
      <c r="C249" s="2689">
        <v>219</v>
      </c>
      <c r="D249" s="2686" t="str">
        <f t="shared" si="3"/>
        <v>2#地库219</v>
      </c>
      <c r="E249" s="2686" t="s">
        <v>1017</v>
      </c>
      <c r="F249" s="2686" t="s">
        <v>803</v>
      </c>
      <c r="G249" s="2686" t="s">
        <v>803</v>
      </c>
      <c r="H249" s="2688">
        <v>29.88</v>
      </c>
      <c r="I249" s="2688">
        <v>13.15</v>
      </c>
      <c r="K249" s="2690" t="s">
        <v>805</v>
      </c>
      <c r="L249" s="3484" t="s">
        <v>1018</v>
      </c>
    </row>
    <row r="250" spans="1:12" ht="24.95" customHeight="1">
      <c r="A250" s="2686">
        <v>248</v>
      </c>
      <c r="B250" s="2686" t="s">
        <v>1016</v>
      </c>
      <c r="C250" s="2689">
        <v>220</v>
      </c>
      <c r="D250" s="2686" t="str">
        <f t="shared" si="3"/>
        <v>2#地库220</v>
      </c>
      <c r="E250" s="2686" t="s">
        <v>1017</v>
      </c>
      <c r="F250" s="2686" t="s">
        <v>803</v>
      </c>
      <c r="G250" s="2686" t="s">
        <v>803</v>
      </c>
      <c r="H250" s="2688">
        <v>28.88</v>
      </c>
      <c r="I250" s="2688">
        <v>12.71</v>
      </c>
      <c r="K250" s="2690" t="s">
        <v>805</v>
      </c>
      <c r="L250" s="3484" t="s">
        <v>1018</v>
      </c>
    </row>
    <row r="251" spans="1:12" ht="24.95" customHeight="1">
      <c r="A251" s="2686">
        <v>249</v>
      </c>
      <c r="B251" s="2686" t="s">
        <v>1016</v>
      </c>
      <c r="C251" s="2689">
        <v>221</v>
      </c>
      <c r="D251" s="2686" t="str">
        <f t="shared" si="3"/>
        <v>2#地库221</v>
      </c>
      <c r="E251" s="2686" t="s">
        <v>1017</v>
      </c>
      <c r="F251" s="2686" t="s">
        <v>803</v>
      </c>
      <c r="G251" s="2686" t="s">
        <v>803</v>
      </c>
      <c r="H251" s="2688">
        <v>29.88</v>
      </c>
      <c r="I251" s="2688">
        <v>13.15</v>
      </c>
      <c r="K251" s="2690" t="s">
        <v>805</v>
      </c>
      <c r="L251" s="3484" t="s">
        <v>1018</v>
      </c>
    </row>
    <row r="252" spans="1:12" ht="24.95" customHeight="1">
      <c r="A252" s="2686">
        <v>250</v>
      </c>
      <c r="B252" s="2686" t="s">
        <v>1016</v>
      </c>
      <c r="C252" s="2689">
        <v>222</v>
      </c>
      <c r="D252" s="2686" t="str">
        <f t="shared" si="3"/>
        <v>2#地库222</v>
      </c>
      <c r="E252" s="2686" t="s">
        <v>1017</v>
      </c>
      <c r="F252" s="2686" t="s">
        <v>803</v>
      </c>
      <c r="G252" s="2686" t="s">
        <v>803</v>
      </c>
      <c r="H252" s="2688">
        <v>29.88</v>
      </c>
      <c r="I252" s="2688">
        <v>13.15</v>
      </c>
      <c r="K252" s="2690" t="s">
        <v>805</v>
      </c>
      <c r="L252" s="3484" t="s">
        <v>1018</v>
      </c>
    </row>
    <row r="253" spans="1:12" ht="24.95" customHeight="1">
      <c r="A253" s="2686">
        <v>251</v>
      </c>
      <c r="B253" s="2686" t="s">
        <v>1016</v>
      </c>
      <c r="C253" s="2689">
        <v>223</v>
      </c>
      <c r="D253" s="2686" t="str">
        <f t="shared" si="3"/>
        <v>2#地库223</v>
      </c>
      <c r="E253" s="2686" t="s">
        <v>1017</v>
      </c>
      <c r="F253" s="2686" t="s">
        <v>803</v>
      </c>
      <c r="G253" s="2686" t="s">
        <v>803</v>
      </c>
      <c r="H253" s="2688">
        <v>28.88</v>
      </c>
      <c r="I253" s="2688">
        <v>12.71</v>
      </c>
      <c r="K253" s="2690" t="s">
        <v>805</v>
      </c>
      <c r="L253" s="3484" t="s">
        <v>1018</v>
      </c>
    </row>
    <row r="254" spans="1:12" ht="24.95" customHeight="1">
      <c r="A254" s="2686">
        <v>252</v>
      </c>
      <c r="B254" s="2686" t="s">
        <v>1016</v>
      </c>
      <c r="C254" s="2689">
        <v>224</v>
      </c>
      <c r="D254" s="2686" t="str">
        <f t="shared" si="3"/>
        <v>2#地库224</v>
      </c>
      <c r="E254" s="2686" t="s">
        <v>1017</v>
      </c>
      <c r="F254" s="2686" t="s">
        <v>803</v>
      </c>
      <c r="G254" s="2686" t="s">
        <v>803</v>
      </c>
      <c r="H254" s="2688">
        <v>29.88</v>
      </c>
      <c r="I254" s="2688">
        <v>13.15</v>
      </c>
      <c r="K254" s="2690" t="s">
        <v>805</v>
      </c>
      <c r="L254" s="3484" t="s">
        <v>1018</v>
      </c>
    </row>
    <row r="255" spans="1:12" ht="24.95" customHeight="1">
      <c r="A255" s="2686">
        <v>253</v>
      </c>
      <c r="B255" s="2686" t="s">
        <v>1016</v>
      </c>
      <c r="C255" s="2689">
        <v>225</v>
      </c>
      <c r="D255" s="2686" t="str">
        <f t="shared" si="3"/>
        <v>2#地库225</v>
      </c>
      <c r="E255" s="2686" t="s">
        <v>1017</v>
      </c>
      <c r="F255" s="2686" t="s">
        <v>803</v>
      </c>
      <c r="G255" s="2686" t="s">
        <v>803</v>
      </c>
      <c r="H255" s="2688">
        <v>30.35</v>
      </c>
      <c r="I255" s="2688">
        <v>13.36</v>
      </c>
      <c r="K255" s="2690" t="s">
        <v>805</v>
      </c>
      <c r="L255" s="3484" t="s">
        <v>1018</v>
      </c>
    </row>
    <row r="256" spans="1:12" ht="24.95" customHeight="1">
      <c r="A256" s="2686">
        <v>254</v>
      </c>
      <c r="B256" s="2686" t="s">
        <v>1016</v>
      </c>
      <c r="C256" s="2689">
        <v>226</v>
      </c>
      <c r="D256" s="2686" t="str">
        <f t="shared" si="3"/>
        <v>2#地库226</v>
      </c>
      <c r="E256" s="2686" t="s">
        <v>1017</v>
      </c>
      <c r="F256" s="2686" t="s">
        <v>803</v>
      </c>
      <c r="G256" s="2686" t="s">
        <v>803</v>
      </c>
      <c r="H256" s="2688">
        <v>29.26</v>
      </c>
      <c r="I256" s="2688">
        <v>12.88</v>
      </c>
      <c r="K256" s="2690" t="s">
        <v>805</v>
      </c>
      <c r="L256" s="3484" t="s">
        <v>1018</v>
      </c>
    </row>
    <row r="257" spans="1:12" ht="24.95" customHeight="1">
      <c r="A257" s="2686">
        <v>255</v>
      </c>
      <c r="B257" s="2686" t="s">
        <v>1016</v>
      </c>
      <c r="C257" s="2689">
        <v>227</v>
      </c>
      <c r="D257" s="2686" t="str">
        <f t="shared" si="3"/>
        <v>2#地库227</v>
      </c>
      <c r="E257" s="2686" t="s">
        <v>1017</v>
      </c>
      <c r="F257" s="2686" t="s">
        <v>803</v>
      </c>
      <c r="G257" s="2686" t="s">
        <v>803</v>
      </c>
      <c r="H257" s="2688">
        <v>28.31</v>
      </c>
      <c r="I257" s="2688">
        <v>12.46</v>
      </c>
      <c r="K257" s="2690" t="s">
        <v>805</v>
      </c>
      <c r="L257" s="3484" t="s">
        <v>1018</v>
      </c>
    </row>
    <row r="258" spans="1:12" ht="24.95" customHeight="1">
      <c r="A258" s="2686">
        <v>256</v>
      </c>
      <c r="B258" s="2686" t="s">
        <v>1016</v>
      </c>
      <c r="C258" s="2689">
        <v>228</v>
      </c>
      <c r="D258" s="2686" t="str">
        <f t="shared" si="3"/>
        <v>2#地库228</v>
      </c>
      <c r="E258" s="2686" t="s">
        <v>1017</v>
      </c>
      <c r="F258" s="2686" t="s">
        <v>803</v>
      </c>
      <c r="G258" s="2686" t="s">
        <v>803</v>
      </c>
      <c r="H258" s="2688">
        <v>29.26</v>
      </c>
      <c r="I258" s="2688">
        <v>12.88</v>
      </c>
      <c r="K258" s="2690" t="s">
        <v>805</v>
      </c>
      <c r="L258" s="3484" t="s">
        <v>1018</v>
      </c>
    </row>
    <row r="259" spans="1:12" ht="24.95" customHeight="1">
      <c r="A259" s="2686">
        <v>257</v>
      </c>
      <c r="B259" s="2686" t="s">
        <v>1016</v>
      </c>
      <c r="C259" s="2689">
        <v>229</v>
      </c>
      <c r="D259" s="2686" t="str">
        <f t="shared" si="3"/>
        <v>2#地库229</v>
      </c>
      <c r="E259" s="2686" t="s">
        <v>1017</v>
      </c>
      <c r="F259" s="2686" t="s">
        <v>803</v>
      </c>
      <c r="G259" s="2686" t="s">
        <v>803</v>
      </c>
      <c r="H259" s="2688">
        <v>29.26</v>
      </c>
      <c r="I259" s="2688">
        <v>12.88</v>
      </c>
      <c r="K259" s="2690" t="s">
        <v>805</v>
      </c>
      <c r="L259" s="3484" t="s">
        <v>1018</v>
      </c>
    </row>
    <row r="260" spans="1:12" ht="24.95" customHeight="1">
      <c r="A260" s="2686">
        <v>258</v>
      </c>
      <c r="B260" s="2686" t="s">
        <v>1016</v>
      </c>
      <c r="C260" s="2689">
        <v>230</v>
      </c>
      <c r="D260" s="2686" t="str">
        <f t="shared" si="3"/>
        <v>2#地库230</v>
      </c>
      <c r="E260" s="2686" t="s">
        <v>1017</v>
      </c>
      <c r="F260" s="2686" t="s">
        <v>803</v>
      </c>
      <c r="G260" s="2686" t="s">
        <v>803</v>
      </c>
      <c r="H260" s="2688">
        <v>28.31</v>
      </c>
      <c r="I260" s="2688">
        <v>12.46</v>
      </c>
      <c r="K260" s="2690" t="s">
        <v>805</v>
      </c>
      <c r="L260" s="3484" t="s">
        <v>1018</v>
      </c>
    </row>
    <row r="261" spans="1:12" ht="24.95" customHeight="1">
      <c r="A261" s="2686">
        <v>259</v>
      </c>
      <c r="B261" s="2686" t="s">
        <v>1016</v>
      </c>
      <c r="C261" s="2689">
        <v>231</v>
      </c>
      <c r="D261" s="2686" t="str">
        <f t="shared" si="3"/>
        <v>2#地库231</v>
      </c>
      <c r="E261" s="2686" t="s">
        <v>1017</v>
      </c>
      <c r="F261" s="2686" t="s">
        <v>803</v>
      </c>
      <c r="G261" s="2686" t="s">
        <v>803</v>
      </c>
      <c r="H261" s="2688">
        <v>29.26</v>
      </c>
      <c r="I261" s="2688">
        <v>12.88</v>
      </c>
      <c r="K261" s="2690" t="s">
        <v>805</v>
      </c>
      <c r="L261" s="3484" t="s">
        <v>1018</v>
      </c>
    </row>
    <row r="262" spans="1:12" ht="24.95" customHeight="1">
      <c r="A262" s="2686">
        <v>260</v>
      </c>
      <c r="B262" s="2686" t="s">
        <v>1016</v>
      </c>
      <c r="C262" s="2689">
        <v>232</v>
      </c>
      <c r="D262" s="2686" t="str">
        <f t="shared" si="3"/>
        <v>2#地库232</v>
      </c>
      <c r="E262" s="2686" t="s">
        <v>1017</v>
      </c>
      <c r="F262" s="2686" t="s">
        <v>803</v>
      </c>
      <c r="G262" s="2686" t="s">
        <v>803</v>
      </c>
      <c r="H262" s="2688">
        <v>29.26</v>
      </c>
      <c r="I262" s="2688">
        <v>12.88</v>
      </c>
      <c r="K262" s="2690" t="s">
        <v>805</v>
      </c>
      <c r="L262" s="3484" t="s">
        <v>1018</v>
      </c>
    </row>
    <row r="263" spans="1:12" ht="24.95" customHeight="1">
      <c r="A263" s="2686">
        <v>261</v>
      </c>
      <c r="B263" s="2686" t="s">
        <v>1016</v>
      </c>
      <c r="C263" s="2689">
        <v>233</v>
      </c>
      <c r="D263" s="2686" t="str">
        <f t="shared" si="3"/>
        <v>2#地库233</v>
      </c>
      <c r="E263" s="2686" t="s">
        <v>1017</v>
      </c>
      <c r="F263" s="2686" t="s">
        <v>803</v>
      </c>
      <c r="G263" s="2686" t="s">
        <v>803</v>
      </c>
      <c r="H263" s="2688">
        <v>28.31</v>
      </c>
      <c r="I263" s="2688">
        <v>12.46</v>
      </c>
      <c r="K263" s="2690" t="s">
        <v>805</v>
      </c>
      <c r="L263" s="3484" t="s">
        <v>1018</v>
      </c>
    </row>
    <row r="264" spans="1:12" ht="24.95" customHeight="1">
      <c r="A264" s="2686">
        <v>262</v>
      </c>
      <c r="B264" s="2686" t="s">
        <v>1016</v>
      </c>
      <c r="C264" s="2689">
        <v>234</v>
      </c>
      <c r="D264" s="2686" t="str">
        <f t="shared" ref="D264:D327" si="4">B264&amp;C264</f>
        <v>2#地库234</v>
      </c>
      <c r="E264" s="2686" t="s">
        <v>1017</v>
      </c>
      <c r="F264" s="2686" t="s">
        <v>803</v>
      </c>
      <c r="G264" s="2686" t="s">
        <v>803</v>
      </c>
      <c r="H264" s="2688">
        <v>29.26</v>
      </c>
      <c r="I264" s="2688">
        <v>12.88</v>
      </c>
      <c r="K264" s="2690" t="s">
        <v>805</v>
      </c>
      <c r="L264" s="3484" t="s">
        <v>1018</v>
      </c>
    </row>
    <row r="265" spans="1:12" ht="24.95" customHeight="1">
      <c r="A265" s="2686">
        <v>263</v>
      </c>
      <c r="B265" s="2686" t="s">
        <v>1016</v>
      </c>
      <c r="C265" s="2689">
        <v>235</v>
      </c>
      <c r="D265" s="2686" t="str">
        <f t="shared" si="4"/>
        <v>2#地库235</v>
      </c>
      <c r="E265" s="2686" t="s">
        <v>1017</v>
      </c>
      <c r="F265" s="2686" t="s">
        <v>803</v>
      </c>
      <c r="G265" s="2686" t="s">
        <v>803</v>
      </c>
      <c r="H265" s="2688">
        <v>29.26</v>
      </c>
      <c r="I265" s="2688">
        <v>12.88</v>
      </c>
      <c r="K265" s="2690" t="s">
        <v>805</v>
      </c>
      <c r="L265" s="3484" t="s">
        <v>1018</v>
      </c>
    </row>
    <row r="266" spans="1:12" ht="24.95" customHeight="1">
      <c r="A266" s="2686">
        <v>264</v>
      </c>
      <c r="B266" s="2686" t="s">
        <v>1016</v>
      </c>
      <c r="C266" s="2689">
        <v>236</v>
      </c>
      <c r="D266" s="2686" t="str">
        <f t="shared" si="4"/>
        <v>2#地库236</v>
      </c>
      <c r="E266" s="2686" t="s">
        <v>1017</v>
      </c>
      <c r="F266" s="2686" t="s">
        <v>803</v>
      </c>
      <c r="G266" s="2686" t="s">
        <v>803</v>
      </c>
      <c r="H266" s="2688">
        <v>28.31</v>
      </c>
      <c r="I266" s="2688">
        <v>12.46</v>
      </c>
      <c r="K266" s="2690" t="s">
        <v>805</v>
      </c>
      <c r="L266" s="3484" t="s">
        <v>1018</v>
      </c>
    </row>
    <row r="267" spans="1:12" ht="24.95" customHeight="1">
      <c r="A267" s="2686">
        <v>265</v>
      </c>
      <c r="B267" s="2686" t="s">
        <v>1016</v>
      </c>
      <c r="C267" s="2689">
        <v>237</v>
      </c>
      <c r="D267" s="2686" t="str">
        <f t="shared" si="4"/>
        <v>2#地库237</v>
      </c>
      <c r="E267" s="2686" t="s">
        <v>1017</v>
      </c>
      <c r="F267" s="2686" t="s">
        <v>803</v>
      </c>
      <c r="G267" s="2686" t="s">
        <v>803</v>
      </c>
      <c r="H267" s="2688">
        <v>29.26</v>
      </c>
      <c r="I267" s="2688">
        <v>12.88</v>
      </c>
      <c r="K267" s="2690" t="s">
        <v>805</v>
      </c>
      <c r="L267" s="3484" t="s">
        <v>1018</v>
      </c>
    </row>
    <row r="268" spans="1:12" ht="24.95" customHeight="1">
      <c r="A268" s="2686">
        <v>266</v>
      </c>
      <c r="B268" s="2686" t="s">
        <v>1016</v>
      </c>
      <c r="C268" s="2689">
        <v>238</v>
      </c>
      <c r="D268" s="2686" t="str">
        <f t="shared" si="4"/>
        <v>2#地库238</v>
      </c>
      <c r="E268" s="2686" t="s">
        <v>1017</v>
      </c>
      <c r="F268" s="2686" t="s">
        <v>803</v>
      </c>
      <c r="G268" s="2686" t="s">
        <v>803</v>
      </c>
      <c r="H268" s="2688">
        <v>29.26</v>
      </c>
      <c r="I268" s="2688">
        <v>12.88</v>
      </c>
      <c r="K268" s="2690" t="s">
        <v>805</v>
      </c>
      <c r="L268" s="3484" t="s">
        <v>1018</v>
      </c>
    </row>
    <row r="269" spans="1:12" ht="24.95" customHeight="1">
      <c r="A269" s="2686">
        <v>267</v>
      </c>
      <c r="B269" s="2686" t="s">
        <v>1016</v>
      </c>
      <c r="C269" s="2689">
        <v>239</v>
      </c>
      <c r="D269" s="2686" t="str">
        <f t="shared" si="4"/>
        <v>2#地库239</v>
      </c>
      <c r="E269" s="2686" t="s">
        <v>1017</v>
      </c>
      <c r="F269" s="2686" t="s">
        <v>803</v>
      </c>
      <c r="G269" s="2686" t="s">
        <v>803</v>
      </c>
      <c r="H269" s="2688">
        <v>28.31</v>
      </c>
      <c r="I269" s="2688">
        <v>12.46</v>
      </c>
      <c r="K269" s="2690" t="s">
        <v>805</v>
      </c>
      <c r="L269" s="3484" t="s">
        <v>1018</v>
      </c>
    </row>
    <row r="270" spans="1:12" ht="24.95" customHeight="1">
      <c r="A270" s="2686">
        <v>268</v>
      </c>
      <c r="B270" s="2686" t="s">
        <v>1016</v>
      </c>
      <c r="C270" s="2689">
        <v>240</v>
      </c>
      <c r="D270" s="2686" t="str">
        <f t="shared" si="4"/>
        <v>2#地库240</v>
      </c>
      <c r="E270" s="2686" t="s">
        <v>1017</v>
      </c>
      <c r="F270" s="2686" t="s">
        <v>803</v>
      </c>
      <c r="G270" s="2686" t="s">
        <v>803</v>
      </c>
      <c r="H270" s="2688">
        <v>29.26</v>
      </c>
      <c r="I270" s="2688">
        <v>12.88</v>
      </c>
      <c r="K270" s="2690" t="s">
        <v>805</v>
      </c>
      <c r="L270" s="3484" t="s">
        <v>1018</v>
      </c>
    </row>
    <row r="271" spans="1:12" ht="24.95" customHeight="1">
      <c r="A271" s="2686">
        <v>269</v>
      </c>
      <c r="B271" s="2686" t="s">
        <v>1016</v>
      </c>
      <c r="C271" s="2689">
        <v>241</v>
      </c>
      <c r="D271" s="2686" t="str">
        <f t="shared" si="4"/>
        <v>2#地库241</v>
      </c>
      <c r="E271" s="2686" t="s">
        <v>1017</v>
      </c>
      <c r="F271" s="2686" t="s">
        <v>803</v>
      </c>
      <c r="G271" s="2686" t="s">
        <v>803</v>
      </c>
      <c r="H271" s="2688">
        <v>29.26</v>
      </c>
      <c r="I271" s="2688">
        <v>12.88</v>
      </c>
      <c r="K271" s="2690" t="s">
        <v>805</v>
      </c>
      <c r="L271" s="3484" t="s">
        <v>1018</v>
      </c>
    </row>
    <row r="272" spans="1:12" ht="24.95" customHeight="1">
      <c r="A272" s="2686">
        <v>270</v>
      </c>
      <c r="B272" s="2686" t="s">
        <v>1016</v>
      </c>
      <c r="C272" s="2689">
        <v>242</v>
      </c>
      <c r="D272" s="2686" t="str">
        <f t="shared" si="4"/>
        <v>2#地库242</v>
      </c>
      <c r="E272" s="2686" t="s">
        <v>1017</v>
      </c>
      <c r="F272" s="2686" t="s">
        <v>803</v>
      </c>
      <c r="G272" s="2686" t="s">
        <v>803</v>
      </c>
      <c r="H272" s="2688">
        <v>28.31</v>
      </c>
      <c r="I272" s="2688">
        <v>12.46</v>
      </c>
      <c r="K272" s="2690" t="s">
        <v>805</v>
      </c>
      <c r="L272" s="3484" t="s">
        <v>1018</v>
      </c>
    </row>
    <row r="273" spans="1:12" ht="24.95" customHeight="1">
      <c r="A273" s="2686">
        <v>271</v>
      </c>
      <c r="B273" s="2686" t="s">
        <v>1016</v>
      </c>
      <c r="C273" s="2689">
        <v>243</v>
      </c>
      <c r="D273" s="2686" t="str">
        <f t="shared" si="4"/>
        <v>2#地库243</v>
      </c>
      <c r="E273" s="2686" t="s">
        <v>1017</v>
      </c>
      <c r="F273" s="2686" t="s">
        <v>803</v>
      </c>
      <c r="G273" s="2686" t="s">
        <v>803</v>
      </c>
      <c r="H273" s="2688">
        <v>29.26</v>
      </c>
      <c r="I273" s="2688">
        <v>12.88</v>
      </c>
      <c r="K273" s="2690" t="s">
        <v>805</v>
      </c>
      <c r="L273" s="3484" t="s">
        <v>1018</v>
      </c>
    </row>
    <row r="274" spans="1:12" ht="24.95" customHeight="1">
      <c r="A274" s="2686">
        <v>272</v>
      </c>
      <c r="B274" s="2686" t="s">
        <v>1016</v>
      </c>
      <c r="C274" s="2689">
        <v>244</v>
      </c>
      <c r="D274" s="2686" t="str">
        <f t="shared" si="4"/>
        <v>2#地库244</v>
      </c>
      <c r="E274" s="2686" t="s">
        <v>1017</v>
      </c>
      <c r="F274" s="2686" t="s">
        <v>803</v>
      </c>
      <c r="G274" s="2686" t="s">
        <v>803</v>
      </c>
      <c r="H274" s="2688">
        <v>29.26</v>
      </c>
      <c r="I274" s="2688">
        <v>12.88</v>
      </c>
      <c r="K274" s="2690" t="s">
        <v>805</v>
      </c>
      <c r="L274" s="3484" t="s">
        <v>1018</v>
      </c>
    </row>
    <row r="275" spans="1:12" ht="24.95" customHeight="1">
      <c r="A275" s="2686">
        <v>273</v>
      </c>
      <c r="B275" s="2686" t="s">
        <v>1016</v>
      </c>
      <c r="C275" s="2689">
        <v>245</v>
      </c>
      <c r="D275" s="2686" t="str">
        <f t="shared" si="4"/>
        <v>2#地库245</v>
      </c>
      <c r="E275" s="2686" t="s">
        <v>1017</v>
      </c>
      <c r="F275" s="2686" t="s">
        <v>803</v>
      </c>
      <c r="G275" s="2686" t="s">
        <v>803</v>
      </c>
      <c r="H275" s="2688">
        <v>29.26</v>
      </c>
      <c r="I275" s="2688">
        <v>12.88</v>
      </c>
      <c r="K275" s="2690" t="s">
        <v>805</v>
      </c>
      <c r="L275" s="3484" t="s">
        <v>1018</v>
      </c>
    </row>
    <row r="276" spans="1:12" ht="24.95" customHeight="1">
      <c r="A276" s="2686">
        <v>274</v>
      </c>
      <c r="B276" s="2686" t="s">
        <v>1016</v>
      </c>
      <c r="C276" s="2689">
        <v>246</v>
      </c>
      <c r="D276" s="2686" t="str">
        <f t="shared" si="4"/>
        <v>2#地库246</v>
      </c>
      <c r="E276" s="2686" t="s">
        <v>1017</v>
      </c>
      <c r="F276" s="2686" t="s">
        <v>803</v>
      </c>
      <c r="G276" s="2686" t="s">
        <v>803</v>
      </c>
      <c r="H276" s="2688">
        <v>29.26</v>
      </c>
      <c r="I276" s="2688">
        <v>12.88</v>
      </c>
      <c r="K276" s="2690" t="s">
        <v>805</v>
      </c>
      <c r="L276" s="3484" t="s">
        <v>1018</v>
      </c>
    </row>
    <row r="277" spans="1:12" ht="24.95" customHeight="1">
      <c r="A277" s="2686">
        <v>275</v>
      </c>
      <c r="B277" s="2686" t="s">
        <v>1016</v>
      </c>
      <c r="C277" s="2689">
        <v>247</v>
      </c>
      <c r="D277" s="2686" t="str">
        <f t="shared" si="4"/>
        <v>2#地库247</v>
      </c>
      <c r="E277" s="2686" t="s">
        <v>1017</v>
      </c>
      <c r="F277" s="2686" t="s">
        <v>803</v>
      </c>
      <c r="G277" s="2686" t="s">
        <v>803</v>
      </c>
      <c r="H277" s="2688">
        <v>28.31</v>
      </c>
      <c r="I277" s="2688">
        <v>12.46</v>
      </c>
      <c r="K277" s="2690" t="s">
        <v>805</v>
      </c>
      <c r="L277" s="3484" t="s">
        <v>1018</v>
      </c>
    </row>
    <row r="278" spans="1:12" ht="24.95" customHeight="1">
      <c r="A278" s="2686">
        <v>276</v>
      </c>
      <c r="B278" s="2686" t="s">
        <v>1016</v>
      </c>
      <c r="C278" s="2689">
        <v>248</v>
      </c>
      <c r="D278" s="2686" t="str">
        <f t="shared" si="4"/>
        <v>2#地库248</v>
      </c>
      <c r="E278" s="2686" t="s">
        <v>1017</v>
      </c>
      <c r="F278" s="2686" t="s">
        <v>803</v>
      </c>
      <c r="G278" s="2686" t="s">
        <v>803</v>
      </c>
      <c r="H278" s="2688">
        <v>29.26</v>
      </c>
      <c r="I278" s="2688">
        <v>12.88</v>
      </c>
      <c r="K278" s="2690" t="s">
        <v>805</v>
      </c>
      <c r="L278" s="3484" t="s">
        <v>1018</v>
      </c>
    </row>
    <row r="279" spans="1:12" ht="24.95" customHeight="1">
      <c r="A279" s="2686">
        <v>277</v>
      </c>
      <c r="B279" s="2686" t="s">
        <v>1016</v>
      </c>
      <c r="C279" s="2689">
        <v>249</v>
      </c>
      <c r="D279" s="2686" t="str">
        <f t="shared" si="4"/>
        <v>2#地库249</v>
      </c>
      <c r="E279" s="2686" t="s">
        <v>1017</v>
      </c>
      <c r="F279" s="2686" t="s">
        <v>803</v>
      </c>
      <c r="G279" s="2686" t="s">
        <v>803</v>
      </c>
      <c r="H279" s="2688">
        <v>29.26</v>
      </c>
      <c r="I279" s="2688">
        <v>12.88</v>
      </c>
      <c r="K279" s="2690" t="s">
        <v>805</v>
      </c>
      <c r="L279" s="3484" t="s">
        <v>1018</v>
      </c>
    </row>
    <row r="280" spans="1:12" ht="24.95" customHeight="1">
      <c r="A280" s="2686">
        <v>278</v>
      </c>
      <c r="B280" s="2686" t="s">
        <v>1016</v>
      </c>
      <c r="C280" s="2689">
        <v>250</v>
      </c>
      <c r="D280" s="2686" t="str">
        <f t="shared" si="4"/>
        <v>2#地库250</v>
      </c>
      <c r="E280" s="2686" t="s">
        <v>1017</v>
      </c>
      <c r="F280" s="2686" t="s">
        <v>803</v>
      </c>
      <c r="G280" s="2686" t="s">
        <v>803</v>
      </c>
      <c r="H280" s="2688">
        <v>28.31</v>
      </c>
      <c r="I280" s="2688">
        <v>12.46</v>
      </c>
      <c r="K280" s="2690" t="s">
        <v>805</v>
      </c>
      <c r="L280" s="3484" t="s">
        <v>1018</v>
      </c>
    </row>
    <row r="281" spans="1:12" ht="24.95" customHeight="1">
      <c r="A281" s="2686">
        <v>279</v>
      </c>
      <c r="B281" s="2686" t="s">
        <v>1016</v>
      </c>
      <c r="C281" s="2689">
        <v>251</v>
      </c>
      <c r="D281" s="2686" t="str">
        <f t="shared" si="4"/>
        <v>2#地库251</v>
      </c>
      <c r="E281" s="2686" t="s">
        <v>1017</v>
      </c>
      <c r="F281" s="2686" t="s">
        <v>803</v>
      </c>
      <c r="G281" s="2686" t="s">
        <v>803</v>
      </c>
      <c r="H281" s="2688">
        <v>29.26</v>
      </c>
      <c r="I281" s="2688">
        <v>12.88</v>
      </c>
      <c r="K281" s="2690" t="s">
        <v>805</v>
      </c>
      <c r="L281" s="3484" t="s">
        <v>1018</v>
      </c>
    </row>
    <row r="282" spans="1:12" ht="24.95" customHeight="1">
      <c r="A282" s="2686">
        <v>280</v>
      </c>
      <c r="B282" s="2686" t="s">
        <v>1016</v>
      </c>
      <c r="C282" s="2689">
        <v>252</v>
      </c>
      <c r="D282" s="2686" t="str">
        <f t="shared" si="4"/>
        <v>2#地库252</v>
      </c>
      <c r="E282" s="2686" t="s">
        <v>1017</v>
      </c>
      <c r="F282" s="2686" t="s">
        <v>803</v>
      </c>
      <c r="G282" s="2686" t="s">
        <v>803</v>
      </c>
      <c r="H282" s="2688">
        <v>29.26</v>
      </c>
      <c r="I282" s="2688">
        <v>12.88</v>
      </c>
      <c r="K282" s="2690" t="s">
        <v>805</v>
      </c>
      <c r="L282" s="3484" t="s">
        <v>1018</v>
      </c>
    </row>
    <row r="283" spans="1:12" ht="24.95" customHeight="1">
      <c r="A283" s="2686">
        <v>281</v>
      </c>
      <c r="B283" s="2686" t="s">
        <v>1016</v>
      </c>
      <c r="C283" s="2689">
        <v>253</v>
      </c>
      <c r="D283" s="2686" t="str">
        <f t="shared" si="4"/>
        <v>2#地库253</v>
      </c>
      <c r="E283" s="2686" t="s">
        <v>1017</v>
      </c>
      <c r="F283" s="2686" t="s">
        <v>803</v>
      </c>
      <c r="G283" s="2686" t="s">
        <v>803</v>
      </c>
      <c r="H283" s="2688">
        <v>28.31</v>
      </c>
      <c r="I283" s="2688">
        <v>12.46</v>
      </c>
      <c r="K283" s="2690" t="s">
        <v>805</v>
      </c>
      <c r="L283" s="3484" t="s">
        <v>1018</v>
      </c>
    </row>
    <row r="284" spans="1:12" ht="24.95" customHeight="1">
      <c r="A284" s="2686">
        <v>282</v>
      </c>
      <c r="B284" s="2686" t="s">
        <v>1016</v>
      </c>
      <c r="C284" s="2689">
        <v>254</v>
      </c>
      <c r="D284" s="2686" t="str">
        <f t="shared" si="4"/>
        <v>2#地库254</v>
      </c>
      <c r="E284" s="2686" t="s">
        <v>1017</v>
      </c>
      <c r="F284" s="2686" t="s">
        <v>803</v>
      </c>
      <c r="G284" s="2686" t="s">
        <v>803</v>
      </c>
      <c r="H284" s="2688">
        <v>29.26</v>
      </c>
      <c r="I284" s="2688">
        <v>12.88</v>
      </c>
      <c r="K284" s="2690" t="s">
        <v>805</v>
      </c>
      <c r="L284" s="3484" t="s">
        <v>1018</v>
      </c>
    </row>
    <row r="285" spans="1:12" ht="24.95" customHeight="1">
      <c r="A285" s="2686">
        <v>283</v>
      </c>
      <c r="B285" s="2686" t="s">
        <v>1016</v>
      </c>
      <c r="C285" s="2689">
        <v>255</v>
      </c>
      <c r="D285" s="2686" t="str">
        <f t="shared" si="4"/>
        <v>2#地库255</v>
      </c>
      <c r="E285" s="2686" t="s">
        <v>1017</v>
      </c>
      <c r="F285" s="2686" t="s">
        <v>803</v>
      </c>
      <c r="G285" s="2686" t="s">
        <v>803</v>
      </c>
      <c r="H285" s="2688">
        <v>29.26</v>
      </c>
      <c r="I285" s="2688">
        <v>12.88</v>
      </c>
      <c r="K285" s="2690" t="s">
        <v>805</v>
      </c>
      <c r="L285" s="3484" t="s">
        <v>1018</v>
      </c>
    </row>
    <row r="286" spans="1:12" ht="24.95" customHeight="1">
      <c r="A286" s="2686">
        <v>284</v>
      </c>
      <c r="B286" s="2686" t="s">
        <v>1016</v>
      </c>
      <c r="C286" s="2689">
        <v>256</v>
      </c>
      <c r="D286" s="2686" t="str">
        <f t="shared" si="4"/>
        <v>2#地库256</v>
      </c>
      <c r="E286" s="2686" t="s">
        <v>1017</v>
      </c>
      <c r="F286" s="2686" t="s">
        <v>803</v>
      </c>
      <c r="G286" s="2686" t="s">
        <v>803</v>
      </c>
      <c r="H286" s="2688">
        <v>28.31</v>
      </c>
      <c r="I286" s="2688">
        <v>12.46</v>
      </c>
      <c r="K286" s="2690" t="s">
        <v>805</v>
      </c>
      <c r="L286" s="3484" t="s">
        <v>1018</v>
      </c>
    </row>
    <row r="287" spans="1:12" ht="24.95" customHeight="1">
      <c r="A287" s="2686">
        <v>285</v>
      </c>
      <c r="B287" s="2686" t="s">
        <v>1016</v>
      </c>
      <c r="C287" s="2689">
        <v>257</v>
      </c>
      <c r="D287" s="2686" t="str">
        <f t="shared" si="4"/>
        <v>2#地库257</v>
      </c>
      <c r="E287" s="2686" t="s">
        <v>1017</v>
      </c>
      <c r="F287" s="2686" t="s">
        <v>803</v>
      </c>
      <c r="G287" s="2686" t="s">
        <v>803</v>
      </c>
      <c r="H287" s="2688">
        <v>29.26</v>
      </c>
      <c r="I287" s="2688">
        <v>12.88</v>
      </c>
      <c r="K287" s="2690" t="s">
        <v>805</v>
      </c>
      <c r="L287" s="3484" t="s">
        <v>1018</v>
      </c>
    </row>
    <row r="288" spans="1:12" ht="24.95" customHeight="1">
      <c r="A288" s="2686">
        <v>286</v>
      </c>
      <c r="B288" s="2686" t="s">
        <v>1016</v>
      </c>
      <c r="C288" s="2689">
        <v>258</v>
      </c>
      <c r="D288" s="2686" t="str">
        <f t="shared" si="4"/>
        <v>2#地库258</v>
      </c>
      <c r="E288" s="2686" t="s">
        <v>1017</v>
      </c>
      <c r="F288" s="2686" t="s">
        <v>803</v>
      </c>
      <c r="G288" s="2686" t="s">
        <v>803</v>
      </c>
      <c r="H288" s="2688">
        <v>29.26</v>
      </c>
      <c r="I288" s="2688">
        <v>12.88</v>
      </c>
      <c r="K288" s="2690" t="s">
        <v>805</v>
      </c>
      <c r="L288" s="3484" t="s">
        <v>1018</v>
      </c>
    </row>
    <row r="289" spans="1:12" ht="24.95" customHeight="1">
      <c r="A289" s="2686">
        <v>287</v>
      </c>
      <c r="B289" s="2686" t="s">
        <v>1016</v>
      </c>
      <c r="C289" s="2689">
        <v>259</v>
      </c>
      <c r="D289" s="2686" t="str">
        <f t="shared" si="4"/>
        <v>2#地库259</v>
      </c>
      <c r="E289" s="2686" t="s">
        <v>1017</v>
      </c>
      <c r="F289" s="2686" t="s">
        <v>803</v>
      </c>
      <c r="G289" s="2686" t="s">
        <v>803</v>
      </c>
      <c r="H289" s="2688">
        <v>28.31</v>
      </c>
      <c r="I289" s="2688">
        <v>12.46</v>
      </c>
      <c r="K289" s="2690" t="s">
        <v>805</v>
      </c>
      <c r="L289" s="3484" t="s">
        <v>1018</v>
      </c>
    </row>
    <row r="290" spans="1:12" ht="24.95" customHeight="1">
      <c r="A290" s="2686">
        <v>288</v>
      </c>
      <c r="B290" s="2686" t="s">
        <v>1016</v>
      </c>
      <c r="C290" s="2689">
        <v>260</v>
      </c>
      <c r="D290" s="2686" t="str">
        <f t="shared" si="4"/>
        <v>2#地库260</v>
      </c>
      <c r="E290" s="2686" t="s">
        <v>1017</v>
      </c>
      <c r="F290" s="2686" t="s">
        <v>803</v>
      </c>
      <c r="G290" s="2686" t="s">
        <v>803</v>
      </c>
      <c r="H290" s="2688">
        <v>29.26</v>
      </c>
      <c r="I290" s="2688">
        <v>12.88</v>
      </c>
      <c r="K290" s="2690" t="s">
        <v>805</v>
      </c>
      <c r="L290" s="3484" t="s">
        <v>1018</v>
      </c>
    </row>
    <row r="291" spans="1:12" ht="24.95" customHeight="1">
      <c r="A291" s="2686">
        <v>289</v>
      </c>
      <c r="B291" s="2686" t="s">
        <v>1016</v>
      </c>
      <c r="C291" s="2689">
        <v>261</v>
      </c>
      <c r="D291" s="2686" t="str">
        <f t="shared" si="4"/>
        <v>2#地库261</v>
      </c>
      <c r="E291" s="2686" t="s">
        <v>1017</v>
      </c>
      <c r="F291" s="2686" t="s">
        <v>803</v>
      </c>
      <c r="G291" s="2686" t="s">
        <v>803</v>
      </c>
      <c r="H291" s="2688">
        <v>29.26</v>
      </c>
      <c r="I291" s="2688">
        <v>12.88</v>
      </c>
      <c r="K291" s="2690" t="s">
        <v>805</v>
      </c>
      <c r="L291" s="3484" t="s">
        <v>1018</v>
      </c>
    </row>
    <row r="292" spans="1:12" ht="24.95" customHeight="1">
      <c r="A292" s="2686">
        <v>290</v>
      </c>
      <c r="B292" s="2686" t="s">
        <v>1016</v>
      </c>
      <c r="C292" s="2689">
        <v>262</v>
      </c>
      <c r="D292" s="2686" t="str">
        <f t="shared" si="4"/>
        <v>2#地库262</v>
      </c>
      <c r="E292" s="2686" t="s">
        <v>1017</v>
      </c>
      <c r="F292" s="2686" t="s">
        <v>803</v>
      </c>
      <c r="G292" s="2686" t="s">
        <v>803</v>
      </c>
      <c r="H292" s="2688">
        <v>28.31</v>
      </c>
      <c r="I292" s="2688">
        <v>12.46</v>
      </c>
      <c r="K292" s="2690" t="s">
        <v>805</v>
      </c>
      <c r="L292" s="3484" t="s">
        <v>1018</v>
      </c>
    </row>
    <row r="293" spans="1:12" ht="24.95" customHeight="1">
      <c r="A293" s="2686">
        <v>291</v>
      </c>
      <c r="B293" s="2686" t="s">
        <v>1016</v>
      </c>
      <c r="C293" s="2689">
        <v>263</v>
      </c>
      <c r="D293" s="2686" t="str">
        <f t="shared" si="4"/>
        <v>2#地库263</v>
      </c>
      <c r="E293" s="2686" t="s">
        <v>1017</v>
      </c>
      <c r="F293" s="2686" t="s">
        <v>803</v>
      </c>
      <c r="G293" s="2686" t="s">
        <v>803</v>
      </c>
      <c r="H293" s="2688">
        <v>29.26</v>
      </c>
      <c r="I293" s="2688">
        <v>12.88</v>
      </c>
      <c r="K293" s="2690" t="s">
        <v>805</v>
      </c>
      <c r="L293" s="3484" t="s">
        <v>1018</v>
      </c>
    </row>
    <row r="294" spans="1:12" ht="24.95" customHeight="1">
      <c r="A294" s="2686">
        <v>292</v>
      </c>
      <c r="B294" s="2686" t="s">
        <v>1016</v>
      </c>
      <c r="C294" s="2689">
        <v>264</v>
      </c>
      <c r="D294" s="2686" t="str">
        <f t="shared" si="4"/>
        <v>2#地库264</v>
      </c>
      <c r="E294" s="2686" t="s">
        <v>1017</v>
      </c>
      <c r="F294" s="2686" t="s">
        <v>803</v>
      </c>
      <c r="G294" s="2686" t="s">
        <v>803</v>
      </c>
      <c r="H294" s="2688">
        <v>29.26</v>
      </c>
      <c r="I294" s="2688">
        <v>12.88</v>
      </c>
      <c r="K294" s="2690" t="s">
        <v>805</v>
      </c>
      <c r="L294" s="3484" t="s">
        <v>1018</v>
      </c>
    </row>
    <row r="295" spans="1:12" ht="24.95" customHeight="1">
      <c r="A295" s="2686">
        <v>293</v>
      </c>
      <c r="B295" s="2686" t="s">
        <v>1016</v>
      </c>
      <c r="C295" s="2689">
        <v>265</v>
      </c>
      <c r="D295" s="2686" t="str">
        <f t="shared" si="4"/>
        <v>2#地库265</v>
      </c>
      <c r="E295" s="2686" t="s">
        <v>1017</v>
      </c>
      <c r="F295" s="2686" t="s">
        <v>803</v>
      </c>
      <c r="G295" s="2686" t="s">
        <v>803</v>
      </c>
      <c r="H295" s="2688">
        <v>28.31</v>
      </c>
      <c r="I295" s="2688">
        <v>12.46</v>
      </c>
      <c r="K295" s="2690" t="s">
        <v>805</v>
      </c>
      <c r="L295" s="3484" t="s">
        <v>1018</v>
      </c>
    </row>
    <row r="296" spans="1:12" ht="24.95" customHeight="1">
      <c r="A296" s="2686">
        <v>294</v>
      </c>
      <c r="B296" s="2686" t="s">
        <v>1016</v>
      </c>
      <c r="C296" s="2689">
        <v>266</v>
      </c>
      <c r="D296" s="2686" t="str">
        <f t="shared" si="4"/>
        <v>2#地库266</v>
      </c>
      <c r="E296" s="2686" t="s">
        <v>1017</v>
      </c>
      <c r="F296" s="2686" t="s">
        <v>803</v>
      </c>
      <c r="G296" s="2686" t="s">
        <v>803</v>
      </c>
      <c r="H296" s="2688">
        <v>29.26</v>
      </c>
      <c r="I296" s="2688">
        <v>12.88</v>
      </c>
      <c r="K296" s="2690" t="s">
        <v>805</v>
      </c>
      <c r="L296" s="3484" t="s">
        <v>1018</v>
      </c>
    </row>
    <row r="297" spans="1:12" ht="24.95" customHeight="1">
      <c r="A297" s="2686">
        <v>295</v>
      </c>
      <c r="B297" s="2686" t="s">
        <v>1016</v>
      </c>
      <c r="C297" s="2689">
        <v>267</v>
      </c>
      <c r="D297" s="2686" t="str">
        <f t="shared" si="4"/>
        <v>2#地库267</v>
      </c>
      <c r="E297" s="2686" t="s">
        <v>1017</v>
      </c>
      <c r="F297" s="2686" t="s">
        <v>803</v>
      </c>
      <c r="G297" s="2686" t="s">
        <v>803</v>
      </c>
      <c r="H297" s="2688">
        <v>29.26</v>
      </c>
      <c r="I297" s="2688">
        <v>12.88</v>
      </c>
      <c r="K297" s="2690" t="s">
        <v>805</v>
      </c>
      <c r="L297" s="3484" t="s">
        <v>1018</v>
      </c>
    </row>
    <row r="298" spans="1:12" ht="24.95" customHeight="1">
      <c r="A298" s="2686">
        <v>296</v>
      </c>
      <c r="B298" s="2686" t="s">
        <v>1016</v>
      </c>
      <c r="C298" s="2689">
        <v>268</v>
      </c>
      <c r="D298" s="2686" t="str">
        <f t="shared" si="4"/>
        <v>2#地库268</v>
      </c>
      <c r="E298" s="2686" t="s">
        <v>1017</v>
      </c>
      <c r="F298" s="2686" t="s">
        <v>803</v>
      </c>
      <c r="G298" s="2686" t="s">
        <v>803</v>
      </c>
      <c r="H298" s="2688">
        <v>28.31</v>
      </c>
      <c r="I298" s="2688">
        <v>12.46</v>
      </c>
      <c r="K298" s="2690" t="s">
        <v>805</v>
      </c>
      <c r="L298" s="3484" t="s">
        <v>1018</v>
      </c>
    </row>
    <row r="299" spans="1:12" ht="24.95" customHeight="1">
      <c r="A299" s="2686">
        <v>297</v>
      </c>
      <c r="B299" s="2686" t="s">
        <v>1016</v>
      </c>
      <c r="C299" s="2689">
        <v>269</v>
      </c>
      <c r="D299" s="2686" t="str">
        <f t="shared" si="4"/>
        <v>2#地库269</v>
      </c>
      <c r="E299" s="2686" t="s">
        <v>1017</v>
      </c>
      <c r="F299" s="2686" t="s">
        <v>803</v>
      </c>
      <c r="G299" s="2686" t="s">
        <v>803</v>
      </c>
      <c r="H299" s="2688">
        <v>29.26</v>
      </c>
      <c r="I299" s="2688">
        <v>12.88</v>
      </c>
      <c r="K299" s="2690" t="s">
        <v>805</v>
      </c>
      <c r="L299" s="3484" t="s">
        <v>1018</v>
      </c>
    </row>
    <row r="300" spans="1:12" ht="24.95" customHeight="1">
      <c r="A300" s="2686">
        <v>298</v>
      </c>
      <c r="B300" s="2686" t="s">
        <v>1016</v>
      </c>
      <c r="C300" s="2689">
        <v>270</v>
      </c>
      <c r="D300" s="2686" t="str">
        <f t="shared" si="4"/>
        <v>2#地库270</v>
      </c>
      <c r="E300" s="2686" t="s">
        <v>1017</v>
      </c>
      <c r="F300" s="2686" t="s">
        <v>803</v>
      </c>
      <c r="G300" s="2686" t="s">
        <v>803</v>
      </c>
      <c r="H300" s="2688">
        <v>29.26</v>
      </c>
      <c r="I300" s="2688">
        <v>12.88</v>
      </c>
      <c r="K300" s="2690" t="s">
        <v>805</v>
      </c>
      <c r="L300" s="3484" t="s">
        <v>1018</v>
      </c>
    </row>
    <row r="301" spans="1:12" ht="24.95" customHeight="1">
      <c r="A301" s="2686">
        <v>299</v>
      </c>
      <c r="B301" s="2686" t="s">
        <v>1016</v>
      </c>
      <c r="C301" s="2689">
        <v>271</v>
      </c>
      <c r="D301" s="2686" t="str">
        <f t="shared" si="4"/>
        <v>2#地库271</v>
      </c>
      <c r="E301" s="2686" t="s">
        <v>1017</v>
      </c>
      <c r="F301" s="2686" t="s">
        <v>803</v>
      </c>
      <c r="G301" s="2686" t="s">
        <v>803</v>
      </c>
      <c r="H301" s="2688">
        <v>28.31</v>
      </c>
      <c r="I301" s="2688">
        <v>12.46</v>
      </c>
      <c r="K301" s="2690" t="s">
        <v>805</v>
      </c>
      <c r="L301" s="3484" t="s">
        <v>1018</v>
      </c>
    </row>
    <row r="302" spans="1:12" ht="24.95" customHeight="1">
      <c r="A302" s="2686">
        <v>300</v>
      </c>
      <c r="B302" s="2686" t="s">
        <v>1016</v>
      </c>
      <c r="C302" s="2689">
        <v>272</v>
      </c>
      <c r="D302" s="2686" t="str">
        <f t="shared" si="4"/>
        <v>2#地库272</v>
      </c>
      <c r="E302" s="2686" t="s">
        <v>1017</v>
      </c>
      <c r="F302" s="2686" t="s">
        <v>803</v>
      </c>
      <c r="G302" s="2686" t="s">
        <v>803</v>
      </c>
      <c r="H302" s="2688">
        <v>29.26</v>
      </c>
      <c r="I302" s="2688">
        <v>12.88</v>
      </c>
      <c r="K302" s="2690" t="s">
        <v>805</v>
      </c>
      <c r="L302" s="3484" t="s">
        <v>1018</v>
      </c>
    </row>
    <row r="303" spans="1:12" ht="24.95" customHeight="1">
      <c r="A303" s="2686">
        <v>301</v>
      </c>
      <c r="B303" s="2686" t="s">
        <v>1016</v>
      </c>
      <c r="C303" s="2689">
        <v>273</v>
      </c>
      <c r="D303" s="2686" t="str">
        <f t="shared" si="4"/>
        <v>2#地库273</v>
      </c>
      <c r="E303" s="2686" t="s">
        <v>1017</v>
      </c>
      <c r="F303" s="2686" t="s">
        <v>803</v>
      </c>
      <c r="G303" s="2686" t="s">
        <v>803</v>
      </c>
      <c r="H303" s="2688">
        <v>29.26</v>
      </c>
      <c r="I303" s="2688">
        <v>12.88</v>
      </c>
      <c r="K303" s="2690" t="s">
        <v>805</v>
      </c>
      <c r="L303" s="3484" t="s">
        <v>1018</v>
      </c>
    </row>
    <row r="304" spans="1:12" ht="24.95" customHeight="1">
      <c r="A304" s="2686">
        <v>302</v>
      </c>
      <c r="B304" s="2686" t="s">
        <v>1016</v>
      </c>
      <c r="C304" s="2689">
        <v>274</v>
      </c>
      <c r="D304" s="2686" t="str">
        <f t="shared" si="4"/>
        <v>2#地库274</v>
      </c>
      <c r="E304" s="2686" t="s">
        <v>1017</v>
      </c>
      <c r="F304" s="2686" t="s">
        <v>803</v>
      </c>
      <c r="G304" s="2686" t="s">
        <v>803</v>
      </c>
      <c r="H304" s="2688">
        <v>28.31</v>
      </c>
      <c r="I304" s="2688">
        <v>12.46</v>
      </c>
      <c r="K304" s="2690" t="s">
        <v>805</v>
      </c>
      <c r="L304" s="3484" t="s">
        <v>1018</v>
      </c>
    </row>
    <row r="305" spans="1:12" ht="24.95" customHeight="1">
      <c r="A305" s="2686">
        <v>303</v>
      </c>
      <c r="B305" s="2686" t="s">
        <v>1016</v>
      </c>
      <c r="C305" s="2689">
        <v>275</v>
      </c>
      <c r="D305" s="2686" t="str">
        <f t="shared" si="4"/>
        <v>2#地库275</v>
      </c>
      <c r="E305" s="2686" t="s">
        <v>1017</v>
      </c>
      <c r="F305" s="2686" t="s">
        <v>803</v>
      </c>
      <c r="G305" s="2686" t="s">
        <v>803</v>
      </c>
      <c r="H305" s="2688">
        <v>29.26</v>
      </c>
      <c r="I305" s="2688">
        <v>12.88</v>
      </c>
      <c r="K305" s="2690" t="s">
        <v>805</v>
      </c>
      <c r="L305" s="3484" t="s">
        <v>1018</v>
      </c>
    </row>
    <row r="306" spans="1:12" ht="24.95" customHeight="1">
      <c r="A306" s="2686">
        <v>304</v>
      </c>
      <c r="B306" s="2686" t="s">
        <v>1016</v>
      </c>
      <c r="C306" s="2689">
        <v>276</v>
      </c>
      <c r="D306" s="2686" t="str">
        <f t="shared" si="4"/>
        <v>2#地库276</v>
      </c>
      <c r="E306" s="2686" t="s">
        <v>1017</v>
      </c>
      <c r="F306" s="2686" t="s">
        <v>803</v>
      </c>
      <c r="G306" s="2686" t="s">
        <v>803</v>
      </c>
      <c r="H306" s="2688">
        <v>29.26</v>
      </c>
      <c r="I306" s="2688">
        <v>12.88</v>
      </c>
      <c r="K306" s="2690" t="s">
        <v>805</v>
      </c>
      <c r="L306" s="3484" t="s">
        <v>1018</v>
      </c>
    </row>
    <row r="307" spans="1:12" ht="24.95" customHeight="1">
      <c r="A307" s="2686">
        <v>305</v>
      </c>
      <c r="B307" s="2686" t="s">
        <v>1016</v>
      </c>
      <c r="C307" s="2689">
        <v>277</v>
      </c>
      <c r="D307" s="2686" t="str">
        <f t="shared" si="4"/>
        <v>2#地库277</v>
      </c>
      <c r="E307" s="2686" t="s">
        <v>1017</v>
      </c>
      <c r="F307" s="2686" t="s">
        <v>803</v>
      </c>
      <c r="G307" s="2686" t="s">
        <v>803</v>
      </c>
      <c r="H307" s="2688">
        <v>28.31</v>
      </c>
      <c r="I307" s="2688">
        <v>12.46</v>
      </c>
      <c r="K307" s="2690" t="s">
        <v>805</v>
      </c>
      <c r="L307" s="3484" t="s">
        <v>1018</v>
      </c>
    </row>
    <row r="308" spans="1:12" ht="24.95" customHeight="1">
      <c r="A308" s="2686">
        <v>306</v>
      </c>
      <c r="B308" s="2686" t="s">
        <v>1016</v>
      </c>
      <c r="C308" s="2689">
        <v>278</v>
      </c>
      <c r="D308" s="2686" t="str">
        <f t="shared" si="4"/>
        <v>2#地库278</v>
      </c>
      <c r="E308" s="2686" t="s">
        <v>1017</v>
      </c>
      <c r="F308" s="2686" t="s">
        <v>803</v>
      </c>
      <c r="G308" s="2686" t="s">
        <v>803</v>
      </c>
      <c r="H308" s="2688">
        <v>29.26</v>
      </c>
      <c r="I308" s="2688">
        <v>12.88</v>
      </c>
      <c r="K308" s="2690" t="s">
        <v>805</v>
      </c>
      <c r="L308" s="3484" t="s">
        <v>1018</v>
      </c>
    </row>
    <row r="309" spans="1:12" ht="24.95" customHeight="1">
      <c r="A309" s="2686">
        <v>307</v>
      </c>
      <c r="B309" s="2686" t="s">
        <v>1016</v>
      </c>
      <c r="C309" s="2689">
        <v>279</v>
      </c>
      <c r="D309" s="2686" t="str">
        <f t="shared" si="4"/>
        <v>2#地库279</v>
      </c>
      <c r="E309" s="2686" t="s">
        <v>1017</v>
      </c>
      <c r="F309" s="2686" t="s">
        <v>803</v>
      </c>
      <c r="G309" s="2686" t="s">
        <v>803</v>
      </c>
      <c r="H309" s="2688">
        <v>29.26</v>
      </c>
      <c r="I309" s="2688">
        <v>12.88</v>
      </c>
      <c r="K309" s="2690" t="s">
        <v>805</v>
      </c>
      <c r="L309" s="3484" t="s">
        <v>1018</v>
      </c>
    </row>
    <row r="310" spans="1:12" ht="24.95" customHeight="1">
      <c r="A310" s="2686">
        <v>308</v>
      </c>
      <c r="B310" s="2686" t="s">
        <v>1016</v>
      </c>
      <c r="C310" s="2689">
        <v>280</v>
      </c>
      <c r="D310" s="2686" t="str">
        <f t="shared" si="4"/>
        <v>2#地库280</v>
      </c>
      <c r="E310" s="2686" t="s">
        <v>1017</v>
      </c>
      <c r="F310" s="2686" t="s">
        <v>803</v>
      </c>
      <c r="G310" s="2686" t="s">
        <v>803</v>
      </c>
      <c r="H310" s="2688">
        <v>28.31</v>
      </c>
      <c r="I310" s="2688">
        <v>12.46</v>
      </c>
      <c r="K310" s="2690" t="s">
        <v>805</v>
      </c>
      <c r="L310" s="3484" t="s">
        <v>1018</v>
      </c>
    </row>
    <row r="311" spans="1:12" ht="24.95" customHeight="1">
      <c r="A311" s="2686">
        <v>309</v>
      </c>
      <c r="B311" s="2686" t="s">
        <v>1016</v>
      </c>
      <c r="C311" s="2689">
        <v>281</v>
      </c>
      <c r="D311" s="2686" t="str">
        <f t="shared" si="4"/>
        <v>2#地库281</v>
      </c>
      <c r="E311" s="2686" t="s">
        <v>1017</v>
      </c>
      <c r="F311" s="2686" t="s">
        <v>803</v>
      </c>
      <c r="G311" s="2686" t="s">
        <v>803</v>
      </c>
      <c r="H311" s="2688">
        <v>29.26</v>
      </c>
      <c r="I311" s="2688">
        <v>12.88</v>
      </c>
      <c r="K311" s="2690" t="s">
        <v>805</v>
      </c>
      <c r="L311" s="3484" t="s">
        <v>1018</v>
      </c>
    </row>
    <row r="312" spans="1:12" ht="24.95" customHeight="1">
      <c r="A312" s="2686">
        <v>310</v>
      </c>
      <c r="B312" s="2686" t="s">
        <v>1016</v>
      </c>
      <c r="C312" s="2689">
        <v>282</v>
      </c>
      <c r="D312" s="2686" t="str">
        <f t="shared" si="4"/>
        <v>2#地库282</v>
      </c>
      <c r="E312" s="2686" t="s">
        <v>1017</v>
      </c>
      <c r="F312" s="2686" t="s">
        <v>803</v>
      </c>
      <c r="G312" s="2686" t="s">
        <v>803</v>
      </c>
      <c r="H312" s="2688">
        <v>29.26</v>
      </c>
      <c r="I312" s="2688">
        <v>12.88</v>
      </c>
      <c r="K312" s="2690" t="s">
        <v>805</v>
      </c>
      <c r="L312" s="3484" t="s">
        <v>1018</v>
      </c>
    </row>
    <row r="313" spans="1:12" ht="24.95" customHeight="1">
      <c r="A313" s="2686">
        <v>311</v>
      </c>
      <c r="B313" s="2686" t="s">
        <v>1016</v>
      </c>
      <c r="C313" s="2689">
        <v>283</v>
      </c>
      <c r="D313" s="2686" t="str">
        <f t="shared" si="4"/>
        <v>2#地库283</v>
      </c>
      <c r="E313" s="2686" t="s">
        <v>1017</v>
      </c>
      <c r="F313" s="2686" t="s">
        <v>803</v>
      </c>
      <c r="G313" s="2686" t="s">
        <v>803</v>
      </c>
      <c r="H313" s="2688">
        <v>28.31</v>
      </c>
      <c r="I313" s="2688">
        <v>12.46</v>
      </c>
      <c r="K313" s="2690" t="s">
        <v>805</v>
      </c>
      <c r="L313" s="3484" t="s">
        <v>1018</v>
      </c>
    </row>
    <row r="314" spans="1:12" ht="24.95" customHeight="1">
      <c r="A314" s="2686">
        <v>312</v>
      </c>
      <c r="B314" s="2686" t="s">
        <v>1016</v>
      </c>
      <c r="C314" s="2689">
        <v>284</v>
      </c>
      <c r="D314" s="2686" t="str">
        <f t="shared" si="4"/>
        <v>2#地库284</v>
      </c>
      <c r="E314" s="2686" t="s">
        <v>1017</v>
      </c>
      <c r="F314" s="2686" t="s">
        <v>803</v>
      </c>
      <c r="G314" s="2686" t="s">
        <v>803</v>
      </c>
      <c r="H314" s="2688">
        <v>29.26</v>
      </c>
      <c r="I314" s="2688">
        <v>12.88</v>
      </c>
      <c r="K314" s="2690" t="s">
        <v>805</v>
      </c>
      <c r="L314" s="3484" t="s">
        <v>1018</v>
      </c>
    </row>
    <row r="315" spans="1:12" ht="24.95" customHeight="1">
      <c r="A315" s="2686">
        <v>313</v>
      </c>
      <c r="B315" s="2686" t="s">
        <v>1016</v>
      </c>
      <c r="C315" s="2689">
        <v>285</v>
      </c>
      <c r="D315" s="2686" t="str">
        <f t="shared" si="4"/>
        <v>2#地库285</v>
      </c>
      <c r="E315" s="2686" t="s">
        <v>1017</v>
      </c>
      <c r="F315" s="2686" t="s">
        <v>803</v>
      </c>
      <c r="G315" s="2686" t="s">
        <v>803</v>
      </c>
      <c r="H315" s="2688">
        <v>29.26</v>
      </c>
      <c r="I315" s="2688">
        <v>12.88</v>
      </c>
      <c r="K315" s="2690" t="s">
        <v>805</v>
      </c>
      <c r="L315" s="3484" t="s">
        <v>1018</v>
      </c>
    </row>
    <row r="316" spans="1:12" ht="24.95" customHeight="1">
      <c r="A316" s="2686">
        <v>314</v>
      </c>
      <c r="B316" s="2686" t="s">
        <v>1016</v>
      </c>
      <c r="C316" s="2689">
        <v>286</v>
      </c>
      <c r="D316" s="2686" t="str">
        <f t="shared" si="4"/>
        <v>2#地库286</v>
      </c>
      <c r="E316" s="2686" t="s">
        <v>1017</v>
      </c>
      <c r="F316" s="2686" t="s">
        <v>803</v>
      </c>
      <c r="G316" s="2686" t="s">
        <v>803</v>
      </c>
      <c r="H316" s="2688">
        <v>28.31</v>
      </c>
      <c r="I316" s="2688">
        <v>12.46</v>
      </c>
      <c r="K316" s="2690" t="s">
        <v>805</v>
      </c>
      <c r="L316" s="3484" t="s">
        <v>1018</v>
      </c>
    </row>
    <row r="317" spans="1:12" ht="24.95" customHeight="1">
      <c r="A317" s="2686">
        <v>315</v>
      </c>
      <c r="B317" s="2686" t="s">
        <v>1016</v>
      </c>
      <c r="C317" s="2689">
        <v>287</v>
      </c>
      <c r="D317" s="2686" t="str">
        <f t="shared" si="4"/>
        <v>2#地库287</v>
      </c>
      <c r="E317" s="2686" t="s">
        <v>1017</v>
      </c>
      <c r="F317" s="2686" t="s">
        <v>803</v>
      </c>
      <c r="G317" s="2686" t="s">
        <v>803</v>
      </c>
      <c r="H317" s="2688">
        <v>29.26</v>
      </c>
      <c r="I317" s="2688">
        <v>12.88</v>
      </c>
      <c r="K317" s="2690" t="s">
        <v>805</v>
      </c>
      <c r="L317" s="3484" t="s">
        <v>1018</v>
      </c>
    </row>
    <row r="318" spans="1:12" ht="24.95" customHeight="1">
      <c r="A318" s="2686">
        <v>316</v>
      </c>
      <c r="B318" s="2686" t="s">
        <v>1016</v>
      </c>
      <c r="C318" s="2689">
        <v>288</v>
      </c>
      <c r="D318" s="2686" t="str">
        <f t="shared" si="4"/>
        <v>2#地库288</v>
      </c>
      <c r="E318" s="2686" t="s">
        <v>1017</v>
      </c>
      <c r="F318" s="2686" t="s">
        <v>803</v>
      </c>
      <c r="G318" s="2686" t="s">
        <v>803</v>
      </c>
      <c r="H318" s="2688">
        <v>29.26</v>
      </c>
      <c r="I318" s="2688">
        <v>12.88</v>
      </c>
      <c r="K318" s="2690" t="s">
        <v>805</v>
      </c>
      <c r="L318" s="3484" t="s">
        <v>1018</v>
      </c>
    </row>
    <row r="319" spans="1:12" ht="24.95" customHeight="1">
      <c r="A319" s="2686">
        <v>317</v>
      </c>
      <c r="B319" s="2686" t="s">
        <v>1016</v>
      </c>
      <c r="C319" s="2689">
        <v>289</v>
      </c>
      <c r="D319" s="2686" t="str">
        <f t="shared" si="4"/>
        <v>2#地库289</v>
      </c>
      <c r="E319" s="2686" t="s">
        <v>1017</v>
      </c>
      <c r="F319" s="2686" t="s">
        <v>803</v>
      </c>
      <c r="G319" s="2686" t="s">
        <v>803</v>
      </c>
      <c r="H319" s="2688">
        <v>28.31</v>
      </c>
      <c r="I319" s="2688">
        <v>12.46</v>
      </c>
      <c r="K319" s="2690" t="s">
        <v>805</v>
      </c>
      <c r="L319" s="3484" t="s">
        <v>1018</v>
      </c>
    </row>
    <row r="320" spans="1:12" ht="24.95" customHeight="1">
      <c r="A320" s="2686">
        <v>318</v>
      </c>
      <c r="B320" s="2686" t="s">
        <v>1016</v>
      </c>
      <c r="C320" s="2689">
        <v>290</v>
      </c>
      <c r="D320" s="2686" t="str">
        <f t="shared" si="4"/>
        <v>2#地库290</v>
      </c>
      <c r="E320" s="2686" t="s">
        <v>1017</v>
      </c>
      <c r="F320" s="2686" t="s">
        <v>803</v>
      </c>
      <c r="G320" s="2686" t="s">
        <v>803</v>
      </c>
      <c r="H320" s="2688">
        <v>29.26</v>
      </c>
      <c r="I320" s="2688">
        <v>12.88</v>
      </c>
      <c r="K320" s="2690" t="s">
        <v>805</v>
      </c>
      <c r="L320" s="3484" t="s">
        <v>1018</v>
      </c>
    </row>
    <row r="321" spans="1:12" ht="24.95" customHeight="1">
      <c r="A321" s="2686">
        <v>319</v>
      </c>
      <c r="B321" s="2686" t="s">
        <v>1016</v>
      </c>
      <c r="C321" s="2689">
        <v>291</v>
      </c>
      <c r="D321" s="2686" t="str">
        <f t="shared" si="4"/>
        <v>2#地库291</v>
      </c>
      <c r="E321" s="2686" t="s">
        <v>1017</v>
      </c>
      <c r="F321" s="2686" t="s">
        <v>803</v>
      </c>
      <c r="G321" s="2686" t="s">
        <v>803</v>
      </c>
      <c r="H321" s="2688">
        <v>29.26</v>
      </c>
      <c r="I321" s="2688">
        <v>12.88</v>
      </c>
      <c r="K321" s="2690" t="s">
        <v>805</v>
      </c>
      <c r="L321" s="3484" t="s">
        <v>1018</v>
      </c>
    </row>
    <row r="322" spans="1:12" ht="24.95" customHeight="1">
      <c r="A322" s="2686">
        <v>320</v>
      </c>
      <c r="B322" s="2686" t="s">
        <v>1016</v>
      </c>
      <c r="C322" s="2689">
        <v>292</v>
      </c>
      <c r="D322" s="2686" t="str">
        <f t="shared" si="4"/>
        <v>2#地库292</v>
      </c>
      <c r="E322" s="2686" t="s">
        <v>1017</v>
      </c>
      <c r="F322" s="2686" t="s">
        <v>803</v>
      </c>
      <c r="G322" s="2686" t="s">
        <v>803</v>
      </c>
      <c r="H322" s="2688">
        <v>29.26</v>
      </c>
      <c r="I322" s="2688">
        <v>12.88</v>
      </c>
      <c r="K322" s="2690" t="s">
        <v>805</v>
      </c>
      <c r="L322" s="3484" t="s">
        <v>1018</v>
      </c>
    </row>
    <row r="323" spans="1:12" ht="24.95" customHeight="1">
      <c r="A323" s="2686">
        <v>321</v>
      </c>
      <c r="B323" s="2686" t="s">
        <v>1016</v>
      </c>
      <c r="C323" s="2689">
        <v>293</v>
      </c>
      <c r="D323" s="2686" t="str">
        <f t="shared" si="4"/>
        <v>2#地库293</v>
      </c>
      <c r="E323" s="2686" t="s">
        <v>1017</v>
      </c>
      <c r="F323" s="2686" t="s">
        <v>803</v>
      </c>
      <c r="G323" s="2686" t="s">
        <v>803</v>
      </c>
      <c r="H323" s="2688">
        <v>29.26</v>
      </c>
      <c r="I323" s="2688">
        <v>12.88</v>
      </c>
      <c r="K323" s="2690" t="s">
        <v>805</v>
      </c>
      <c r="L323" s="3484" t="s">
        <v>1018</v>
      </c>
    </row>
    <row r="324" spans="1:12" ht="24.95" customHeight="1">
      <c r="A324" s="2686">
        <v>322</v>
      </c>
      <c r="B324" s="2686" t="s">
        <v>1016</v>
      </c>
      <c r="C324" s="2689">
        <v>294</v>
      </c>
      <c r="D324" s="2686" t="str">
        <f t="shared" si="4"/>
        <v>2#地库294</v>
      </c>
      <c r="E324" s="2686" t="s">
        <v>1017</v>
      </c>
      <c r="F324" s="2686" t="s">
        <v>803</v>
      </c>
      <c r="G324" s="2686" t="s">
        <v>803</v>
      </c>
      <c r="H324" s="2688">
        <v>29.26</v>
      </c>
      <c r="I324" s="2688">
        <v>12.88</v>
      </c>
      <c r="K324" s="2690" t="s">
        <v>805</v>
      </c>
      <c r="L324" s="3484" t="s">
        <v>1018</v>
      </c>
    </row>
    <row r="325" spans="1:12" ht="24.95" customHeight="1">
      <c r="A325" s="2694">
        <v>323</v>
      </c>
      <c r="B325" s="2694" t="s">
        <v>1016</v>
      </c>
      <c r="C325" s="2695">
        <v>295</v>
      </c>
      <c r="D325" s="2694" t="str">
        <f t="shared" si="4"/>
        <v>2#地库295</v>
      </c>
      <c r="E325" s="2694" t="s">
        <v>1017</v>
      </c>
      <c r="F325" s="2694" t="s">
        <v>804</v>
      </c>
      <c r="G325" s="2694" t="s">
        <v>804</v>
      </c>
      <c r="H325" s="2696">
        <v>29.74</v>
      </c>
      <c r="I325" s="2696">
        <v>13.09</v>
      </c>
      <c r="K325" s="2690" t="s">
        <v>805</v>
      </c>
      <c r="L325" s="3484" t="s">
        <v>1018</v>
      </c>
    </row>
    <row r="326" spans="1:12" ht="24.95" customHeight="1">
      <c r="A326" s="2694">
        <v>324</v>
      </c>
      <c r="B326" s="2694" t="s">
        <v>1016</v>
      </c>
      <c r="C326" s="2695">
        <v>296</v>
      </c>
      <c r="D326" s="2694" t="str">
        <f t="shared" si="4"/>
        <v>2#地库296</v>
      </c>
      <c r="E326" s="2694" t="s">
        <v>1017</v>
      </c>
      <c r="F326" s="2694" t="s">
        <v>804</v>
      </c>
      <c r="G326" s="2694" t="s">
        <v>804</v>
      </c>
      <c r="H326" s="2696">
        <v>29.74</v>
      </c>
      <c r="I326" s="2696">
        <v>13.09</v>
      </c>
      <c r="K326" s="2690" t="s">
        <v>805</v>
      </c>
      <c r="L326" s="3484" t="s">
        <v>1018</v>
      </c>
    </row>
    <row r="327" spans="1:12" ht="24.95" customHeight="1">
      <c r="A327" s="2694">
        <v>325</v>
      </c>
      <c r="B327" s="2694" t="s">
        <v>1016</v>
      </c>
      <c r="C327" s="2695">
        <v>297</v>
      </c>
      <c r="D327" s="2694" t="str">
        <f t="shared" si="4"/>
        <v>2#地库297</v>
      </c>
      <c r="E327" s="2694" t="s">
        <v>1017</v>
      </c>
      <c r="F327" s="2694" t="s">
        <v>804</v>
      </c>
      <c r="G327" s="2694" t="s">
        <v>804</v>
      </c>
      <c r="H327" s="2696">
        <v>29.74</v>
      </c>
      <c r="I327" s="2696">
        <v>13.09</v>
      </c>
      <c r="K327" s="2690" t="s">
        <v>805</v>
      </c>
      <c r="L327" s="3484" t="s">
        <v>1018</v>
      </c>
    </row>
    <row r="328" spans="1:12" ht="24.95" customHeight="1">
      <c r="A328" s="2694">
        <v>326</v>
      </c>
      <c r="B328" s="2694" t="s">
        <v>1016</v>
      </c>
      <c r="C328" s="2695">
        <v>298</v>
      </c>
      <c r="D328" s="2694" t="str">
        <f t="shared" ref="D328:D391" si="5">B328&amp;C328</f>
        <v>2#地库298</v>
      </c>
      <c r="E328" s="2694" t="s">
        <v>1017</v>
      </c>
      <c r="F328" s="2694" t="s">
        <v>804</v>
      </c>
      <c r="G328" s="2694" t="s">
        <v>804</v>
      </c>
      <c r="H328" s="2696">
        <v>29.74</v>
      </c>
      <c r="I328" s="2696">
        <v>13.09</v>
      </c>
      <c r="K328" s="2690" t="s">
        <v>805</v>
      </c>
      <c r="L328" s="3484" t="s">
        <v>1018</v>
      </c>
    </row>
    <row r="329" spans="1:12" ht="24.95" customHeight="1">
      <c r="A329" s="2686">
        <v>327</v>
      </c>
      <c r="B329" s="2686" t="s">
        <v>1016</v>
      </c>
      <c r="C329" s="2689">
        <v>299</v>
      </c>
      <c r="D329" s="2686" t="str">
        <f t="shared" si="5"/>
        <v>2#地库299</v>
      </c>
      <c r="E329" s="2686" t="s">
        <v>1017</v>
      </c>
      <c r="F329" s="2686" t="s">
        <v>803</v>
      </c>
      <c r="G329" s="2686" t="s">
        <v>803</v>
      </c>
      <c r="H329" s="2688">
        <v>29.26</v>
      </c>
      <c r="I329" s="2688">
        <v>12.88</v>
      </c>
      <c r="K329" s="2690" t="s">
        <v>805</v>
      </c>
      <c r="L329" s="3484" t="s">
        <v>1018</v>
      </c>
    </row>
    <row r="330" spans="1:12" ht="24.95" customHeight="1">
      <c r="A330" s="2686">
        <v>328</v>
      </c>
      <c r="B330" s="2686" t="s">
        <v>1016</v>
      </c>
      <c r="C330" s="2689">
        <v>300</v>
      </c>
      <c r="D330" s="2686" t="str">
        <f t="shared" si="5"/>
        <v>2#地库300</v>
      </c>
      <c r="E330" s="2686" t="s">
        <v>1017</v>
      </c>
      <c r="F330" s="2686" t="s">
        <v>803</v>
      </c>
      <c r="G330" s="2686" t="s">
        <v>803</v>
      </c>
      <c r="H330" s="2688">
        <v>28.31</v>
      </c>
      <c r="I330" s="2688">
        <v>12.46</v>
      </c>
      <c r="K330" s="2690" t="s">
        <v>805</v>
      </c>
      <c r="L330" s="3484" t="s">
        <v>1018</v>
      </c>
    </row>
    <row r="331" spans="1:12" ht="24.95" customHeight="1">
      <c r="A331" s="2686">
        <v>329</v>
      </c>
      <c r="B331" s="2686" t="s">
        <v>1016</v>
      </c>
      <c r="C331" s="2689">
        <v>301</v>
      </c>
      <c r="D331" s="2686" t="str">
        <f t="shared" si="5"/>
        <v>2#地库301</v>
      </c>
      <c r="E331" s="2686" t="s">
        <v>1017</v>
      </c>
      <c r="F331" s="2686" t="s">
        <v>803</v>
      </c>
      <c r="G331" s="2686" t="s">
        <v>803</v>
      </c>
      <c r="H331" s="2688">
        <v>29.26</v>
      </c>
      <c r="I331" s="2688">
        <v>12.88</v>
      </c>
      <c r="K331" s="2690" t="s">
        <v>805</v>
      </c>
      <c r="L331" s="3484" t="s">
        <v>1018</v>
      </c>
    </row>
    <row r="332" spans="1:12" ht="24.95" customHeight="1">
      <c r="A332" s="2686">
        <v>330</v>
      </c>
      <c r="B332" s="2686" t="s">
        <v>1016</v>
      </c>
      <c r="C332" s="2689">
        <v>302</v>
      </c>
      <c r="D332" s="2686" t="str">
        <f t="shared" si="5"/>
        <v>2#地库302</v>
      </c>
      <c r="E332" s="2686" t="s">
        <v>1017</v>
      </c>
      <c r="F332" s="2686" t="s">
        <v>803</v>
      </c>
      <c r="G332" s="2686" t="s">
        <v>803</v>
      </c>
      <c r="H332" s="2688">
        <v>28.31</v>
      </c>
      <c r="I332" s="2688">
        <v>12.46</v>
      </c>
      <c r="K332" s="2690" t="s">
        <v>805</v>
      </c>
      <c r="L332" s="3484" t="s">
        <v>1018</v>
      </c>
    </row>
    <row r="333" spans="1:12" ht="24.95" customHeight="1">
      <c r="A333" s="2686">
        <v>331</v>
      </c>
      <c r="B333" s="2686" t="s">
        <v>1016</v>
      </c>
      <c r="C333" s="2689">
        <v>303</v>
      </c>
      <c r="D333" s="2686" t="str">
        <f t="shared" si="5"/>
        <v>2#地库303</v>
      </c>
      <c r="E333" s="2686" t="s">
        <v>1017</v>
      </c>
      <c r="F333" s="2686" t="s">
        <v>803</v>
      </c>
      <c r="G333" s="2686" t="s">
        <v>803</v>
      </c>
      <c r="H333" s="2688">
        <v>29.26</v>
      </c>
      <c r="I333" s="2688">
        <v>12.88</v>
      </c>
      <c r="K333" s="2690" t="s">
        <v>805</v>
      </c>
      <c r="L333" s="3484" t="s">
        <v>1018</v>
      </c>
    </row>
    <row r="334" spans="1:12" ht="24.95" customHeight="1">
      <c r="A334" s="2686">
        <v>332</v>
      </c>
      <c r="B334" s="2686" t="s">
        <v>1016</v>
      </c>
      <c r="C334" s="2689">
        <v>304</v>
      </c>
      <c r="D334" s="2686" t="str">
        <f t="shared" si="5"/>
        <v>2#地库304</v>
      </c>
      <c r="E334" s="2686" t="s">
        <v>1017</v>
      </c>
      <c r="F334" s="2686" t="s">
        <v>803</v>
      </c>
      <c r="G334" s="2686" t="s">
        <v>803</v>
      </c>
      <c r="H334" s="2688">
        <v>29.26</v>
      </c>
      <c r="I334" s="2688">
        <v>12.88</v>
      </c>
      <c r="K334" s="2690" t="s">
        <v>805</v>
      </c>
      <c r="L334" s="3484" t="s">
        <v>1018</v>
      </c>
    </row>
    <row r="335" spans="1:12" ht="24.95" customHeight="1">
      <c r="A335" s="2686">
        <v>333</v>
      </c>
      <c r="B335" s="2686" t="s">
        <v>1016</v>
      </c>
      <c r="C335" s="2689">
        <v>305</v>
      </c>
      <c r="D335" s="2686" t="str">
        <f t="shared" si="5"/>
        <v>2#地库305</v>
      </c>
      <c r="E335" s="2686" t="s">
        <v>1017</v>
      </c>
      <c r="F335" s="2686" t="s">
        <v>803</v>
      </c>
      <c r="G335" s="2686" t="s">
        <v>803</v>
      </c>
      <c r="H335" s="2688">
        <v>28.31</v>
      </c>
      <c r="I335" s="2688">
        <v>12.46</v>
      </c>
      <c r="K335" s="2690" t="s">
        <v>805</v>
      </c>
      <c r="L335" s="3484" t="s">
        <v>1018</v>
      </c>
    </row>
    <row r="336" spans="1:12" ht="24.95" customHeight="1">
      <c r="A336" s="2686">
        <v>334</v>
      </c>
      <c r="B336" s="2686" t="s">
        <v>1016</v>
      </c>
      <c r="C336" s="2689">
        <v>306</v>
      </c>
      <c r="D336" s="2686" t="str">
        <f t="shared" si="5"/>
        <v>2#地库306</v>
      </c>
      <c r="E336" s="2686" t="s">
        <v>1017</v>
      </c>
      <c r="F336" s="2686" t="s">
        <v>803</v>
      </c>
      <c r="G336" s="2686" t="s">
        <v>803</v>
      </c>
      <c r="H336" s="2688">
        <v>29.26</v>
      </c>
      <c r="I336" s="2688">
        <v>12.88</v>
      </c>
      <c r="K336" s="2690" t="s">
        <v>805</v>
      </c>
      <c r="L336" s="3484" t="s">
        <v>1018</v>
      </c>
    </row>
    <row r="337" spans="1:12" ht="24.95" customHeight="1">
      <c r="A337" s="2686">
        <v>335</v>
      </c>
      <c r="B337" s="2686" t="s">
        <v>1016</v>
      </c>
      <c r="C337" s="2689">
        <v>307</v>
      </c>
      <c r="D337" s="2686" t="str">
        <f t="shared" si="5"/>
        <v>2#地库307</v>
      </c>
      <c r="E337" s="2686" t="s">
        <v>1017</v>
      </c>
      <c r="F337" s="2686" t="s">
        <v>803</v>
      </c>
      <c r="G337" s="2686" t="s">
        <v>803</v>
      </c>
      <c r="H337" s="2688">
        <v>29.26</v>
      </c>
      <c r="I337" s="2688">
        <v>12.88</v>
      </c>
      <c r="K337" s="2690" t="s">
        <v>805</v>
      </c>
      <c r="L337" s="3484" t="s">
        <v>1018</v>
      </c>
    </row>
    <row r="338" spans="1:12" ht="24.95" customHeight="1">
      <c r="A338" s="2686">
        <v>336</v>
      </c>
      <c r="B338" s="2686" t="s">
        <v>1016</v>
      </c>
      <c r="C338" s="2689">
        <v>308</v>
      </c>
      <c r="D338" s="2686" t="str">
        <f t="shared" si="5"/>
        <v>2#地库308</v>
      </c>
      <c r="E338" s="2686" t="s">
        <v>1017</v>
      </c>
      <c r="F338" s="2686" t="s">
        <v>803</v>
      </c>
      <c r="G338" s="2686" t="s">
        <v>803</v>
      </c>
      <c r="H338" s="2688">
        <v>28.31</v>
      </c>
      <c r="I338" s="2688">
        <v>12.46</v>
      </c>
      <c r="K338" s="2690" t="s">
        <v>805</v>
      </c>
      <c r="L338" s="3484" t="s">
        <v>1018</v>
      </c>
    </row>
    <row r="339" spans="1:12" ht="24.95" customHeight="1">
      <c r="A339" s="2686">
        <v>337</v>
      </c>
      <c r="B339" s="2686" t="s">
        <v>1016</v>
      </c>
      <c r="C339" s="2689">
        <v>309</v>
      </c>
      <c r="D339" s="2686" t="str">
        <f t="shared" si="5"/>
        <v>2#地库309</v>
      </c>
      <c r="E339" s="2686" t="s">
        <v>1017</v>
      </c>
      <c r="F339" s="2686" t="s">
        <v>803</v>
      </c>
      <c r="G339" s="2686" t="s">
        <v>803</v>
      </c>
      <c r="H339" s="2688">
        <v>29.26</v>
      </c>
      <c r="I339" s="2688">
        <v>12.88</v>
      </c>
      <c r="K339" s="2690" t="s">
        <v>805</v>
      </c>
      <c r="L339" s="3484" t="s">
        <v>1018</v>
      </c>
    </row>
    <row r="340" spans="1:12" ht="24.95" customHeight="1">
      <c r="A340" s="2686">
        <v>338</v>
      </c>
      <c r="B340" s="2686" t="s">
        <v>1016</v>
      </c>
      <c r="C340" s="2689">
        <v>310</v>
      </c>
      <c r="D340" s="2686" t="str">
        <f t="shared" si="5"/>
        <v>2#地库310</v>
      </c>
      <c r="E340" s="2686" t="s">
        <v>1017</v>
      </c>
      <c r="F340" s="2686" t="s">
        <v>803</v>
      </c>
      <c r="G340" s="2686" t="s">
        <v>803</v>
      </c>
      <c r="H340" s="2688">
        <v>29.26</v>
      </c>
      <c r="I340" s="2688">
        <v>12.88</v>
      </c>
      <c r="K340" s="2690" t="s">
        <v>805</v>
      </c>
      <c r="L340" s="3484" t="s">
        <v>1018</v>
      </c>
    </row>
    <row r="341" spans="1:12" ht="24.95" customHeight="1">
      <c r="A341" s="2686">
        <v>339</v>
      </c>
      <c r="B341" s="2686" t="s">
        <v>1016</v>
      </c>
      <c r="C341" s="2689">
        <v>311</v>
      </c>
      <c r="D341" s="2686" t="str">
        <f t="shared" si="5"/>
        <v>2#地库311</v>
      </c>
      <c r="E341" s="2686" t="s">
        <v>1017</v>
      </c>
      <c r="F341" s="2686" t="s">
        <v>803</v>
      </c>
      <c r="G341" s="2686" t="s">
        <v>803</v>
      </c>
      <c r="H341" s="2688">
        <v>28.31</v>
      </c>
      <c r="I341" s="2688">
        <v>12.46</v>
      </c>
      <c r="K341" s="2690" t="s">
        <v>805</v>
      </c>
      <c r="L341" s="3484" t="s">
        <v>1018</v>
      </c>
    </row>
    <row r="342" spans="1:12" ht="24.95" customHeight="1">
      <c r="A342" s="2686">
        <v>340</v>
      </c>
      <c r="B342" s="2686" t="s">
        <v>1016</v>
      </c>
      <c r="C342" s="2689">
        <v>312</v>
      </c>
      <c r="D342" s="2686" t="str">
        <f t="shared" si="5"/>
        <v>2#地库312</v>
      </c>
      <c r="E342" s="2686" t="s">
        <v>1017</v>
      </c>
      <c r="F342" s="2686" t="s">
        <v>803</v>
      </c>
      <c r="G342" s="2686" t="s">
        <v>803</v>
      </c>
      <c r="H342" s="2688">
        <v>29.26</v>
      </c>
      <c r="I342" s="2688">
        <v>12.88</v>
      </c>
      <c r="K342" s="2690" t="s">
        <v>805</v>
      </c>
      <c r="L342" s="3484" t="s">
        <v>1018</v>
      </c>
    </row>
    <row r="343" spans="1:12" ht="24.95" customHeight="1">
      <c r="A343" s="2686">
        <v>341</v>
      </c>
      <c r="B343" s="2686" t="s">
        <v>1016</v>
      </c>
      <c r="C343" s="2689">
        <v>313</v>
      </c>
      <c r="D343" s="2686" t="str">
        <f t="shared" si="5"/>
        <v>2#地库313</v>
      </c>
      <c r="E343" s="2686" t="s">
        <v>1017</v>
      </c>
      <c r="F343" s="2686" t="s">
        <v>803</v>
      </c>
      <c r="G343" s="2686" t="s">
        <v>803</v>
      </c>
      <c r="H343" s="2688">
        <v>29.26</v>
      </c>
      <c r="I343" s="2688">
        <v>12.88</v>
      </c>
      <c r="K343" s="2690" t="s">
        <v>805</v>
      </c>
      <c r="L343" s="3484" t="s">
        <v>1018</v>
      </c>
    </row>
    <row r="344" spans="1:12" ht="24.95" customHeight="1">
      <c r="A344" s="2686">
        <v>342</v>
      </c>
      <c r="B344" s="2686" t="s">
        <v>1016</v>
      </c>
      <c r="C344" s="2689">
        <v>314</v>
      </c>
      <c r="D344" s="2686" t="str">
        <f t="shared" si="5"/>
        <v>2#地库314</v>
      </c>
      <c r="E344" s="2686" t="s">
        <v>1017</v>
      </c>
      <c r="F344" s="2686" t="s">
        <v>803</v>
      </c>
      <c r="G344" s="2686" t="s">
        <v>803</v>
      </c>
      <c r="H344" s="2688">
        <v>28.31</v>
      </c>
      <c r="I344" s="2688">
        <v>12.46</v>
      </c>
      <c r="K344" s="2690" t="s">
        <v>805</v>
      </c>
      <c r="L344" s="3484" t="s">
        <v>1018</v>
      </c>
    </row>
    <row r="345" spans="1:12" ht="24.95" customHeight="1">
      <c r="A345" s="2686">
        <v>343</v>
      </c>
      <c r="B345" s="2686" t="s">
        <v>1016</v>
      </c>
      <c r="C345" s="2689">
        <v>315</v>
      </c>
      <c r="D345" s="2686" t="str">
        <f t="shared" si="5"/>
        <v>2#地库315</v>
      </c>
      <c r="E345" s="2686" t="s">
        <v>1017</v>
      </c>
      <c r="F345" s="2686" t="s">
        <v>803</v>
      </c>
      <c r="G345" s="2686" t="s">
        <v>803</v>
      </c>
      <c r="H345" s="2688">
        <v>29.26</v>
      </c>
      <c r="I345" s="2688">
        <v>12.88</v>
      </c>
      <c r="K345" s="2690" t="s">
        <v>805</v>
      </c>
      <c r="L345" s="3484" t="s">
        <v>1018</v>
      </c>
    </row>
    <row r="346" spans="1:12" ht="24.95" customHeight="1">
      <c r="A346" s="2686">
        <v>344</v>
      </c>
      <c r="B346" s="2686" t="s">
        <v>1016</v>
      </c>
      <c r="C346" s="2689">
        <v>316</v>
      </c>
      <c r="D346" s="2686" t="str">
        <f t="shared" si="5"/>
        <v>2#地库316</v>
      </c>
      <c r="E346" s="2686" t="s">
        <v>1017</v>
      </c>
      <c r="F346" s="2686" t="s">
        <v>803</v>
      </c>
      <c r="G346" s="2686" t="s">
        <v>803</v>
      </c>
      <c r="H346" s="2688">
        <v>29.26</v>
      </c>
      <c r="I346" s="2688">
        <v>12.88</v>
      </c>
      <c r="K346" s="2690" t="s">
        <v>805</v>
      </c>
      <c r="L346" s="3484" t="s">
        <v>1018</v>
      </c>
    </row>
    <row r="347" spans="1:12" ht="24.95" customHeight="1">
      <c r="A347" s="2686">
        <v>345</v>
      </c>
      <c r="B347" s="2686" t="s">
        <v>1016</v>
      </c>
      <c r="C347" s="2689">
        <v>317</v>
      </c>
      <c r="D347" s="2686" t="str">
        <f t="shared" si="5"/>
        <v>2#地库317</v>
      </c>
      <c r="E347" s="2686" t="s">
        <v>1017</v>
      </c>
      <c r="F347" s="2686" t="s">
        <v>803</v>
      </c>
      <c r="G347" s="2686" t="s">
        <v>803</v>
      </c>
      <c r="H347" s="2688">
        <v>28.31</v>
      </c>
      <c r="I347" s="2688">
        <v>12.46</v>
      </c>
      <c r="K347" s="2690" t="s">
        <v>805</v>
      </c>
      <c r="L347" s="3484" t="s">
        <v>1018</v>
      </c>
    </row>
    <row r="348" spans="1:12" ht="24.95" customHeight="1">
      <c r="A348" s="2686">
        <v>346</v>
      </c>
      <c r="B348" s="2686" t="s">
        <v>1016</v>
      </c>
      <c r="C348" s="2689">
        <v>318</v>
      </c>
      <c r="D348" s="2686" t="str">
        <f t="shared" si="5"/>
        <v>2#地库318</v>
      </c>
      <c r="E348" s="2686" t="s">
        <v>1017</v>
      </c>
      <c r="F348" s="2686" t="s">
        <v>803</v>
      </c>
      <c r="G348" s="2686" t="s">
        <v>803</v>
      </c>
      <c r="H348" s="2688">
        <v>29.26</v>
      </c>
      <c r="I348" s="2688">
        <v>12.88</v>
      </c>
      <c r="K348" s="2690" t="s">
        <v>805</v>
      </c>
      <c r="L348" s="3484" t="s">
        <v>1018</v>
      </c>
    </row>
    <row r="349" spans="1:12" ht="24.95" customHeight="1">
      <c r="A349" s="2686">
        <v>347</v>
      </c>
      <c r="B349" s="2686" t="s">
        <v>1016</v>
      </c>
      <c r="C349" s="2689">
        <v>319</v>
      </c>
      <c r="D349" s="2686" t="str">
        <f t="shared" si="5"/>
        <v>2#地库319</v>
      </c>
      <c r="E349" s="2686" t="s">
        <v>1017</v>
      </c>
      <c r="F349" s="2686" t="s">
        <v>803</v>
      </c>
      <c r="G349" s="2686" t="s">
        <v>803</v>
      </c>
      <c r="H349" s="2688">
        <v>29.26</v>
      </c>
      <c r="I349" s="2688">
        <v>12.88</v>
      </c>
      <c r="K349" s="2690" t="s">
        <v>805</v>
      </c>
      <c r="L349" s="3484" t="s">
        <v>1018</v>
      </c>
    </row>
    <row r="350" spans="1:12" ht="24.95" customHeight="1">
      <c r="A350" s="2686">
        <v>348</v>
      </c>
      <c r="B350" s="2686" t="s">
        <v>1016</v>
      </c>
      <c r="C350" s="2689">
        <v>320</v>
      </c>
      <c r="D350" s="2686" t="str">
        <f t="shared" si="5"/>
        <v>2#地库320</v>
      </c>
      <c r="E350" s="2686" t="s">
        <v>1017</v>
      </c>
      <c r="F350" s="2686" t="s">
        <v>803</v>
      </c>
      <c r="G350" s="2686" t="s">
        <v>803</v>
      </c>
      <c r="H350" s="2688">
        <v>28.31</v>
      </c>
      <c r="I350" s="2688">
        <v>12.46</v>
      </c>
      <c r="K350" s="2690" t="s">
        <v>805</v>
      </c>
      <c r="L350" s="3484" t="s">
        <v>1018</v>
      </c>
    </row>
    <row r="351" spans="1:12" ht="24.95" customHeight="1">
      <c r="A351" s="2686">
        <v>349</v>
      </c>
      <c r="B351" s="2686" t="s">
        <v>1016</v>
      </c>
      <c r="C351" s="2689">
        <v>321</v>
      </c>
      <c r="D351" s="2686" t="str">
        <f t="shared" si="5"/>
        <v>2#地库321</v>
      </c>
      <c r="E351" s="2686" t="s">
        <v>1017</v>
      </c>
      <c r="F351" s="2686" t="s">
        <v>803</v>
      </c>
      <c r="G351" s="2686" t="s">
        <v>803</v>
      </c>
      <c r="H351" s="2688">
        <v>29.26</v>
      </c>
      <c r="I351" s="2688">
        <v>12.88</v>
      </c>
      <c r="K351" s="2690" t="s">
        <v>805</v>
      </c>
      <c r="L351" s="3484" t="s">
        <v>1018</v>
      </c>
    </row>
    <row r="352" spans="1:12" ht="24.95" customHeight="1">
      <c r="A352" s="2686">
        <v>350</v>
      </c>
      <c r="B352" s="2686" t="s">
        <v>1016</v>
      </c>
      <c r="C352" s="2689">
        <v>322</v>
      </c>
      <c r="D352" s="2686" t="str">
        <f t="shared" si="5"/>
        <v>2#地库322</v>
      </c>
      <c r="E352" s="2686" t="s">
        <v>1017</v>
      </c>
      <c r="F352" s="2686" t="s">
        <v>803</v>
      </c>
      <c r="G352" s="2686" t="s">
        <v>803</v>
      </c>
      <c r="H352" s="2688">
        <v>29.26</v>
      </c>
      <c r="I352" s="2688">
        <v>12.88</v>
      </c>
      <c r="K352" s="2690" t="s">
        <v>805</v>
      </c>
      <c r="L352" s="3484" t="s">
        <v>1018</v>
      </c>
    </row>
    <row r="353" spans="1:12" ht="24.95" customHeight="1">
      <c r="A353" s="2686">
        <v>351</v>
      </c>
      <c r="B353" s="2686" t="s">
        <v>1016</v>
      </c>
      <c r="C353" s="2689">
        <v>323</v>
      </c>
      <c r="D353" s="2686" t="str">
        <f t="shared" si="5"/>
        <v>2#地库323</v>
      </c>
      <c r="E353" s="2686" t="s">
        <v>1017</v>
      </c>
      <c r="F353" s="2686" t="s">
        <v>803</v>
      </c>
      <c r="G353" s="2686" t="s">
        <v>803</v>
      </c>
      <c r="H353" s="2688">
        <v>28.31</v>
      </c>
      <c r="I353" s="2688">
        <v>12.46</v>
      </c>
      <c r="K353" s="2690" t="s">
        <v>805</v>
      </c>
      <c r="L353" s="3484" t="s">
        <v>1018</v>
      </c>
    </row>
    <row r="354" spans="1:12" ht="24.95" customHeight="1">
      <c r="A354" s="2686">
        <v>352</v>
      </c>
      <c r="B354" s="2686" t="s">
        <v>1016</v>
      </c>
      <c r="C354" s="2689">
        <v>324</v>
      </c>
      <c r="D354" s="2686" t="str">
        <f t="shared" si="5"/>
        <v>2#地库324</v>
      </c>
      <c r="E354" s="2686" t="s">
        <v>1017</v>
      </c>
      <c r="F354" s="2686" t="s">
        <v>803</v>
      </c>
      <c r="G354" s="2686" t="s">
        <v>803</v>
      </c>
      <c r="H354" s="2688">
        <v>29.26</v>
      </c>
      <c r="I354" s="2688">
        <v>12.88</v>
      </c>
      <c r="K354" s="2690" t="s">
        <v>805</v>
      </c>
      <c r="L354" s="3484" t="s">
        <v>1018</v>
      </c>
    </row>
    <row r="355" spans="1:12" ht="24.95" customHeight="1">
      <c r="A355" s="2686">
        <v>353</v>
      </c>
      <c r="B355" s="2686" t="s">
        <v>1016</v>
      </c>
      <c r="C355" s="2689">
        <v>325</v>
      </c>
      <c r="D355" s="2686" t="str">
        <f t="shared" si="5"/>
        <v>2#地库325</v>
      </c>
      <c r="E355" s="2686" t="s">
        <v>1017</v>
      </c>
      <c r="F355" s="2686" t="s">
        <v>803</v>
      </c>
      <c r="G355" s="2686" t="s">
        <v>803</v>
      </c>
      <c r="H355" s="2688">
        <v>29.26</v>
      </c>
      <c r="I355" s="2688">
        <v>12.88</v>
      </c>
      <c r="K355" s="2690" t="s">
        <v>805</v>
      </c>
      <c r="L355" s="3484" t="s">
        <v>1018</v>
      </c>
    </row>
    <row r="356" spans="1:12" ht="24.95" customHeight="1">
      <c r="A356" s="2686">
        <v>354</v>
      </c>
      <c r="B356" s="2686" t="s">
        <v>1016</v>
      </c>
      <c r="C356" s="2689">
        <v>326</v>
      </c>
      <c r="D356" s="2686" t="str">
        <f t="shared" si="5"/>
        <v>2#地库326</v>
      </c>
      <c r="E356" s="2686" t="s">
        <v>1017</v>
      </c>
      <c r="F356" s="2686" t="s">
        <v>803</v>
      </c>
      <c r="G356" s="2686" t="s">
        <v>803</v>
      </c>
      <c r="H356" s="2688">
        <v>29.26</v>
      </c>
      <c r="I356" s="2688">
        <v>12.88</v>
      </c>
      <c r="K356" s="2690" t="s">
        <v>805</v>
      </c>
      <c r="L356" s="3484" t="s">
        <v>1018</v>
      </c>
    </row>
    <row r="357" spans="1:12" ht="24.95" customHeight="1">
      <c r="A357" s="2686">
        <v>355</v>
      </c>
      <c r="B357" s="2686" t="s">
        <v>1016</v>
      </c>
      <c r="C357" s="2689">
        <v>327</v>
      </c>
      <c r="D357" s="2686" t="str">
        <f t="shared" si="5"/>
        <v>2#地库327</v>
      </c>
      <c r="E357" s="2686" t="s">
        <v>1017</v>
      </c>
      <c r="F357" s="2686" t="s">
        <v>803</v>
      </c>
      <c r="G357" s="2686" t="s">
        <v>803</v>
      </c>
      <c r="H357" s="2688">
        <v>29.26</v>
      </c>
      <c r="I357" s="2688">
        <v>12.88</v>
      </c>
      <c r="K357" s="2690" t="s">
        <v>805</v>
      </c>
      <c r="L357" s="3484" t="s">
        <v>1018</v>
      </c>
    </row>
    <row r="358" spans="1:12" ht="24.95" customHeight="1">
      <c r="A358" s="2686">
        <v>356</v>
      </c>
      <c r="B358" s="2686" t="s">
        <v>1016</v>
      </c>
      <c r="C358" s="2689">
        <v>328</v>
      </c>
      <c r="D358" s="2686" t="str">
        <f t="shared" si="5"/>
        <v>2#地库328</v>
      </c>
      <c r="E358" s="2686" t="s">
        <v>1017</v>
      </c>
      <c r="F358" s="2686" t="s">
        <v>803</v>
      </c>
      <c r="G358" s="2686" t="s">
        <v>803</v>
      </c>
      <c r="H358" s="2688">
        <v>28.31</v>
      </c>
      <c r="I358" s="2688">
        <v>12.46</v>
      </c>
      <c r="K358" s="2690" t="s">
        <v>805</v>
      </c>
      <c r="L358" s="3484" t="s">
        <v>1018</v>
      </c>
    </row>
    <row r="359" spans="1:12" ht="24.95" customHeight="1">
      <c r="A359" s="2686">
        <v>357</v>
      </c>
      <c r="B359" s="2686" t="s">
        <v>1016</v>
      </c>
      <c r="C359" s="2689">
        <v>329</v>
      </c>
      <c r="D359" s="2686" t="str">
        <f t="shared" si="5"/>
        <v>2#地库329</v>
      </c>
      <c r="E359" s="2686" t="s">
        <v>1017</v>
      </c>
      <c r="F359" s="2686" t="s">
        <v>803</v>
      </c>
      <c r="G359" s="2686" t="s">
        <v>803</v>
      </c>
      <c r="H359" s="2688">
        <v>29.26</v>
      </c>
      <c r="I359" s="2688">
        <v>12.88</v>
      </c>
      <c r="K359" s="2690" t="s">
        <v>805</v>
      </c>
      <c r="L359" s="3484" t="s">
        <v>1018</v>
      </c>
    </row>
    <row r="360" spans="1:12" ht="24.95" customHeight="1">
      <c r="A360" s="2686">
        <v>358</v>
      </c>
      <c r="B360" s="2686" t="s">
        <v>1016</v>
      </c>
      <c r="C360" s="2689">
        <v>330</v>
      </c>
      <c r="D360" s="2686" t="str">
        <f t="shared" si="5"/>
        <v>2#地库330</v>
      </c>
      <c r="E360" s="2686" t="s">
        <v>1017</v>
      </c>
      <c r="F360" s="2686" t="s">
        <v>803</v>
      </c>
      <c r="G360" s="2686" t="s">
        <v>803</v>
      </c>
      <c r="H360" s="2688">
        <v>29.26</v>
      </c>
      <c r="I360" s="2688">
        <v>12.88</v>
      </c>
      <c r="K360" s="2690" t="s">
        <v>805</v>
      </c>
      <c r="L360" s="3484" t="s">
        <v>1018</v>
      </c>
    </row>
    <row r="361" spans="1:12" ht="24.95" customHeight="1">
      <c r="A361" s="2686">
        <v>359</v>
      </c>
      <c r="B361" s="2686" t="s">
        <v>1016</v>
      </c>
      <c r="C361" s="2689">
        <v>331</v>
      </c>
      <c r="D361" s="2686" t="str">
        <f t="shared" si="5"/>
        <v>2#地库331</v>
      </c>
      <c r="E361" s="2686" t="s">
        <v>1017</v>
      </c>
      <c r="F361" s="2686" t="s">
        <v>803</v>
      </c>
      <c r="G361" s="2686" t="s">
        <v>803</v>
      </c>
      <c r="H361" s="2688">
        <v>28.31</v>
      </c>
      <c r="I361" s="2688">
        <v>12.46</v>
      </c>
      <c r="K361" s="2690" t="s">
        <v>805</v>
      </c>
      <c r="L361" s="3484" t="s">
        <v>1018</v>
      </c>
    </row>
    <row r="362" spans="1:12" ht="24.95" customHeight="1">
      <c r="A362" s="2686">
        <v>360</v>
      </c>
      <c r="B362" s="2686" t="s">
        <v>1016</v>
      </c>
      <c r="C362" s="2689">
        <v>332</v>
      </c>
      <c r="D362" s="2686" t="str">
        <f t="shared" si="5"/>
        <v>2#地库332</v>
      </c>
      <c r="E362" s="2686" t="s">
        <v>1017</v>
      </c>
      <c r="F362" s="2686" t="s">
        <v>803</v>
      </c>
      <c r="G362" s="2686" t="s">
        <v>803</v>
      </c>
      <c r="H362" s="2688">
        <v>29.26</v>
      </c>
      <c r="I362" s="2688">
        <v>12.88</v>
      </c>
      <c r="K362" s="2690" t="s">
        <v>805</v>
      </c>
      <c r="L362" s="3484" t="s">
        <v>1018</v>
      </c>
    </row>
    <row r="363" spans="1:12" ht="24.95" customHeight="1">
      <c r="A363" s="2686">
        <v>361</v>
      </c>
      <c r="B363" s="2686" t="s">
        <v>1016</v>
      </c>
      <c r="C363" s="2689">
        <v>333</v>
      </c>
      <c r="D363" s="2686" t="str">
        <f t="shared" si="5"/>
        <v>2#地库333</v>
      </c>
      <c r="E363" s="2686" t="s">
        <v>1017</v>
      </c>
      <c r="F363" s="2686" t="s">
        <v>803</v>
      </c>
      <c r="G363" s="2686" t="s">
        <v>803</v>
      </c>
      <c r="H363" s="2688">
        <v>29.26</v>
      </c>
      <c r="I363" s="2688">
        <v>12.88</v>
      </c>
      <c r="K363" s="2690" t="s">
        <v>805</v>
      </c>
      <c r="L363" s="3484" t="s">
        <v>1018</v>
      </c>
    </row>
    <row r="364" spans="1:12" ht="24.95" customHeight="1">
      <c r="A364" s="2686">
        <v>362</v>
      </c>
      <c r="B364" s="2686" t="s">
        <v>1016</v>
      </c>
      <c r="C364" s="2689">
        <v>334</v>
      </c>
      <c r="D364" s="2686" t="str">
        <f t="shared" si="5"/>
        <v>2#地库334</v>
      </c>
      <c r="E364" s="2686" t="s">
        <v>1017</v>
      </c>
      <c r="F364" s="2686" t="s">
        <v>803</v>
      </c>
      <c r="G364" s="2686" t="s">
        <v>803</v>
      </c>
      <c r="H364" s="2688">
        <v>28.31</v>
      </c>
      <c r="I364" s="2688">
        <v>12.46</v>
      </c>
      <c r="K364" s="2690" t="s">
        <v>805</v>
      </c>
      <c r="L364" s="3484" t="s">
        <v>1018</v>
      </c>
    </row>
    <row r="365" spans="1:12" ht="24.95" customHeight="1">
      <c r="A365" s="2686">
        <v>363</v>
      </c>
      <c r="B365" s="2686" t="s">
        <v>1016</v>
      </c>
      <c r="C365" s="2689">
        <v>335</v>
      </c>
      <c r="D365" s="2686" t="str">
        <f t="shared" si="5"/>
        <v>2#地库335</v>
      </c>
      <c r="E365" s="2686" t="s">
        <v>1017</v>
      </c>
      <c r="F365" s="2686" t="s">
        <v>803</v>
      </c>
      <c r="G365" s="2686" t="s">
        <v>803</v>
      </c>
      <c r="H365" s="2688">
        <v>29.26</v>
      </c>
      <c r="I365" s="2688">
        <v>12.88</v>
      </c>
      <c r="K365" s="2690" t="s">
        <v>805</v>
      </c>
      <c r="L365" s="3484" t="s">
        <v>1018</v>
      </c>
    </row>
    <row r="366" spans="1:12" ht="24.95" customHeight="1">
      <c r="A366" s="2686">
        <v>364</v>
      </c>
      <c r="B366" s="2686" t="s">
        <v>1016</v>
      </c>
      <c r="C366" s="2689">
        <v>336</v>
      </c>
      <c r="D366" s="2686" t="str">
        <f t="shared" si="5"/>
        <v>2#地库336</v>
      </c>
      <c r="E366" s="2686" t="s">
        <v>1017</v>
      </c>
      <c r="F366" s="2686" t="s">
        <v>803</v>
      </c>
      <c r="G366" s="2686" t="s">
        <v>803</v>
      </c>
      <c r="H366" s="2688">
        <v>29.26</v>
      </c>
      <c r="I366" s="2688">
        <v>12.88</v>
      </c>
      <c r="K366" s="2690" t="s">
        <v>805</v>
      </c>
      <c r="L366" s="3484" t="s">
        <v>1018</v>
      </c>
    </row>
    <row r="367" spans="1:12" ht="24.95" customHeight="1">
      <c r="A367" s="2686">
        <v>365</v>
      </c>
      <c r="B367" s="2686" t="s">
        <v>1016</v>
      </c>
      <c r="C367" s="2689">
        <v>337</v>
      </c>
      <c r="D367" s="2686" t="str">
        <f t="shared" si="5"/>
        <v>2#地库337</v>
      </c>
      <c r="E367" s="2686" t="s">
        <v>1017</v>
      </c>
      <c r="F367" s="2686" t="s">
        <v>803</v>
      </c>
      <c r="G367" s="2686" t="s">
        <v>803</v>
      </c>
      <c r="H367" s="2688">
        <v>28.31</v>
      </c>
      <c r="I367" s="2688">
        <v>12.46</v>
      </c>
      <c r="K367" s="2690" t="s">
        <v>805</v>
      </c>
      <c r="L367" s="3484" t="s">
        <v>1018</v>
      </c>
    </row>
    <row r="368" spans="1:12" ht="24.95" customHeight="1">
      <c r="A368" s="2686">
        <v>366</v>
      </c>
      <c r="B368" s="2686" t="s">
        <v>1016</v>
      </c>
      <c r="C368" s="2689">
        <v>338</v>
      </c>
      <c r="D368" s="2686" t="str">
        <f t="shared" si="5"/>
        <v>2#地库338</v>
      </c>
      <c r="E368" s="2686" t="s">
        <v>1017</v>
      </c>
      <c r="F368" s="2686" t="s">
        <v>803</v>
      </c>
      <c r="G368" s="2686" t="s">
        <v>803</v>
      </c>
      <c r="H368" s="2688">
        <v>29.26</v>
      </c>
      <c r="I368" s="2688">
        <v>12.88</v>
      </c>
      <c r="K368" s="2690" t="s">
        <v>805</v>
      </c>
      <c r="L368" s="3484" t="s">
        <v>1018</v>
      </c>
    </row>
    <row r="369" spans="1:12" ht="24.95" customHeight="1">
      <c r="A369" s="2686">
        <v>367</v>
      </c>
      <c r="B369" s="2686" t="s">
        <v>1016</v>
      </c>
      <c r="C369" s="2689">
        <v>339</v>
      </c>
      <c r="D369" s="2686" t="str">
        <f t="shared" si="5"/>
        <v>2#地库339</v>
      </c>
      <c r="E369" s="2686" t="s">
        <v>1017</v>
      </c>
      <c r="F369" s="2686" t="s">
        <v>803</v>
      </c>
      <c r="G369" s="2686" t="s">
        <v>803</v>
      </c>
      <c r="H369" s="2688">
        <v>29.26</v>
      </c>
      <c r="I369" s="2688">
        <v>12.88</v>
      </c>
      <c r="K369" s="2690" t="s">
        <v>805</v>
      </c>
      <c r="L369" s="3484" t="s">
        <v>1018</v>
      </c>
    </row>
    <row r="370" spans="1:12" ht="24.95" customHeight="1">
      <c r="A370" s="2686">
        <v>368</v>
      </c>
      <c r="B370" s="2686" t="s">
        <v>1016</v>
      </c>
      <c r="C370" s="2689">
        <v>340</v>
      </c>
      <c r="D370" s="2686" t="str">
        <f t="shared" si="5"/>
        <v>2#地库340</v>
      </c>
      <c r="E370" s="2686" t="s">
        <v>1017</v>
      </c>
      <c r="F370" s="2686" t="s">
        <v>803</v>
      </c>
      <c r="G370" s="2686" t="s">
        <v>803</v>
      </c>
      <c r="H370" s="2688">
        <v>28.31</v>
      </c>
      <c r="I370" s="2688">
        <v>12.46</v>
      </c>
      <c r="K370" s="2690" t="s">
        <v>805</v>
      </c>
      <c r="L370" s="3484" t="s">
        <v>1018</v>
      </c>
    </row>
    <row r="371" spans="1:12" ht="24.95" customHeight="1">
      <c r="A371" s="2686">
        <v>369</v>
      </c>
      <c r="B371" s="2686" t="s">
        <v>1016</v>
      </c>
      <c r="C371" s="2689">
        <v>341</v>
      </c>
      <c r="D371" s="2686" t="str">
        <f t="shared" si="5"/>
        <v>2#地库341</v>
      </c>
      <c r="E371" s="2686" t="s">
        <v>1017</v>
      </c>
      <c r="F371" s="2686" t="s">
        <v>803</v>
      </c>
      <c r="G371" s="2686" t="s">
        <v>803</v>
      </c>
      <c r="H371" s="2688">
        <v>29.26</v>
      </c>
      <c r="I371" s="2688">
        <v>12.88</v>
      </c>
      <c r="K371" s="2690" t="s">
        <v>805</v>
      </c>
      <c r="L371" s="3484" t="s">
        <v>1018</v>
      </c>
    </row>
    <row r="372" spans="1:12" ht="24.95" customHeight="1">
      <c r="A372" s="2686">
        <v>370</v>
      </c>
      <c r="B372" s="2686" t="s">
        <v>1016</v>
      </c>
      <c r="C372" s="2689">
        <v>342</v>
      </c>
      <c r="D372" s="2686" t="str">
        <f t="shared" si="5"/>
        <v>2#地库342</v>
      </c>
      <c r="E372" s="2686" t="s">
        <v>1017</v>
      </c>
      <c r="F372" s="2686" t="s">
        <v>803</v>
      </c>
      <c r="G372" s="2686" t="s">
        <v>803</v>
      </c>
      <c r="H372" s="2688">
        <v>30.72</v>
      </c>
      <c r="I372" s="2688">
        <v>13.52</v>
      </c>
      <c r="K372" s="2690" t="s">
        <v>805</v>
      </c>
      <c r="L372" s="3484" t="s">
        <v>1018</v>
      </c>
    </row>
    <row r="373" spans="1:12" ht="24.95" customHeight="1">
      <c r="A373" s="2686">
        <v>371</v>
      </c>
      <c r="B373" s="2686" t="s">
        <v>1016</v>
      </c>
      <c r="C373" s="2689">
        <v>343</v>
      </c>
      <c r="D373" s="2686" t="str">
        <f t="shared" si="5"/>
        <v>2#地库343</v>
      </c>
      <c r="E373" s="2686" t="s">
        <v>1017</v>
      </c>
      <c r="F373" s="2686" t="s">
        <v>803</v>
      </c>
      <c r="G373" s="2686" t="s">
        <v>803</v>
      </c>
      <c r="H373" s="2688">
        <v>29.26</v>
      </c>
      <c r="I373" s="2688">
        <v>12.88</v>
      </c>
      <c r="K373" s="2690" t="s">
        <v>805</v>
      </c>
      <c r="L373" s="3484" t="s">
        <v>1018</v>
      </c>
    </row>
    <row r="374" spans="1:12" ht="24.95" customHeight="1">
      <c r="A374" s="2686">
        <v>372</v>
      </c>
      <c r="B374" s="2686" t="s">
        <v>1016</v>
      </c>
      <c r="C374" s="2689">
        <v>344</v>
      </c>
      <c r="D374" s="2686" t="str">
        <f t="shared" si="5"/>
        <v>2#地库344</v>
      </c>
      <c r="E374" s="2686" t="s">
        <v>1017</v>
      </c>
      <c r="F374" s="2686" t="s">
        <v>803</v>
      </c>
      <c r="G374" s="2686" t="s">
        <v>803</v>
      </c>
      <c r="H374" s="2688">
        <v>29.26</v>
      </c>
      <c r="I374" s="2688">
        <v>12.88</v>
      </c>
      <c r="K374" s="2690" t="s">
        <v>805</v>
      </c>
      <c r="L374" s="3484" t="s">
        <v>1018</v>
      </c>
    </row>
    <row r="375" spans="1:12" ht="24.95" customHeight="1">
      <c r="A375" s="2686">
        <v>373</v>
      </c>
      <c r="B375" s="2686" t="s">
        <v>1016</v>
      </c>
      <c r="C375" s="2689">
        <v>345</v>
      </c>
      <c r="D375" s="2686" t="str">
        <f t="shared" si="5"/>
        <v>2#地库345</v>
      </c>
      <c r="E375" s="2686" t="s">
        <v>1017</v>
      </c>
      <c r="F375" s="2686" t="s">
        <v>803</v>
      </c>
      <c r="G375" s="2686" t="s">
        <v>803</v>
      </c>
      <c r="H375" s="2688">
        <v>28.31</v>
      </c>
      <c r="I375" s="2688">
        <v>12.46</v>
      </c>
      <c r="K375" s="2690" t="s">
        <v>805</v>
      </c>
      <c r="L375" s="3484" t="s">
        <v>1018</v>
      </c>
    </row>
    <row r="376" spans="1:12" ht="24.95" customHeight="1">
      <c r="A376" s="2686">
        <v>374</v>
      </c>
      <c r="B376" s="2686" t="s">
        <v>1016</v>
      </c>
      <c r="C376" s="2689">
        <v>346</v>
      </c>
      <c r="D376" s="2686" t="str">
        <f t="shared" si="5"/>
        <v>2#地库346</v>
      </c>
      <c r="E376" s="2686" t="s">
        <v>1017</v>
      </c>
      <c r="F376" s="2686" t="s">
        <v>803</v>
      </c>
      <c r="G376" s="2686" t="s">
        <v>803</v>
      </c>
      <c r="H376" s="2688">
        <v>29.26</v>
      </c>
      <c r="I376" s="2688">
        <v>12.88</v>
      </c>
      <c r="K376" s="2690" t="s">
        <v>805</v>
      </c>
      <c r="L376" s="3484" t="s">
        <v>1018</v>
      </c>
    </row>
    <row r="377" spans="1:12" ht="24.95" customHeight="1">
      <c r="A377" s="2686">
        <v>375</v>
      </c>
      <c r="B377" s="2686" t="s">
        <v>1016</v>
      </c>
      <c r="C377" s="2689">
        <v>347</v>
      </c>
      <c r="D377" s="2686" t="str">
        <f t="shared" si="5"/>
        <v>2#地库347</v>
      </c>
      <c r="E377" s="2686" t="s">
        <v>1017</v>
      </c>
      <c r="F377" s="2686" t="s">
        <v>803</v>
      </c>
      <c r="G377" s="2686" t="s">
        <v>803</v>
      </c>
      <c r="H377" s="2688">
        <v>30.1</v>
      </c>
      <c r="I377" s="2688">
        <v>13.25</v>
      </c>
      <c r="K377" s="2690" t="s">
        <v>805</v>
      </c>
      <c r="L377" s="3484" t="s">
        <v>1018</v>
      </c>
    </row>
    <row r="378" spans="1:12" ht="24.95" customHeight="1">
      <c r="A378" s="2686">
        <v>376</v>
      </c>
      <c r="B378" s="2686" t="s">
        <v>1016</v>
      </c>
      <c r="C378" s="2689">
        <v>348</v>
      </c>
      <c r="D378" s="2686" t="str">
        <f t="shared" si="5"/>
        <v>2#地库348</v>
      </c>
      <c r="E378" s="2686" t="s">
        <v>1017</v>
      </c>
      <c r="F378" s="2686" t="s">
        <v>803</v>
      </c>
      <c r="G378" s="2686" t="s">
        <v>803</v>
      </c>
      <c r="H378" s="2688">
        <v>28.31</v>
      </c>
      <c r="I378" s="2688">
        <v>12.46</v>
      </c>
      <c r="K378" s="2690" t="s">
        <v>805</v>
      </c>
      <c r="L378" s="3484" t="s">
        <v>1018</v>
      </c>
    </row>
    <row r="379" spans="1:12" ht="24.95" customHeight="1">
      <c r="A379" s="2686">
        <v>377</v>
      </c>
      <c r="B379" s="2686" t="s">
        <v>1016</v>
      </c>
      <c r="C379" s="2689">
        <v>349</v>
      </c>
      <c r="D379" s="2686" t="str">
        <f t="shared" si="5"/>
        <v>2#地库349</v>
      </c>
      <c r="E379" s="2686" t="s">
        <v>1017</v>
      </c>
      <c r="F379" s="2686" t="s">
        <v>803</v>
      </c>
      <c r="G379" s="2686" t="s">
        <v>803</v>
      </c>
      <c r="H379" s="2688">
        <v>29.26</v>
      </c>
      <c r="I379" s="2688">
        <v>12.88</v>
      </c>
      <c r="K379" s="2690" t="s">
        <v>805</v>
      </c>
      <c r="L379" s="3484" t="s">
        <v>1018</v>
      </c>
    </row>
    <row r="380" spans="1:12" ht="24.95" customHeight="1">
      <c r="A380" s="2686">
        <v>378</v>
      </c>
      <c r="B380" s="2686" t="s">
        <v>1016</v>
      </c>
      <c r="C380" s="2689">
        <v>350</v>
      </c>
      <c r="D380" s="2686" t="str">
        <f t="shared" si="5"/>
        <v>2#地库350</v>
      </c>
      <c r="E380" s="2686" t="s">
        <v>1017</v>
      </c>
      <c r="F380" s="2686" t="s">
        <v>803</v>
      </c>
      <c r="G380" s="2686" t="s">
        <v>803</v>
      </c>
      <c r="H380" s="2688">
        <v>22.49</v>
      </c>
      <c r="I380" s="2688">
        <v>9.9</v>
      </c>
      <c r="K380" s="2690" t="s">
        <v>805</v>
      </c>
      <c r="L380" s="3484" t="s">
        <v>1018</v>
      </c>
    </row>
    <row r="381" spans="1:12" ht="24.95" customHeight="1">
      <c r="A381" s="2686">
        <v>379</v>
      </c>
      <c r="B381" s="2686" t="s">
        <v>1016</v>
      </c>
      <c r="C381" s="2689">
        <v>351</v>
      </c>
      <c r="D381" s="2686" t="str">
        <f t="shared" si="5"/>
        <v>2#地库351</v>
      </c>
      <c r="E381" s="2686" t="s">
        <v>1017</v>
      </c>
      <c r="F381" s="2686" t="s">
        <v>803</v>
      </c>
      <c r="G381" s="2686" t="s">
        <v>803</v>
      </c>
      <c r="H381" s="2688">
        <v>29.26</v>
      </c>
      <c r="I381" s="2688">
        <v>12.88</v>
      </c>
      <c r="K381" s="2690" t="s">
        <v>805</v>
      </c>
      <c r="L381" s="3484" t="s">
        <v>1018</v>
      </c>
    </row>
    <row r="382" spans="1:12" ht="24.95" customHeight="1">
      <c r="A382" s="2686">
        <v>380</v>
      </c>
      <c r="B382" s="2686" t="s">
        <v>1016</v>
      </c>
      <c r="C382" s="2689">
        <v>352</v>
      </c>
      <c r="D382" s="2686" t="str">
        <f t="shared" si="5"/>
        <v>2#地库352</v>
      </c>
      <c r="E382" s="2686" t="s">
        <v>1017</v>
      </c>
      <c r="F382" s="2686" t="s">
        <v>803</v>
      </c>
      <c r="G382" s="2686" t="s">
        <v>803</v>
      </c>
      <c r="H382" s="2688">
        <v>28.31</v>
      </c>
      <c r="I382" s="2688">
        <v>12.46</v>
      </c>
      <c r="K382" s="2690" t="s">
        <v>805</v>
      </c>
      <c r="L382" s="3484" t="s">
        <v>1018</v>
      </c>
    </row>
    <row r="383" spans="1:12" ht="24.95" customHeight="1">
      <c r="A383" s="2686">
        <v>381</v>
      </c>
      <c r="B383" s="2686" t="s">
        <v>1016</v>
      </c>
      <c r="C383" s="2689">
        <v>353</v>
      </c>
      <c r="D383" s="2686" t="str">
        <f t="shared" si="5"/>
        <v>2#地库353</v>
      </c>
      <c r="E383" s="2686" t="s">
        <v>1017</v>
      </c>
      <c r="F383" s="2686" t="s">
        <v>803</v>
      </c>
      <c r="G383" s="2686" t="s">
        <v>803</v>
      </c>
      <c r="H383" s="2688">
        <v>29.26</v>
      </c>
      <c r="I383" s="2688">
        <v>12.88</v>
      </c>
      <c r="K383" s="2690" t="s">
        <v>805</v>
      </c>
      <c r="L383" s="3484" t="s">
        <v>1018</v>
      </c>
    </row>
    <row r="384" spans="1:12" ht="24.95" customHeight="1">
      <c r="A384" s="2686">
        <v>382</v>
      </c>
      <c r="B384" s="2686" t="s">
        <v>1016</v>
      </c>
      <c r="C384" s="2689">
        <v>354</v>
      </c>
      <c r="D384" s="2686" t="str">
        <f t="shared" si="5"/>
        <v>2#地库354</v>
      </c>
      <c r="E384" s="2686" t="s">
        <v>1017</v>
      </c>
      <c r="F384" s="2686" t="s">
        <v>803</v>
      </c>
      <c r="G384" s="2686" t="s">
        <v>803</v>
      </c>
      <c r="H384" s="2688">
        <v>29.26</v>
      </c>
      <c r="I384" s="2688">
        <v>12.88</v>
      </c>
      <c r="K384" s="2690" t="s">
        <v>805</v>
      </c>
      <c r="L384" s="3484" t="s">
        <v>1018</v>
      </c>
    </row>
    <row r="385" spans="1:12" ht="24.95" customHeight="1">
      <c r="A385" s="2686">
        <v>383</v>
      </c>
      <c r="B385" s="2686" t="s">
        <v>1016</v>
      </c>
      <c r="C385" s="2689">
        <v>355</v>
      </c>
      <c r="D385" s="2686" t="str">
        <f t="shared" si="5"/>
        <v>2#地库355</v>
      </c>
      <c r="E385" s="2686" t="s">
        <v>1017</v>
      </c>
      <c r="F385" s="2686" t="s">
        <v>803</v>
      </c>
      <c r="G385" s="2686" t="s">
        <v>803</v>
      </c>
      <c r="H385" s="2688">
        <v>28.31</v>
      </c>
      <c r="I385" s="2688">
        <v>12.46</v>
      </c>
      <c r="K385" s="2690" t="s">
        <v>805</v>
      </c>
      <c r="L385" s="3484" t="s">
        <v>1018</v>
      </c>
    </row>
    <row r="386" spans="1:12" ht="24.95" customHeight="1">
      <c r="A386" s="2686">
        <v>384</v>
      </c>
      <c r="B386" s="2686" t="s">
        <v>1016</v>
      </c>
      <c r="C386" s="2689">
        <v>356</v>
      </c>
      <c r="D386" s="2686" t="str">
        <f t="shared" si="5"/>
        <v>2#地库356</v>
      </c>
      <c r="E386" s="2686" t="s">
        <v>1017</v>
      </c>
      <c r="F386" s="2686" t="s">
        <v>803</v>
      </c>
      <c r="G386" s="2686" t="s">
        <v>803</v>
      </c>
      <c r="H386" s="2688">
        <v>29.26</v>
      </c>
      <c r="I386" s="2688">
        <v>12.88</v>
      </c>
      <c r="K386" s="2690" t="s">
        <v>805</v>
      </c>
      <c r="L386" s="3484" t="s">
        <v>1018</v>
      </c>
    </row>
    <row r="387" spans="1:12" ht="24.95" customHeight="1">
      <c r="A387" s="2686">
        <v>385</v>
      </c>
      <c r="B387" s="2686" t="s">
        <v>1016</v>
      </c>
      <c r="C387" s="2689">
        <v>357</v>
      </c>
      <c r="D387" s="2686" t="str">
        <f t="shared" si="5"/>
        <v>2#地库357</v>
      </c>
      <c r="E387" s="2686" t="s">
        <v>1017</v>
      </c>
      <c r="F387" s="2686" t="s">
        <v>803</v>
      </c>
      <c r="G387" s="2686" t="s">
        <v>803</v>
      </c>
      <c r="H387" s="2688">
        <v>29.26</v>
      </c>
      <c r="I387" s="2688">
        <v>12.88</v>
      </c>
      <c r="K387" s="2690" t="s">
        <v>805</v>
      </c>
      <c r="L387" s="3484" t="s">
        <v>1018</v>
      </c>
    </row>
    <row r="388" spans="1:12" ht="24.95" customHeight="1">
      <c r="A388" s="2686">
        <v>386</v>
      </c>
      <c r="B388" s="2686" t="s">
        <v>1016</v>
      </c>
      <c r="C388" s="2689">
        <v>358</v>
      </c>
      <c r="D388" s="2686" t="str">
        <f t="shared" si="5"/>
        <v>2#地库358</v>
      </c>
      <c r="E388" s="2686" t="s">
        <v>1017</v>
      </c>
      <c r="F388" s="2686" t="s">
        <v>803</v>
      </c>
      <c r="G388" s="2686" t="s">
        <v>803</v>
      </c>
      <c r="H388" s="2688">
        <v>28.31</v>
      </c>
      <c r="I388" s="2688">
        <v>12.46</v>
      </c>
      <c r="K388" s="2690" t="s">
        <v>805</v>
      </c>
      <c r="L388" s="3484" t="s">
        <v>1018</v>
      </c>
    </row>
    <row r="389" spans="1:12" ht="24.95" customHeight="1">
      <c r="A389" s="2686">
        <v>387</v>
      </c>
      <c r="B389" s="2686" t="s">
        <v>1016</v>
      </c>
      <c r="C389" s="2689">
        <v>359</v>
      </c>
      <c r="D389" s="2686" t="str">
        <f t="shared" si="5"/>
        <v>2#地库359</v>
      </c>
      <c r="E389" s="2686" t="s">
        <v>1017</v>
      </c>
      <c r="F389" s="2686" t="s">
        <v>803</v>
      </c>
      <c r="G389" s="2686" t="s">
        <v>803</v>
      </c>
      <c r="H389" s="2688">
        <v>29.26</v>
      </c>
      <c r="I389" s="2688">
        <v>12.88</v>
      </c>
      <c r="K389" s="2690" t="s">
        <v>805</v>
      </c>
      <c r="L389" s="3484" t="s">
        <v>1018</v>
      </c>
    </row>
    <row r="390" spans="1:12" ht="24.95" customHeight="1">
      <c r="A390" s="2686">
        <v>388</v>
      </c>
      <c r="B390" s="2686" t="s">
        <v>1016</v>
      </c>
      <c r="C390" s="2689">
        <v>360</v>
      </c>
      <c r="D390" s="2686" t="str">
        <f t="shared" si="5"/>
        <v>2#地库360</v>
      </c>
      <c r="E390" s="2686" t="s">
        <v>1017</v>
      </c>
      <c r="F390" s="2686" t="s">
        <v>803</v>
      </c>
      <c r="G390" s="2686" t="s">
        <v>803</v>
      </c>
      <c r="H390" s="2688">
        <v>30.63</v>
      </c>
      <c r="I390" s="2688">
        <v>13.48</v>
      </c>
      <c r="K390" s="2690" t="s">
        <v>805</v>
      </c>
      <c r="L390" s="3484" t="s">
        <v>1018</v>
      </c>
    </row>
    <row r="391" spans="1:12" ht="24.95" customHeight="1">
      <c r="A391" s="2686">
        <v>389</v>
      </c>
      <c r="B391" s="2686" t="s">
        <v>1016</v>
      </c>
      <c r="C391" s="2689">
        <v>361</v>
      </c>
      <c r="D391" s="2686" t="str">
        <f t="shared" si="5"/>
        <v>2#地库361</v>
      </c>
      <c r="E391" s="2686" t="s">
        <v>1017</v>
      </c>
      <c r="F391" s="2686" t="s">
        <v>803</v>
      </c>
      <c r="G391" s="2686" t="s">
        <v>803</v>
      </c>
      <c r="H391" s="2688">
        <v>29.54</v>
      </c>
      <c r="I391" s="2688">
        <v>13</v>
      </c>
      <c r="K391" s="2690" t="s">
        <v>805</v>
      </c>
      <c r="L391" s="3484" t="s">
        <v>1018</v>
      </c>
    </row>
    <row r="392" spans="1:12" ht="24.95" customHeight="1">
      <c r="A392" s="2686">
        <v>390</v>
      </c>
      <c r="B392" s="2686" t="s">
        <v>1016</v>
      </c>
      <c r="C392" s="2689">
        <v>362</v>
      </c>
      <c r="D392" s="2686" t="str">
        <f t="shared" ref="D392:D455" si="6">B392&amp;C392</f>
        <v>2#地库362</v>
      </c>
      <c r="E392" s="2686" t="s">
        <v>1017</v>
      </c>
      <c r="F392" s="2686" t="s">
        <v>803</v>
      </c>
      <c r="G392" s="2686" t="s">
        <v>803</v>
      </c>
      <c r="H392" s="2688">
        <v>30.63</v>
      </c>
      <c r="I392" s="2688">
        <v>13.48</v>
      </c>
      <c r="K392" s="2690" t="s">
        <v>805</v>
      </c>
      <c r="L392" s="3484" t="s">
        <v>1018</v>
      </c>
    </row>
    <row r="393" spans="1:12" ht="24.95" customHeight="1">
      <c r="A393" s="2686">
        <v>391</v>
      </c>
      <c r="B393" s="2686" t="s">
        <v>1016</v>
      </c>
      <c r="C393" s="2689">
        <v>363</v>
      </c>
      <c r="D393" s="2686" t="str">
        <f t="shared" si="6"/>
        <v>2#地库363</v>
      </c>
      <c r="E393" s="2686" t="s">
        <v>1017</v>
      </c>
      <c r="F393" s="2686" t="s">
        <v>803</v>
      </c>
      <c r="G393" s="2686" t="s">
        <v>803</v>
      </c>
      <c r="H393" s="2688">
        <v>30.35</v>
      </c>
      <c r="I393" s="2688">
        <v>13.36</v>
      </c>
      <c r="K393" s="2690" t="s">
        <v>805</v>
      </c>
      <c r="L393" s="3484" t="s">
        <v>1018</v>
      </c>
    </row>
    <row r="394" spans="1:12" ht="24.95" customHeight="1">
      <c r="A394" s="2686">
        <v>392</v>
      </c>
      <c r="B394" s="2686" t="s">
        <v>1016</v>
      </c>
      <c r="C394" s="2689">
        <v>364</v>
      </c>
      <c r="D394" s="2686" t="str">
        <f t="shared" si="6"/>
        <v>2#地库364</v>
      </c>
      <c r="E394" s="2686" t="s">
        <v>1017</v>
      </c>
      <c r="F394" s="2686" t="s">
        <v>803</v>
      </c>
      <c r="G394" s="2686" t="s">
        <v>803</v>
      </c>
      <c r="H394" s="2688">
        <v>29.26</v>
      </c>
      <c r="I394" s="2688">
        <v>12.88</v>
      </c>
      <c r="K394" s="2690" t="s">
        <v>805</v>
      </c>
      <c r="L394" s="3484" t="s">
        <v>1018</v>
      </c>
    </row>
    <row r="395" spans="1:12" ht="24.95" customHeight="1">
      <c r="A395" s="2686">
        <v>393</v>
      </c>
      <c r="B395" s="2686" t="s">
        <v>1016</v>
      </c>
      <c r="C395" s="2689">
        <v>365</v>
      </c>
      <c r="D395" s="2686" t="str">
        <f t="shared" si="6"/>
        <v>2#地库365</v>
      </c>
      <c r="E395" s="2686" t="s">
        <v>1017</v>
      </c>
      <c r="F395" s="2686" t="s">
        <v>803</v>
      </c>
      <c r="G395" s="2686" t="s">
        <v>803</v>
      </c>
      <c r="H395" s="2688">
        <v>30.35</v>
      </c>
      <c r="I395" s="2688">
        <v>13.36</v>
      </c>
      <c r="K395" s="2690" t="s">
        <v>805</v>
      </c>
      <c r="L395" s="3484" t="s">
        <v>1018</v>
      </c>
    </row>
    <row r="396" spans="1:12" ht="24.95" customHeight="1">
      <c r="A396" s="2686">
        <v>394</v>
      </c>
      <c r="B396" s="2686" t="s">
        <v>1016</v>
      </c>
      <c r="C396" s="2689">
        <v>366</v>
      </c>
      <c r="D396" s="2686" t="str">
        <f t="shared" si="6"/>
        <v>2#地库366</v>
      </c>
      <c r="E396" s="2686" t="s">
        <v>1017</v>
      </c>
      <c r="F396" s="2686" t="s">
        <v>803</v>
      </c>
      <c r="G396" s="2686" t="s">
        <v>803</v>
      </c>
      <c r="H396" s="2688">
        <v>29.26</v>
      </c>
      <c r="I396" s="2688">
        <v>12.88</v>
      </c>
      <c r="K396" s="2690" t="s">
        <v>805</v>
      </c>
      <c r="L396" s="3484" t="s">
        <v>1018</v>
      </c>
    </row>
    <row r="397" spans="1:12" ht="24.95" customHeight="1">
      <c r="A397" s="2686">
        <v>395</v>
      </c>
      <c r="B397" s="2686" t="s">
        <v>1016</v>
      </c>
      <c r="C397" s="2689">
        <v>367</v>
      </c>
      <c r="D397" s="2686" t="str">
        <f t="shared" si="6"/>
        <v>2#地库367</v>
      </c>
      <c r="E397" s="2686" t="s">
        <v>1017</v>
      </c>
      <c r="F397" s="2686" t="s">
        <v>803</v>
      </c>
      <c r="G397" s="2686" t="s">
        <v>803</v>
      </c>
      <c r="H397" s="2688">
        <v>28.31</v>
      </c>
      <c r="I397" s="2688">
        <v>12.46</v>
      </c>
      <c r="K397" s="2690" t="s">
        <v>805</v>
      </c>
      <c r="L397" s="3484" t="s">
        <v>1018</v>
      </c>
    </row>
    <row r="398" spans="1:12" ht="24.95" customHeight="1">
      <c r="A398" s="2686">
        <v>396</v>
      </c>
      <c r="B398" s="2686" t="s">
        <v>1016</v>
      </c>
      <c r="C398" s="2689">
        <v>368</v>
      </c>
      <c r="D398" s="2686" t="str">
        <f t="shared" si="6"/>
        <v>2#地库368</v>
      </c>
      <c r="E398" s="2686" t="s">
        <v>1017</v>
      </c>
      <c r="F398" s="2686" t="s">
        <v>803</v>
      </c>
      <c r="G398" s="2686" t="s">
        <v>803</v>
      </c>
      <c r="H398" s="2688">
        <v>29.26</v>
      </c>
      <c r="I398" s="2688">
        <v>12.88</v>
      </c>
      <c r="K398" s="2690" t="s">
        <v>805</v>
      </c>
      <c r="L398" s="3484" t="s">
        <v>1018</v>
      </c>
    </row>
    <row r="399" spans="1:12" ht="24.95" customHeight="1">
      <c r="A399" s="2686">
        <v>397</v>
      </c>
      <c r="B399" s="2686" t="s">
        <v>1016</v>
      </c>
      <c r="C399" s="2689">
        <v>369</v>
      </c>
      <c r="D399" s="2686" t="str">
        <f t="shared" si="6"/>
        <v>2#地库369</v>
      </c>
      <c r="E399" s="2686" t="s">
        <v>1017</v>
      </c>
      <c r="F399" s="2686" t="s">
        <v>803</v>
      </c>
      <c r="G399" s="2686" t="s">
        <v>803</v>
      </c>
      <c r="H399" s="2688">
        <v>29.26</v>
      </c>
      <c r="I399" s="2688">
        <v>12.88</v>
      </c>
      <c r="K399" s="2690" t="s">
        <v>805</v>
      </c>
      <c r="L399" s="3484" t="s">
        <v>1018</v>
      </c>
    </row>
    <row r="400" spans="1:12" ht="24.95" customHeight="1">
      <c r="A400" s="2686">
        <v>398</v>
      </c>
      <c r="B400" s="2686" t="s">
        <v>1016</v>
      </c>
      <c r="C400" s="2689">
        <v>370</v>
      </c>
      <c r="D400" s="2686" t="str">
        <f t="shared" si="6"/>
        <v>2#地库370</v>
      </c>
      <c r="E400" s="2686" t="s">
        <v>1017</v>
      </c>
      <c r="F400" s="2686" t="s">
        <v>803</v>
      </c>
      <c r="G400" s="2686" t="s">
        <v>803</v>
      </c>
      <c r="H400" s="2688">
        <v>28.31</v>
      </c>
      <c r="I400" s="2688">
        <v>12.46</v>
      </c>
      <c r="K400" s="2690" t="s">
        <v>805</v>
      </c>
      <c r="L400" s="3484" t="s">
        <v>1018</v>
      </c>
    </row>
    <row r="401" spans="1:12" ht="24.95" customHeight="1">
      <c r="A401" s="2686">
        <v>399</v>
      </c>
      <c r="B401" s="2686" t="s">
        <v>1016</v>
      </c>
      <c r="C401" s="2689">
        <v>371</v>
      </c>
      <c r="D401" s="2686" t="str">
        <f t="shared" si="6"/>
        <v>2#地库371</v>
      </c>
      <c r="E401" s="2686" t="s">
        <v>1017</v>
      </c>
      <c r="F401" s="2686" t="s">
        <v>803</v>
      </c>
      <c r="G401" s="2686" t="s">
        <v>803</v>
      </c>
      <c r="H401" s="2688">
        <v>29.26</v>
      </c>
      <c r="I401" s="2688">
        <v>12.88</v>
      </c>
      <c r="K401" s="2690" t="s">
        <v>805</v>
      </c>
      <c r="L401" s="3484" t="s">
        <v>1018</v>
      </c>
    </row>
    <row r="402" spans="1:12" ht="24.95" customHeight="1">
      <c r="A402" s="2686">
        <v>400</v>
      </c>
      <c r="B402" s="2686" t="s">
        <v>1016</v>
      </c>
      <c r="C402" s="2689">
        <v>372</v>
      </c>
      <c r="D402" s="2686" t="str">
        <f t="shared" si="6"/>
        <v>2#地库372</v>
      </c>
      <c r="E402" s="2686" t="s">
        <v>1017</v>
      </c>
      <c r="F402" s="2686" t="s">
        <v>803</v>
      </c>
      <c r="G402" s="2686" t="s">
        <v>803</v>
      </c>
      <c r="H402" s="2688">
        <v>29.26</v>
      </c>
      <c r="I402" s="2688">
        <v>12.88</v>
      </c>
      <c r="K402" s="2690" t="s">
        <v>805</v>
      </c>
      <c r="L402" s="3484" t="s">
        <v>1018</v>
      </c>
    </row>
    <row r="403" spans="1:12" ht="24.95" customHeight="1">
      <c r="A403" s="2686">
        <v>401</v>
      </c>
      <c r="B403" s="2686" t="s">
        <v>1016</v>
      </c>
      <c r="C403" s="2689">
        <v>373</v>
      </c>
      <c r="D403" s="2686" t="str">
        <f t="shared" si="6"/>
        <v>2#地库373</v>
      </c>
      <c r="E403" s="2686" t="s">
        <v>1017</v>
      </c>
      <c r="F403" s="2686" t="s">
        <v>803</v>
      </c>
      <c r="G403" s="2686" t="s">
        <v>803</v>
      </c>
      <c r="H403" s="2688">
        <v>28.31</v>
      </c>
      <c r="I403" s="2688">
        <v>12.46</v>
      </c>
      <c r="K403" s="2690" t="s">
        <v>805</v>
      </c>
      <c r="L403" s="3484" t="s">
        <v>1018</v>
      </c>
    </row>
    <row r="404" spans="1:12" ht="24.95" customHeight="1">
      <c r="A404" s="2686">
        <v>402</v>
      </c>
      <c r="B404" s="2686" t="s">
        <v>1016</v>
      </c>
      <c r="C404" s="2689">
        <v>374</v>
      </c>
      <c r="D404" s="2686" t="str">
        <f t="shared" si="6"/>
        <v>2#地库374</v>
      </c>
      <c r="E404" s="2686" t="s">
        <v>1017</v>
      </c>
      <c r="F404" s="2686" t="s">
        <v>803</v>
      </c>
      <c r="G404" s="2686" t="s">
        <v>803</v>
      </c>
      <c r="H404" s="2688">
        <v>29.26</v>
      </c>
      <c r="I404" s="2688">
        <v>12.88</v>
      </c>
      <c r="K404" s="2690" t="s">
        <v>805</v>
      </c>
      <c r="L404" s="3484" t="s">
        <v>1018</v>
      </c>
    </row>
    <row r="405" spans="1:12" ht="24.95" customHeight="1">
      <c r="A405" s="2686">
        <v>403</v>
      </c>
      <c r="B405" s="2686" t="s">
        <v>1016</v>
      </c>
      <c r="C405" s="2689">
        <v>375</v>
      </c>
      <c r="D405" s="2686" t="str">
        <f t="shared" si="6"/>
        <v>2#地库375</v>
      </c>
      <c r="E405" s="2686" t="s">
        <v>1017</v>
      </c>
      <c r="F405" s="2686" t="s">
        <v>803</v>
      </c>
      <c r="G405" s="2686" t="s">
        <v>803</v>
      </c>
      <c r="H405" s="2688">
        <v>29.26</v>
      </c>
      <c r="I405" s="2688">
        <v>12.88</v>
      </c>
      <c r="K405" s="2690" t="s">
        <v>805</v>
      </c>
      <c r="L405" s="3484" t="s">
        <v>1018</v>
      </c>
    </row>
    <row r="406" spans="1:12" ht="24.95" customHeight="1">
      <c r="A406" s="2686">
        <v>404</v>
      </c>
      <c r="B406" s="2686" t="s">
        <v>1016</v>
      </c>
      <c r="C406" s="2689">
        <v>376</v>
      </c>
      <c r="D406" s="2686" t="str">
        <f t="shared" si="6"/>
        <v>2#地库376</v>
      </c>
      <c r="E406" s="2686" t="s">
        <v>1017</v>
      </c>
      <c r="F406" s="2686" t="s">
        <v>803</v>
      </c>
      <c r="G406" s="2686" t="s">
        <v>803</v>
      </c>
      <c r="H406" s="2688">
        <v>28.31</v>
      </c>
      <c r="I406" s="2688">
        <v>12.46</v>
      </c>
      <c r="K406" s="2690" t="s">
        <v>805</v>
      </c>
      <c r="L406" s="3484" t="s">
        <v>1018</v>
      </c>
    </row>
    <row r="407" spans="1:12" ht="24.95" customHeight="1">
      <c r="A407" s="2686">
        <v>405</v>
      </c>
      <c r="B407" s="2686" t="s">
        <v>1016</v>
      </c>
      <c r="C407" s="2689">
        <v>377</v>
      </c>
      <c r="D407" s="2686" t="str">
        <f t="shared" si="6"/>
        <v>2#地库377</v>
      </c>
      <c r="E407" s="2686" t="s">
        <v>1017</v>
      </c>
      <c r="F407" s="2686" t="s">
        <v>803</v>
      </c>
      <c r="G407" s="2686" t="s">
        <v>803</v>
      </c>
      <c r="H407" s="2688">
        <v>29.26</v>
      </c>
      <c r="I407" s="2688">
        <v>12.88</v>
      </c>
      <c r="K407" s="2690" t="s">
        <v>805</v>
      </c>
      <c r="L407" s="3484" t="s">
        <v>1018</v>
      </c>
    </row>
    <row r="408" spans="1:12" ht="24.95" customHeight="1">
      <c r="A408" s="2686">
        <v>406</v>
      </c>
      <c r="B408" s="2686" t="s">
        <v>1016</v>
      </c>
      <c r="C408" s="2689">
        <v>378</v>
      </c>
      <c r="D408" s="2686" t="str">
        <f t="shared" si="6"/>
        <v>2#地库378</v>
      </c>
      <c r="E408" s="2686" t="s">
        <v>1017</v>
      </c>
      <c r="F408" s="2686" t="s">
        <v>803</v>
      </c>
      <c r="G408" s="2686" t="s">
        <v>803</v>
      </c>
      <c r="H408" s="2688">
        <v>29.65</v>
      </c>
      <c r="I408" s="2688">
        <v>13.05</v>
      </c>
      <c r="K408" s="2690" t="s">
        <v>805</v>
      </c>
      <c r="L408" s="3484" t="s">
        <v>1018</v>
      </c>
    </row>
    <row r="409" spans="1:12" ht="24.95" customHeight="1">
      <c r="A409" s="2686">
        <v>407</v>
      </c>
      <c r="B409" s="2686" t="s">
        <v>1016</v>
      </c>
      <c r="C409" s="2689">
        <v>379</v>
      </c>
      <c r="D409" s="2686" t="str">
        <f t="shared" si="6"/>
        <v>2#地库379</v>
      </c>
      <c r="E409" s="2686" t="s">
        <v>1017</v>
      </c>
      <c r="F409" s="2686" t="s">
        <v>803</v>
      </c>
      <c r="G409" s="2686" t="s">
        <v>803</v>
      </c>
      <c r="H409" s="2688">
        <v>29.65</v>
      </c>
      <c r="I409" s="2688">
        <v>13.05</v>
      </c>
      <c r="K409" s="2690" t="s">
        <v>805</v>
      </c>
      <c r="L409" s="3484" t="s">
        <v>1018</v>
      </c>
    </row>
    <row r="410" spans="1:12" ht="24.95" customHeight="1">
      <c r="A410" s="2686">
        <v>408</v>
      </c>
      <c r="B410" s="2686" t="s">
        <v>1016</v>
      </c>
      <c r="C410" s="2689">
        <v>383</v>
      </c>
      <c r="D410" s="2686" t="str">
        <f t="shared" si="6"/>
        <v>2#地库383</v>
      </c>
      <c r="E410" s="2686" t="s">
        <v>1017</v>
      </c>
      <c r="F410" s="2686" t="s">
        <v>803</v>
      </c>
      <c r="G410" s="2686" t="s">
        <v>803</v>
      </c>
      <c r="H410" s="2688">
        <v>27.2</v>
      </c>
      <c r="I410" s="2688">
        <v>11.97</v>
      </c>
      <c r="K410" s="2690" t="s">
        <v>805</v>
      </c>
      <c r="L410" s="3484" t="s">
        <v>1018</v>
      </c>
    </row>
    <row r="411" spans="1:12" ht="24.95" customHeight="1">
      <c r="A411" s="2686">
        <v>409</v>
      </c>
      <c r="B411" s="2686" t="s">
        <v>1016</v>
      </c>
      <c r="C411" s="2689">
        <v>384</v>
      </c>
      <c r="D411" s="2686" t="str">
        <f t="shared" si="6"/>
        <v>2#地库384</v>
      </c>
      <c r="E411" s="2686" t="s">
        <v>1017</v>
      </c>
      <c r="F411" s="2686" t="s">
        <v>803</v>
      </c>
      <c r="G411" s="2686" t="s">
        <v>803</v>
      </c>
      <c r="H411" s="2688">
        <v>27.2</v>
      </c>
      <c r="I411" s="2688">
        <v>11.97</v>
      </c>
      <c r="K411" s="2690" t="s">
        <v>805</v>
      </c>
      <c r="L411" s="3484" t="s">
        <v>1018</v>
      </c>
    </row>
    <row r="412" spans="1:12" ht="24.95" customHeight="1">
      <c r="A412" s="2686">
        <v>410</v>
      </c>
      <c r="B412" s="2686" t="s">
        <v>1016</v>
      </c>
      <c r="C412" s="2689">
        <v>385</v>
      </c>
      <c r="D412" s="2686" t="str">
        <f t="shared" si="6"/>
        <v>2#地库385</v>
      </c>
      <c r="E412" s="2686" t="s">
        <v>1017</v>
      </c>
      <c r="F412" s="2686" t="s">
        <v>803</v>
      </c>
      <c r="G412" s="2686" t="s">
        <v>803</v>
      </c>
      <c r="H412" s="2688">
        <v>29.26</v>
      </c>
      <c r="I412" s="2688">
        <v>12.88</v>
      </c>
      <c r="K412" s="2690" t="s">
        <v>805</v>
      </c>
      <c r="L412" s="3484" t="s">
        <v>1018</v>
      </c>
    </row>
    <row r="413" spans="1:12" ht="24.95" customHeight="1">
      <c r="A413" s="2686">
        <v>411</v>
      </c>
      <c r="B413" s="2686" t="s">
        <v>1016</v>
      </c>
      <c r="C413" s="2689">
        <v>386</v>
      </c>
      <c r="D413" s="2686" t="str">
        <f t="shared" si="6"/>
        <v>2#地库386</v>
      </c>
      <c r="E413" s="2686" t="s">
        <v>1017</v>
      </c>
      <c r="F413" s="2686" t="s">
        <v>803</v>
      </c>
      <c r="G413" s="2686" t="s">
        <v>803</v>
      </c>
      <c r="H413" s="2688">
        <v>28.31</v>
      </c>
      <c r="I413" s="2688">
        <v>12.46</v>
      </c>
      <c r="K413" s="2690" t="s">
        <v>805</v>
      </c>
      <c r="L413" s="3484" t="s">
        <v>1018</v>
      </c>
    </row>
    <row r="414" spans="1:12" ht="24.95" customHeight="1">
      <c r="A414" s="2686">
        <v>412</v>
      </c>
      <c r="B414" s="2686" t="s">
        <v>1016</v>
      </c>
      <c r="C414" s="2689">
        <v>387</v>
      </c>
      <c r="D414" s="2686" t="str">
        <f t="shared" si="6"/>
        <v>2#地库387</v>
      </c>
      <c r="E414" s="2686" t="s">
        <v>1017</v>
      </c>
      <c r="F414" s="2686" t="s">
        <v>803</v>
      </c>
      <c r="G414" s="2686" t="s">
        <v>803</v>
      </c>
      <c r="H414" s="2688">
        <v>29.26</v>
      </c>
      <c r="I414" s="2688">
        <v>12.88</v>
      </c>
      <c r="K414" s="2690" t="s">
        <v>805</v>
      </c>
      <c r="L414" s="3484" t="s">
        <v>1018</v>
      </c>
    </row>
    <row r="415" spans="1:12" ht="24.95" customHeight="1">
      <c r="A415" s="2686">
        <v>413</v>
      </c>
      <c r="B415" s="2686" t="s">
        <v>1016</v>
      </c>
      <c r="C415" s="2689">
        <v>391</v>
      </c>
      <c r="D415" s="2686" t="str">
        <f t="shared" si="6"/>
        <v>2#地库391</v>
      </c>
      <c r="E415" s="2686" t="s">
        <v>1017</v>
      </c>
      <c r="F415" s="2686" t="s">
        <v>803</v>
      </c>
      <c r="G415" s="2686" t="s">
        <v>803</v>
      </c>
      <c r="H415" s="2688">
        <v>29.26</v>
      </c>
      <c r="I415" s="2688">
        <v>12.88</v>
      </c>
      <c r="K415" s="2690" t="s">
        <v>805</v>
      </c>
      <c r="L415" s="3484" t="s">
        <v>1018</v>
      </c>
    </row>
    <row r="416" spans="1:12" ht="24.95" customHeight="1">
      <c r="A416" s="2686">
        <v>414</v>
      </c>
      <c r="B416" s="2686" t="s">
        <v>1016</v>
      </c>
      <c r="C416" s="2689">
        <v>392</v>
      </c>
      <c r="D416" s="2686" t="str">
        <f t="shared" si="6"/>
        <v>2#地库392</v>
      </c>
      <c r="E416" s="2686" t="s">
        <v>1017</v>
      </c>
      <c r="F416" s="2686" t="s">
        <v>803</v>
      </c>
      <c r="G416" s="2686" t="s">
        <v>803</v>
      </c>
      <c r="H416" s="2688">
        <v>28.31</v>
      </c>
      <c r="I416" s="2688">
        <v>12.46</v>
      </c>
      <c r="K416" s="2690" t="s">
        <v>805</v>
      </c>
      <c r="L416" s="3484" t="s">
        <v>1018</v>
      </c>
    </row>
    <row r="417" spans="1:12" ht="24.95" customHeight="1">
      <c r="A417" s="2686">
        <v>415</v>
      </c>
      <c r="B417" s="2686" t="s">
        <v>1016</v>
      </c>
      <c r="C417" s="2689">
        <v>393</v>
      </c>
      <c r="D417" s="2686" t="str">
        <f t="shared" si="6"/>
        <v>2#地库393</v>
      </c>
      <c r="E417" s="2686" t="s">
        <v>1017</v>
      </c>
      <c r="F417" s="2686" t="s">
        <v>803</v>
      </c>
      <c r="G417" s="2686" t="s">
        <v>803</v>
      </c>
      <c r="H417" s="2688">
        <v>29.26</v>
      </c>
      <c r="I417" s="2688">
        <v>12.88</v>
      </c>
      <c r="K417" s="2690" t="s">
        <v>805</v>
      </c>
      <c r="L417" s="3484" t="s">
        <v>1018</v>
      </c>
    </row>
    <row r="418" spans="1:12" ht="24.95" customHeight="1">
      <c r="A418" s="2686">
        <v>416</v>
      </c>
      <c r="B418" s="2686" t="s">
        <v>1016</v>
      </c>
      <c r="C418" s="2689">
        <v>394</v>
      </c>
      <c r="D418" s="2686" t="str">
        <f t="shared" si="6"/>
        <v>2#地库394</v>
      </c>
      <c r="E418" s="2686" t="s">
        <v>1017</v>
      </c>
      <c r="F418" s="2686" t="s">
        <v>803</v>
      </c>
      <c r="G418" s="2686" t="s">
        <v>803</v>
      </c>
      <c r="H418" s="2688">
        <v>28.99</v>
      </c>
      <c r="I418" s="2688">
        <v>12.76</v>
      </c>
      <c r="K418" s="2690" t="s">
        <v>805</v>
      </c>
      <c r="L418" s="3484" t="s">
        <v>1018</v>
      </c>
    </row>
    <row r="419" spans="1:12" ht="24.95" customHeight="1">
      <c r="A419" s="2686">
        <v>417</v>
      </c>
      <c r="B419" s="2686" t="s">
        <v>1016</v>
      </c>
      <c r="C419" s="2689">
        <v>395</v>
      </c>
      <c r="D419" s="2686" t="str">
        <f t="shared" si="6"/>
        <v>2#地库395</v>
      </c>
      <c r="E419" s="2686" t="s">
        <v>1017</v>
      </c>
      <c r="F419" s="2686" t="s">
        <v>803</v>
      </c>
      <c r="G419" s="2686" t="s">
        <v>803</v>
      </c>
      <c r="H419" s="2688">
        <v>28.04</v>
      </c>
      <c r="I419" s="2688">
        <v>12.34</v>
      </c>
      <c r="K419" s="2690" t="s">
        <v>805</v>
      </c>
      <c r="L419" s="3484" t="s">
        <v>1018</v>
      </c>
    </row>
    <row r="420" spans="1:12" ht="24.95" customHeight="1">
      <c r="A420" s="2686">
        <v>418</v>
      </c>
      <c r="B420" s="2686" t="s">
        <v>1016</v>
      </c>
      <c r="C420" s="2689">
        <v>396</v>
      </c>
      <c r="D420" s="2686" t="str">
        <f t="shared" si="6"/>
        <v>2#地库396</v>
      </c>
      <c r="E420" s="2686" t="s">
        <v>1017</v>
      </c>
      <c r="F420" s="2686" t="s">
        <v>803</v>
      </c>
      <c r="G420" s="2686" t="s">
        <v>803</v>
      </c>
      <c r="H420" s="2688">
        <v>28.99</v>
      </c>
      <c r="I420" s="2688">
        <v>12.76</v>
      </c>
      <c r="K420" s="2690" t="s">
        <v>805</v>
      </c>
      <c r="L420" s="3484" t="s">
        <v>1018</v>
      </c>
    </row>
    <row r="421" spans="1:12" ht="24.95" customHeight="1">
      <c r="A421" s="2686">
        <v>419</v>
      </c>
      <c r="B421" s="2686" t="s">
        <v>1016</v>
      </c>
      <c r="C421" s="2689">
        <v>397</v>
      </c>
      <c r="D421" s="2686" t="str">
        <f t="shared" si="6"/>
        <v>2#地库397</v>
      </c>
      <c r="E421" s="2686" t="s">
        <v>1017</v>
      </c>
      <c r="F421" s="2686" t="s">
        <v>803</v>
      </c>
      <c r="G421" s="2686" t="s">
        <v>803</v>
      </c>
      <c r="H421" s="2688">
        <v>28.99</v>
      </c>
      <c r="I421" s="2688">
        <v>12.76</v>
      </c>
      <c r="K421" s="2690" t="s">
        <v>805</v>
      </c>
      <c r="L421" s="3484" t="s">
        <v>1018</v>
      </c>
    </row>
    <row r="422" spans="1:12" ht="24.95" customHeight="1">
      <c r="A422" s="2686">
        <v>420</v>
      </c>
      <c r="B422" s="2686" t="s">
        <v>1016</v>
      </c>
      <c r="C422" s="2689">
        <v>398</v>
      </c>
      <c r="D422" s="2686" t="str">
        <f t="shared" si="6"/>
        <v>2#地库398</v>
      </c>
      <c r="E422" s="2686" t="s">
        <v>1017</v>
      </c>
      <c r="F422" s="2686" t="s">
        <v>803</v>
      </c>
      <c r="G422" s="2686" t="s">
        <v>803</v>
      </c>
      <c r="H422" s="2688">
        <v>28.04</v>
      </c>
      <c r="I422" s="2688">
        <v>12.34</v>
      </c>
      <c r="K422" s="2690" t="s">
        <v>805</v>
      </c>
      <c r="L422" s="3484" t="s">
        <v>1018</v>
      </c>
    </row>
    <row r="423" spans="1:12" ht="24.95" customHeight="1">
      <c r="A423" s="2686">
        <v>421</v>
      </c>
      <c r="B423" s="2686" t="s">
        <v>1016</v>
      </c>
      <c r="C423" s="2689">
        <v>399</v>
      </c>
      <c r="D423" s="2686" t="str">
        <f t="shared" si="6"/>
        <v>2#地库399</v>
      </c>
      <c r="E423" s="2686" t="s">
        <v>1017</v>
      </c>
      <c r="F423" s="2686" t="s">
        <v>803</v>
      </c>
      <c r="G423" s="2686" t="s">
        <v>803</v>
      </c>
      <c r="H423" s="2688">
        <v>28.99</v>
      </c>
      <c r="I423" s="2688">
        <v>12.76</v>
      </c>
      <c r="K423" s="2690" t="s">
        <v>805</v>
      </c>
      <c r="L423" s="3484" t="s">
        <v>1018</v>
      </c>
    </row>
    <row r="424" spans="1:12" ht="24.95" customHeight="1">
      <c r="A424" s="2686">
        <v>422</v>
      </c>
      <c r="B424" s="2686" t="s">
        <v>1016</v>
      </c>
      <c r="C424" s="2689">
        <v>400</v>
      </c>
      <c r="D424" s="2686" t="str">
        <f t="shared" si="6"/>
        <v>2#地库400</v>
      </c>
      <c r="E424" s="2686" t="s">
        <v>1017</v>
      </c>
      <c r="F424" s="2686" t="s">
        <v>803</v>
      </c>
      <c r="G424" s="2686" t="s">
        <v>803</v>
      </c>
      <c r="H424" s="2688">
        <v>28.99</v>
      </c>
      <c r="I424" s="2688">
        <v>12.76</v>
      </c>
      <c r="K424" s="2690" t="s">
        <v>805</v>
      </c>
      <c r="L424" s="3484" t="s">
        <v>1018</v>
      </c>
    </row>
    <row r="425" spans="1:12" ht="24.95" customHeight="1">
      <c r="A425" s="2686">
        <v>423</v>
      </c>
      <c r="B425" s="2686" t="s">
        <v>1016</v>
      </c>
      <c r="C425" s="2689">
        <v>401</v>
      </c>
      <c r="D425" s="2686" t="str">
        <f t="shared" si="6"/>
        <v>2#地库401</v>
      </c>
      <c r="E425" s="2686" t="s">
        <v>1017</v>
      </c>
      <c r="F425" s="2686" t="s">
        <v>803</v>
      </c>
      <c r="G425" s="2686" t="s">
        <v>803</v>
      </c>
      <c r="H425" s="2688">
        <v>28.04</v>
      </c>
      <c r="I425" s="2688">
        <v>12.34</v>
      </c>
      <c r="K425" s="2690" t="s">
        <v>805</v>
      </c>
      <c r="L425" s="3484" t="s">
        <v>1018</v>
      </c>
    </row>
    <row r="426" spans="1:12" ht="24.95" customHeight="1">
      <c r="A426" s="2686">
        <v>424</v>
      </c>
      <c r="B426" s="2686" t="s">
        <v>1016</v>
      </c>
      <c r="C426" s="2689">
        <v>402</v>
      </c>
      <c r="D426" s="2686" t="str">
        <f t="shared" si="6"/>
        <v>2#地库402</v>
      </c>
      <c r="E426" s="2686" t="s">
        <v>1017</v>
      </c>
      <c r="F426" s="2686" t="s">
        <v>803</v>
      </c>
      <c r="G426" s="2686" t="s">
        <v>803</v>
      </c>
      <c r="H426" s="2688">
        <v>28.99</v>
      </c>
      <c r="I426" s="2688">
        <v>12.76</v>
      </c>
      <c r="K426" s="2690" t="s">
        <v>805</v>
      </c>
      <c r="L426" s="3484" t="s">
        <v>1018</v>
      </c>
    </row>
    <row r="427" spans="1:12" ht="24.95" customHeight="1">
      <c r="A427" s="2686">
        <v>425</v>
      </c>
      <c r="B427" s="2686" t="s">
        <v>1016</v>
      </c>
      <c r="C427" s="2689">
        <v>403</v>
      </c>
      <c r="D427" s="2686" t="str">
        <f t="shared" si="6"/>
        <v>2#地库403</v>
      </c>
      <c r="E427" s="2686" t="s">
        <v>1017</v>
      </c>
      <c r="F427" s="2686" t="s">
        <v>803</v>
      </c>
      <c r="G427" s="2686" t="s">
        <v>803</v>
      </c>
      <c r="H427" s="2688">
        <v>28.99</v>
      </c>
      <c r="I427" s="2688">
        <v>12.76</v>
      </c>
      <c r="K427" s="2690" t="s">
        <v>805</v>
      </c>
      <c r="L427" s="3484" t="s">
        <v>1018</v>
      </c>
    </row>
    <row r="428" spans="1:12" ht="24.95" customHeight="1">
      <c r="A428" s="2686">
        <v>426</v>
      </c>
      <c r="B428" s="2686" t="s">
        <v>1016</v>
      </c>
      <c r="C428" s="2689">
        <v>404</v>
      </c>
      <c r="D428" s="2686" t="str">
        <f t="shared" si="6"/>
        <v>2#地库404</v>
      </c>
      <c r="E428" s="2686" t="s">
        <v>1017</v>
      </c>
      <c r="F428" s="2686" t="s">
        <v>803</v>
      </c>
      <c r="G428" s="2686" t="s">
        <v>803</v>
      </c>
      <c r="H428" s="2688">
        <v>28.04</v>
      </c>
      <c r="I428" s="2688">
        <v>12.34</v>
      </c>
      <c r="K428" s="2690" t="s">
        <v>805</v>
      </c>
      <c r="L428" s="3484" t="s">
        <v>1018</v>
      </c>
    </row>
    <row r="429" spans="1:12" ht="24.95" customHeight="1">
      <c r="A429" s="2686">
        <v>427</v>
      </c>
      <c r="B429" s="2686" t="s">
        <v>1016</v>
      </c>
      <c r="C429" s="2689">
        <v>405</v>
      </c>
      <c r="D429" s="2686" t="str">
        <f t="shared" si="6"/>
        <v>2#地库405</v>
      </c>
      <c r="E429" s="2686" t="s">
        <v>1017</v>
      </c>
      <c r="F429" s="2686" t="s">
        <v>803</v>
      </c>
      <c r="G429" s="2686" t="s">
        <v>803</v>
      </c>
      <c r="H429" s="2688">
        <v>28.99</v>
      </c>
      <c r="I429" s="2688">
        <v>12.76</v>
      </c>
      <c r="K429" s="2690" t="s">
        <v>805</v>
      </c>
      <c r="L429" s="3484" t="s">
        <v>1018</v>
      </c>
    </row>
    <row r="430" spans="1:12" ht="24.95" customHeight="1">
      <c r="A430" s="2686">
        <v>428</v>
      </c>
      <c r="B430" s="2686" t="s">
        <v>1016</v>
      </c>
      <c r="C430" s="2689">
        <v>406</v>
      </c>
      <c r="D430" s="2686" t="str">
        <f t="shared" si="6"/>
        <v>2#地库406</v>
      </c>
      <c r="E430" s="2686" t="s">
        <v>1017</v>
      </c>
      <c r="F430" s="2686" t="s">
        <v>803</v>
      </c>
      <c r="G430" s="2686" t="s">
        <v>803</v>
      </c>
      <c r="H430" s="2688">
        <v>28.99</v>
      </c>
      <c r="I430" s="2688">
        <v>12.76</v>
      </c>
      <c r="K430" s="2690" t="s">
        <v>805</v>
      </c>
      <c r="L430" s="3484" t="s">
        <v>1018</v>
      </c>
    </row>
    <row r="431" spans="1:12" ht="24.95" customHeight="1">
      <c r="A431" s="2686">
        <v>429</v>
      </c>
      <c r="B431" s="2686" t="s">
        <v>1016</v>
      </c>
      <c r="C431" s="2689">
        <v>407</v>
      </c>
      <c r="D431" s="2686" t="str">
        <f t="shared" si="6"/>
        <v>2#地库407</v>
      </c>
      <c r="E431" s="2686" t="s">
        <v>1017</v>
      </c>
      <c r="F431" s="2686" t="s">
        <v>803</v>
      </c>
      <c r="G431" s="2686" t="s">
        <v>803</v>
      </c>
      <c r="H431" s="2688">
        <v>28.04</v>
      </c>
      <c r="I431" s="2688">
        <v>12.34</v>
      </c>
      <c r="K431" s="2690" t="s">
        <v>805</v>
      </c>
      <c r="L431" s="3484" t="s">
        <v>1018</v>
      </c>
    </row>
    <row r="432" spans="1:12" ht="24.95" customHeight="1">
      <c r="A432" s="2686">
        <v>430</v>
      </c>
      <c r="B432" s="2686" t="s">
        <v>1016</v>
      </c>
      <c r="C432" s="2689">
        <v>408</v>
      </c>
      <c r="D432" s="2686" t="str">
        <f t="shared" si="6"/>
        <v>2#地库408</v>
      </c>
      <c r="E432" s="2686" t="s">
        <v>1017</v>
      </c>
      <c r="F432" s="2686" t="s">
        <v>803</v>
      </c>
      <c r="G432" s="2686" t="s">
        <v>803</v>
      </c>
      <c r="H432" s="2688">
        <v>28.99</v>
      </c>
      <c r="I432" s="2688">
        <v>12.76</v>
      </c>
      <c r="K432" s="2690" t="s">
        <v>805</v>
      </c>
      <c r="L432" s="3484" t="s">
        <v>1018</v>
      </c>
    </row>
    <row r="433" spans="1:12" ht="24.95" customHeight="1">
      <c r="A433" s="2686">
        <v>431</v>
      </c>
      <c r="B433" s="2686" t="s">
        <v>1016</v>
      </c>
      <c r="C433" s="2689">
        <v>409</v>
      </c>
      <c r="D433" s="2686" t="str">
        <f t="shared" si="6"/>
        <v>2#地库409</v>
      </c>
      <c r="E433" s="2686" t="s">
        <v>1017</v>
      </c>
      <c r="F433" s="2686" t="s">
        <v>803</v>
      </c>
      <c r="G433" s="2686" t="s">
        <v>803</v>
      </c>
      <c r="H433" s="2688">
        <v>28.99</v>
      </c>
      <c r="I433" s="2688">
        <v>12.76</v>
      </c>
      <c r="K433" s="2690" t="s">
        <v>805</v>
      </c>
      <c r="L433" s="3484" t="s">
        <v>1018</v>
      </c>
    </row>
    <row r="434" spans="1:12" ht="24.95" customHeight="1">
      <c r="A434" s="2686">
        <v>432</v>
      </c>
      <c r="B434" s="2686" t="s">
        <v>1016</v>
      </c>
      <c r="C434" s="2689">
        <v>410</v>
      </c>
      <c r="D434" s="2686" t="str">
        <f t="shared" si="6"/>
        <v>2#地库410</v>
      </c>
      <c r="E434" s="2686" t="s">
        <v>1017</v>
      </c>
      <c r="F434" s="2686" t="s">
        <v>803</v>
      </c>
      <c r="G434" s="2686" t="s">
        <v>803</v>
      </c>
      <c r="H434" s="2688">
        <v>28.04</v>
      </c>
      <c r="I434" s="2688">
        <v>12.34</v>
      </c>
      <c r="K434" s="2690" t="s">
        <v>805</v>
      </c>
      <c r="L434" s="3484" t="s">
        <v>1018</v>
      </c>
    </row>
    <row r="435" spans="1:12" ht="24.95" customHeight="1">
      <c r="A435" s="2686">
        <v>433</v>
      </c>
      <c r="B435" s="2686" t="s">
        <v>1016</v>
      </c>
      <c r="C435" s="2689">
        <v>411</v>
      </c>
      <c r="D435" s="2686" t="str">
        <f t="shared" si="6"/>
        <v>2#地库411</v>
      </c>
      <c r="E435" s="2686" t="s">
        <v>1017</v>
      </c>
      <c r="F435" s="2686" t="s">
        <v>803</v>
      </c>
      <c r="G435" s="2686" t="s">
        <v>803</v>
      </c>
      <c r="H435" s="2688">
        <v>28.99</v>
      </c>
      <c r="I435" s="2688">
        <v>12.76</v>
      </c>
      <c r="K435" s="2690" t="s">
        <v>805</v>
      </c>
      <c r="L435" s="3484" t="s">
        <v>1018</v>
      </c>
    </row>
    <row r="436" spans="1:12" ht="24.95" customHeight="1">
      <c r="A436" s="2686">
        <v>434</v>
      </c>
      <c r="B436" s="2686" t="s">
        <v>1016</v>
      </c>
      <c r="C436" s="2689">
        <v>412</v>
      </c>
      <c r="D436" s="2686" t="str">
        <f t="shared" si="6"/>
        <v>2#地库412</v>
      </c>
      <c r="E436" s="2686" t="s">
        <v>1017</v>
      </c>
      <c r="F436" s="2686" t="s">
        <v>803</v>
      </c>
      <c r="G436" s="2686" t="s">
        <v>803</v>
      </c>
      <c r="H436" s="2688">
        <v>28.72</v>
      </c>
      <c r="I436" s="2688">
        <v>12.64</v>
      </c>
      <c r="K436" s="2690" t="s">
        <v>805</v>
      </c>
      <c r="L436" s="3484" t="s">
        <v>1018</v>
      </c>
    </row>
    <row r="437" spans="1:12" ht="24.95" customHeight="1">
      <c r="A437" s="2686">
        <v>435</v>
      </c>
      <c r="B437" s="2686" t="s">
        <v>1016</v>
      </c>
      <c r="C437" s="2689">
        <v>413</v>
      </c>
      <c r="D437" s="2686" t="str">
        <f t="shared" si="6"/>
        <v>2#地库413</v>
      </c>
      <c r="E437" s="2686" t="s">
        <v>1017</v>
      </c>
      <c r="F437" s="2686" t="s">
        <v>803</v>
      </c>
      <c r="G437" s="2686" t="s">
        <v>803</v>
      </c>
      <c r="H437" s="2688">
        <v>27.76</v>
      </c>
      <c r="I437" s="2688">
        <v>12.22</v>
      </c>
      <c r="K437" s="2690" t="s">
        <v>805</v>
      </c>
      <c r="L437" s="3484" t="s">
        <v>1018</v>
      </c>
    </row>
    <row r="438" spans="1:12" ht="24.95" customHeight="1">
      <c r="A438" s="2686">
        <v>436</v>
      </c>
      <c r="B438" s="2686" t="s">
        <v>1016</v>
      </c>
      <c r="C438" s="2689">
        <v>414</v>
      </c>
      <c r="D438" s="2686" t="str">
        <f t="shared" si="6"/>
        <v>2#地库414</v>
      </c>
      <c r="E438" s="2686" t="s">
        <v>1017</v>
      </c>
      <c r="F438" s="2686" t="s">
        <v>803</v>
      </c>
      <c r="G438" s="2686" t="s">
        <v>803</v>
      </c>
      <c r="H438" s="2688">
        <v>28.72</v>
      </c>
      <c r="I438" s="2688">
        <v>12.64</v>
      </c>
      <c r="K438" s="2690" t="s">
        <v>805</v>
      </c>
      <c r="L438" s="3484" t="s">
        <v>1018</v>
      </c>
    </row>
    <row r="439" spans="1:12" ht="24.95" customHeight="1">
      <c r="A439" s="2686">
        <v>437</v>
      </c>
      <c r="B439" s="2686" t="s">
        <v>1016</v>
      </c>
      <c r="C439" s="2689">
        <v>415</v>
      </c>
      <c r="D439" s="2686" t="str">
        <f t="shared" si="6"/>
        <v>2#地库415</v>
      </c>
      <c r="E439" s="2686" t="s">
        <v>1017</v>
      </c>
      <c r="F439" s="2686" t="s">
        <v>803</v>
      </c>
      <c r="G439" s="2686" t="s">
        <v>803</v>
      </c>
      <c r="H439" s="2688">
        <v>28.72</v>
      </c>
      <c r="I439" s="2688">
        <v>12.64</v>
      </c>
      <c r="K439" s="2690" t="s">
        <v>805</v>
      </c>
      <c r="L439" s="3484" t="s">
        <v>1018</v>
      </c>
    </row>
    <row r="440" spans="1:12" ht="24.95" customHeight="1">
      <c r="A440" s="2686">
        <v>438</v>
      </c>
      <c r="B440" s="2686" t="s">
        <v>1016</v>
      </c>
      <c r="C440" s="2689">
        <v>416</v>
      </c>
      <c r="D440" s="2686" t="str">
        <f t="shared" si="6"/>
        <v>2#地库416</v>
      </c>
      <c r="E440" s="2686" t="s">
        <v>1017</v>
      </c>
      <c r="F440" s="2686" t="s">
        <v>803</v>
      </c>
      <c r="G440" s="2686" t="s">
        <v>803</v>
      </c>
      <c r="H440" s="2688">
        <v>27.76</v>
      </c>
      <c r="I440" s="2688">
        <v>12.22</v>
      </c>
      <c r="K440" s="2690" t="s">
        <v>805</v>
      </c>
      <c r="L440" s="3484" t="s">
        <v>1018</v>
      </c>
    </row>
    <row r="441" spans="1:12" ht="24.95" customHeight="1">
      <c r="A441" s="2686">
        <v>439</v>
      </c>
      <c r="B441" s="2686" t="s">
        <v>1016</v>
      </c>
      <c r="C441" s="2689">
        <v>417</v>
      </c>
      <c r="D441" s="2686" t="str">
        <f t="shared" si="6"/>
        <v>2#地库417</v>
      </c>
      <c r="E441" s="2686" t="s">
        <v>1017</v>
      </c>
      <c r="F441" s="2686" t="s">
        <v>803</v>
      </c>
      <c r="G441" s="2686" t="s">
        <v>803</v>
      </c>
      <c r="H441" s="2688">
        <v>28.72</v>
      </c>
      <c r="I441" s="2688">
        <v>12.64</v>
      </c>
      <c r="K441" s="2690" t="s">
        <v>805</v>
      </c>
      <c r="L441" s="3484" t="s">
        <v>1018</v>
      </c>
    </row>
    <row r="442" spans="1:12" ht="24.95" customHeight="1">
      <c r="A442" s="2686">
        <v>440</v>
      </c>
      <c r="B442" s="2686" t="s">
        <v>1016</v>
      </c>
      <c r="C442" s="2689">
        <v>418</v>
      </c>
      <c r="D442" s="2686" t="str">
        <f t="shared" si="6"/>
        <v>2#地库418</v>
      </c>
      <c r="E442" s="2686" t="s">
        <v>1017</v>
      </c>
      <c r="F442" s="2686" t="s">
        <v>803</v>
      </c>
      <c r="G442" s="2686" t="s">
        <v>803</v>
      </c>
      <c r="H442" s="2688">
        <v>28.72</v>
      </c>
      <c r="I442" s="2688">
        <v>12.64</v>
      </c>
      <c r="K442" s="2690" t="s">
        <v>805</v>
      </c>
      <c r="L442" s="3484" t="s">
        <v>1018</v>
      </c>
    </row>
    <row r="443" spans="1:12" ht="24.95" customHeight="1">
      <c r="A443" s="2686">
        <v>441</v>
      </c>
      <c r="B443" s="2686" t="s">
        <v>1016</v>
      </c>
      <c r="C443" s="2689">
        <v>419</v>
      </c>
      <c r="D443" s="2686" t="str">
        <f t="shared" si="6"/>
        <v>2#地库419</v>
      </c>
      <c r="E443" s="2686" t="s">
        <v>1017</v>
      </c>
      <c r="F443" s="2686" t="s">
        <v>803</v>
      </c>
      <c r="G443" s="2686" t="s">
        <v>803</v>
      </c>
      <c r="H443" s="2688">
        <v>27.76</v>
      </c>
      <c r="I443" s="2688">
        <v>12.22</v>
      </c>
      <c r="K443" s="2690" t="s">
        <v>805</v>
      </c>
      <c r="L443" s="3484" t="s">
        <v>1018</v>
      </c>
    </row>
    <row r="444" spans="1:12" ht="24.95" customHeight="1">
      <c r="A444" s="2686">
        <v>442</v>
      </c>
      <c r="B444" s="2686" t="s">
        <v>1016</v>
      </c>
      <c r="C444" s="2689">
        <v>420</v>
      </c>
      <c r="D444" s="2686" t="str">
        <f t="shared" si="6"/>
        <v>2#地库420</v>
      </c>
      <c r="E444" s="2686" t="s">
        <v>1017</v>
      </c>
      <c r="F444" s="2686" t="s">
        <v>803</v>
      </c>
      <c r="G444" s="2686" t="s">
        <v>803</v>
      </c>
      <c r="H444" s="2688">
        <v>28.72</v>
      </c>
      <c r="I444" s="2688">
        <v>12.64</v>
      </c>
      <c r="K444" s="2690" t="s">
        <v>805</v>
      </c>
      <c r="L444" s="3484" t="s">
        <v>1018</v>
      </c>
    </row>
    <row r="445" spans="1:12" ht="24.95" customHeight="1">
      <c r="A445" s="2686">
        <v>443</v>
      </c>
      <c r="B445" s="2686" t="s">
        <v>1016</v>
      </c>
      <c r="C445" s="2689">
        <v>421</v>
      </c>
      <c r="D445" s="2686" t="str">
        <f t="shared" si="6"/>
        <v>2#地库421</v>
      </c>
      <c r="E445" s="2686" t="s">
        <v>1017</v>
      </c>
      <c r="F445" s="2686" t="s">
        <v>803</v>
      </c>
      <c r="G445" s="2686" t="s">
        <v>803</v>
      </c>
      <c r="H445" s="2688">
        <v>29.26</v>
      </c>
      <c r="I445" s="2688">
        <v>12.88</v>
      </c>
      <c r="K445" s="2690" t="s">
        <v>805</v>
      </c>
      <c r="L445" s="3484" t="s">
        <v>1018</v>
      </c>
    </row>
    <row r="446" spans="1:12" ht="24.95" customHeight="1">
      <c r="A446" s="2686">
        <v>444</v>
      </c>
      <c r="B446" s="2686" t="s">
        <v>1019</v>
      </c>
      <c r="C446" s="2689" t="s">
        <v>1020</v>
      </c>
      <c r="D446" s="2686" t="str">
        <f t="shared" si="6"/>
        <v>3#地库004</v>
      </c>
      <c r="E446" s="2686" t="s">
        <v>1021</v>
      </c>
      <c r="F446" s="2686" t="s">
        <v>803</v>
      </c>
      <c r="G446" s="2686" t="s">
        <v>803</v>
      </c>
      <c r="H446" s="2688">
        <v>37.17</v>
      </c>
      <c r="I446" s="2688">
        <v>11.85</v>
      </c>
      <c r="K446" s="2690" t="s">
        <v>805</v>
      </c>
      <c r="L446" s="3484" t="s">
        <v>806</v>
      </c>
    </row>
    <row r="447" spans="1:12" ht="24.95" customHeight="1">
      <c r="A447" s="2686">
        <v>445</v>
      </c>
      <c r="B447" s="2686" t="s">
        <v>1019</v>
      </c>
      <c r="C447" s="2689" t="s">
        <v>1022</v>
      </c>
      <c r="D447" s="2686" t="str">
        <f t="shared" si="6"/>
        <v>3#地库005</v>
      </c>
      <c r="E447" s="2686" t="s">
        <v>1021</v>
      </c>
      <c r="F447" s="2686" t="s">
        <v>803</v>
      </c>
      <c r="G447" s="2686" t="s">
        <v>803</v>
      </c>
      <c r="H447" s="2688">
        <v>37.950000000000003</v>
      </c>
      <c r="I447" s="2688">
        <v>12.1</v>
      </c>
      <c r="K447" s="2690" t="s">
        <v>805</v>
      </c>
      <c r="L447" s="3484" t="s">
        <v>806</v>
      </c>
    </row>
    <row r="448" spans="1:12" ht="24.95" customHeight="1">
      <c r="A448" s="2686">
        <v>446</v>
      </c>
      <c r="B448" s="2686" t="s">
        <v>1019</v>
      </c>
      <c r="C448" s="2689" t="s">
        <v>1023</v>
      </c>
      <c r="D448" s="2686" t="str">
        <f t="shared" si="6"/>
        <v>3#地库006</v>
      </c>
      <c r="E448" s="2686" t="s">
        <v>1021</v>
      </c>
      <c r="F448" s="2686" t="s">
        <v>803</v>
      </c>
      <c r="G448" s="2686" t="s">
        <v>803</v>
      </c>
      <c r="H448" s="2688">
        <v>36.35</v>
      </c>
      <c r="I448" s="2688">
        <v>11.59</v>
      </c>
      <c r="K448" s="2690" t="s">
        <v>805</v>
      </c>
      <c r="L448" s="3484" t="s">
        <v>806</v>
      </c>
    </row>
    <row r="449" spans="1:12" ht="24.95" customHeight="1">
      <c r="A449" s="2686">
        <v>447</v>
      </c>
      <c r="B449" s="2686" t="s">
        <v>1019</v>
      </c>
      <c r="C449" s="2689" t="s">
        <v>1024</v>
      </c>
      <c r="D449" s="2686" t="str">
        <f t="shared" si="6"/>
        <v>3#地库007</v>
      </c>
      <c r="E449" s="2686" t="s">
        <v>1021</v>
      </c>
      <c r="F449" s="2686" t="s">
        <v>803</v>
      </c>
      <c r="G449" s="2686" t="s">
        <v>803</v>
      </c>
      <c r="H449" s="2688">
        <v>38.770000000000003</v>
      </c>
      <c r="I449" s="2688">
        <v>12.36</v>
      </c>
      <c r="K449" s="2690" t="s">
        <v>805</v>
      </c>
      <c r="L449" s="3484" t="s">
        <v>806</v>
      </c>
    </row>
    <row r="450" spans="1:12" ht="24.95" customHeight="1">
      <c r="A450" s="2686">
        <v>448</v>
      </c>
      <c r="B450" s="2686" t="s">
        <v>1019</v>
      </c>
      <c r="C450" s="2689" t="s">
        <v>1025</v>
      </c>
      <c r="D450" s="2686" t="str">
        <f t="shared" si="6"/>
        <v>3#地库008</v>
      </c>
      <c r="E450" s="2686" t="s">
        <v>1021</v>
      </c>
      <c r="F450" s="2686" t="s">
        <v>803</v>
      </c>
      <c r="G450" s="2686" t="s">
        <v>803</v>
      </c>
      <c r="H450" s="2688">
        <v>38.770000000000003</v>
      </c>
      <c r="I450" s="2688">
        <v>12.36</v>
      </c>
      <c r="K450" s="2690" t="s">
        <v>805</v>
      </c>
      <c r="L450" s="3484" t="s">
        <v>806</v>
      </c>
    </row>
    <row r="451" spans="1:12" ht="24.95" customHeight="1">
      <c r="A451" s="2686">
        <v>449</v>
      </c>
      <c r="B451" s="2686" t="s">
        <v>1019</v>
      </c>
      <c r="C451" s="2689" t="s">
        <v>1026</v>
      </c>
      <c r="D451" s="2686" t="str">
        <f t="shared" si="6"/>
        <v>3#地库009</v>
      </c>
      <c r="E451" s="2686" t="s">
        <v>1021</v>
      </c>
      <c r="F451" s="2686" t="s">
        <v>803</v>
      </c>
      <c r="G451" s="2686" t="s">
        <v>803</v>
      </c>
      <c r="H451" s="2688">
        <v>37.17</v>
      </c>
      <c r="I451" s="2688">
        <v>11.85</v>
      </c>
      <c r="K451" s="2690" t="s">
        <v>805</v>
      </c>
      <c r="L451" s="3484" t="s">
        <v>806</v>
      </c>
    </row>
    <row r="452" spans="1:12" ht="24.95" customHeight="1">
      <c r="A452" s="2686">
        <v>450</v>
      </c>
      <c r="B452" s="2686" t="s">
        <v>1019</v>
      </c>
      <c r="C452" s="2689" t="s">
        <v>1027</v>
      </c>
      <c r="D452" s="2686" t="str">
        <f t="shared" si="6"/>
        <v>3#地库010</v>
      </c>
      <c r="E452" s="2686" t="s">
        <v>1021</v>
      </c>
      <c r="F452" s="2686" t="s">
        <v>803</v>
      </c>
      <c r="G452" s="2686" t="s">
        <v>803</v>
      </c>
      <c r="H452" s="2688">
        <v>37.950000000000003</v>
      </c>
      <c r="I452" s="2688">
        <v>12.1</v>
      </c>
      <c r="K452" s="2690" t="s">
        <v>805</v>
      </c>
      <c r="L452" s="3484" t="s">
        <v>806</v>
      </c>
    </row>
    <row r="453" spans="1:12" ht="24.95" customHeight="1">
      <c r="A453" s="2686">
        <v>451</v>
      </c>
      <c r="B453" s="2686" t="s">
        <v>1019</v>
      </c>
      <c r="C453" s="2689" t="s">
        <v>1028</v>
      </c>
      <c r="D453" s="2686" t="str">
        <f t="shared" si="6"/>
        <v>3#地库011</v>
      </c>
      <c r="E453" s="2686" t="s">
        <v>1021</v>
      </c>
      <c r="F453" s="2686" t="s">
        <v>803</v>
      </c>
      <c r="G453" s="2686" t="s">
        <v>803</v>
      </c>
      <c r="H453" s="2688">
        <v>38.770000000000003</v>
      </c>
      <c r="I453" s="2688">
        <v>12.36</v>
      </c>
      <c r="K453" s="2690" t="s">
        <v>805</v>
      </c>
      <c r="L453" s="3484" t="s">
        <v>806</v>
      </c>
    </row>
    <row r="454" spans="1:12" ht="24.95" customHeight="1">
      <c r="A454" s="2686">
        <v>452</v>
      </c>
      <c r="B454" s="2686" t="s">
        <v>1019</v>
      </c>
      <c r="C454" s="2689" t="s">
        <v>1029</v>
      </c>
      <c r="D454" s="2686" t="str">
        <f t="shared" si="6"/>
        <v>3#地库012</v>
      </c>
      <c r="E454" s="2686" t="s">
        <v>1021</v>
      </c>
      <c r="F454" s="2686" t="s">
        <v>803</v>
      </c>
      <c r="G454" s="2686" t="s">
        <v>803</v>
      </c>
      <c r="H454" s="2688">
        <v>37.950000000000003</v>
      </c>
      <c r="I454" s="2688">
        <v>12.1</v>
      </c>
      <c r="K454" s="2690" t="s">
        <v>805</v>
      </c>
      <c r="L454" s="3484" t="s">
        <v>806</v>
      </c>
    </row>
    <row r="455" spans="1:12" ht="24.95" customHeight="1">
      <c r="A455" s="2686">
        <v>453</v>
      </c>
      <c r="B455" s="2686" t="s">
        <v>1019</v>
      </c>
      <c r="C455" s="2689" t="s">
        <v>1030</v>
      </c>
      <c r="D455" s="2686" t="str">
        <f t="shared" si="6"/>
        <v>3#地库013</v>
      </c>
      <c r="E455" s="2686" t="s">
        <v>1021</v>
      </c>
      <c r="F455" s="2686" t="s">
        <v>803</v>
      </c>
      <c r="G455" s="2686" t="s">
        <v>803</v>
      </c>
      <c r="H455" s="2688">
        <v>37.950000000000003</v>
      </c>
      <c r="I455" s="2688">
        <v>12.1</v>
      </c>
      <c r="K455" s="2690" t="s">
        <v>805</v>
      </c>
      <c r="L455" s="3484" t="s">
        <v>806</v>
      </c>
    </row>
    <row r="456" spans="1:12" ht="24.95" customHeight="1">
      <c r="A456" s="2686">
        <v>454</v>
      </c>
      <c r="B456" s="2686" t="s">
        <v>1019</v>
      </c>
      <c r="C456" s="2689" t="s">
        <v>1031</v>
      </c>
      <c r="D456" s="2686" t="str">
        <f t="shared" ref="D456:D519" si="7">B456&amp;C456</f>
        <v>3#地库014</v>
      </c>
      <c r="E456" s="2686" t="s">
        <v>1021</v>
      </c>
      <c r="F456" s="2686" t="s">
        <v>803</v>
      </c>
      <c r="G456" s="2686" t="s">
        <v>803</v>
      </c>
      <c r="H456" s="2688">
        <v>37.61</v>
      </c>
      <c r="I456" s="2688">
        <v>11.99</v>
      </c>
      <c r="K456" s="2690" t="s">
        <v>805</v>
      </c>
      <c r="L456" s="3484" t="s">
        <v>806</v>
      </c>
    </row>
    <row r="457" spans="1:12" ht="24.95" customHeight="1">
      <c r="A457" s="2686">
        <v>455</v>
      </c>
      <c r="B457" s="2686" t="s">
        <v>1019</v>
      </c>
      <c r="C457" s="2689" t="s">
        <v>1032</v>
      </c>
      <c r="D457" s="2686" t="str">
        <f t="shared" si="7"/>
        <v>3#地库015</v>
      </c>
      <c r="E457" s="2686" t="s">
        <v>1021</v>
      </c>
      <c r="F457" s="2686" t="s">
        <v>803</v>
      </c>
      <c r="G457" s="2686" t="s">
        <v>803</v>
      </c>
      <c r="H457" s="2688">
        <v>42.91</v>
      </c>
      <c r="I457" s="2688">
        <v>13.68</v>
      </c>
      <c r="K457" s="2690" t="s">
        <v>805</v>
      </c>
      <c r="L457" s="3484" t="s">
        <v>806</v>
      </c>
    </row>
    <row r="458" spans="1:12" ht="24.95" customHeight="1">
      <c r="A458" s="2686">
        <v>456</v>
      </c>
      <c r="B458" s="2686" t="s">
        <v>1019</v>
      </c>
      <c r="C458" s="2689" t="s">
        <v>1033</v>
      </c>
      <c r="D458" s="2686" t="str">
        <f t="shared" si="7"/>
        <v>3#地库016</v>
      </c>
      <c r="E458" s="2686" t="s">
        <v>1021</v>
      </c>
      <c r="F458" s="2686" t="s">
        <v>803</v>
      </c>
      <c r="G458" s="2686" t="s">
        <v>803</v>
      </c>
      <c r="H458" s="2688">
        <v>39.520000000000003</v>
      </c>
      <c r="I458" s="2688">
        <v>12.6</v>
      </c>
      <c r="K458" s="2690" t="s">
        <v>805</v>
      </c>
      <c r="L458" s="3484" t="s">
        <v>806</v>
      </c>
    </row>
    <row r="459" spans="1:12" ht="24.95" customHeight="1">
      <c r="A459" s="2686">
        <v>457</v>
      </c>
      <c r="B459" s="2686" t="s">
        <v>1019</v>
      </c>
      <c r="C459" s="2689" t="s">
        <v>1034</v>
      </c>
      <c r="D459" s="2686" t="str">
        <f t="shared" si="7"/>
        <v>3#地库017</v>
      </c>
      <c r="E459" s="2686" t="s">
        <v>1021</v>
      </c>
      <c r="F459" s="2686" t="s">
        <v>803</v>
      </c>
      <c r="G459" s="2686" t="s">
        <v>803</v>
      </c>
      <c r="H459" s="2688">
        <v>39.520000000000003</v>
      </c>
      <c r="I459" s="2688">
        <v>12.6</v>
      </c>
      <c r="K459" s="2690" t="s">
        <v>805</v>
      </c>
      <c r="L459" s="3484" t="s">
        <v>806</v>
      </c>
    </row>
    <row r="460" spans="1:12" ht="24.95" customHeight="1">
      <c r="A460" s="2686">
        <v>458</v>
      </c>
      <c r="B460" s="2686" t="s">
        <v>1019</v>
      </c>
      <c r="C460" s="2689" t="s">
        <v>1035</v>
      </c>
      <c r="D460" s="2686" t="str">
        <f t="shared" si="7"/>
        <v>3#地库018</v>
      </c>
      <c r="E460" s="2686" t="s">
        <v>1021</v>
      </c>
      <c r="F460" s="2686" t="s">
        <v>803</v>
      </c>
      <c r="G460" s="2686" t="s">
        <v>803</v>
      </c>
      <c r="H460" s="2688">
        <v>39.520000000000003</v>
      </c>
      <c r="I460" s="2688">
        <v>12.6</v>
      </c>
      <c r="K460" s="2690" t="s">
        <v>805</v>
      </c>
      <c r="L460" s="3484" t="s">
        <v>806</v>
      </c>
    </row>
    <row r="461" spans="1:12" ht="24.95" customHeight="1">
      <c r="A461" s="2686">
        <v>459</v>
      </c>
      <c r="B461" s="2686" t="s">
        <v>1019</v>
      </c>
      <c r="C461" s="2689" t="s">
        <v>1036</v>
      </c>
      <c r="D461" s="2686" t="str">
        <f t="shared" si="7"/>
        <v>3#地库019</v>
      </c>
      <c r="E461" s="2686" t="s">
        <v>1021</v>
      </c>
      <c r="F461" s="2686" t="s">
        <v>803</v>
      </c>
      <c r="G461" s="2686" t="s">
        <v>803</v>
      </c>
      <c r="H461" s="2688">
        <v>39.520000000000003</v>
      </c>
      <c r="I461" s="2688">
        <v>12.6</v>
      </c>
      <c r="K461" s="2690" t="s">
        <v>805</v>
      </c>
      <c r="L461" s="3484" t="s">
        <v>806</v>
      </c>
    </row>
    <row r="462" spans="1:12" ht="24.95" customHeight="1">
      <c r="A462" s="2686">
        <v>460</v>
      </c>
      <c r="B462" s="2686" t="s">
        <v>1019</v>
      </c>
      <c r="C462" s="2689" t="s">
        <v>1037</v>
      </c>
      <c r="D462" s="2686" t="str">
        <f t="shared" si="7"/>
        <v>3#地库020</v>
      </c>
      <c r="E462" s="2686" t="s">
        <v>1021</v>
      </c>
      <c r="F462" s="2686" t="s">
        <v>803</v>
      </c>
      <c r="G462" s="2686" t="s">
        <v>803</v>
      </c>
      <c r="H462" s="2688">
        <v>39.520000000000003</v>
      </c>
      <c r="I462" s="2688">
        <v>12.6</v>
      </c>
      <c r="K462" s="2690" t="s">
        <v>805</v>
      </c>
      <c r="L462" s="3484" t="s">
        <v>806</v>
      </c>
    </row>
    <row r="463" spans="1:12" ht="24.95" customHeight="1">
      <c r="A463" s="2686">
        <v>461</v>
      </c>
      <c r="B463" s="2686" t="s">
        <v>1019</v>
      </c>
      <c r="C463" s="2689" t="s">
        <v>1038</v>
      </c>
      <c r="D463" s="2686" t="str">
        <f t="shared" si="7"/>
        <v>3#地库021</v>
      </c>
      <c r="E463" s="2686" t="s">
        <v>1021</v>
      </c>
      <c r="F463" s="2686" t="s">
        <v>803</v>
      </c>
      <c r="G463" s="2686" t="s">
        <v>803</v>
      </c>
      <c r="H463" s="2688">
        <v>39.520000000000003</v>
      </c>
      <c r="I463" s="2688">
        <v>12.6</v>
      </c>
      <c r="K463" s="2690" t="s">
        <v>805</v>
      </c>
      <c r="L463" s="3484" t="s">
        <v>806</v>
      </c>
    </row>
    <row r="464" spans="1:12" ht="24.95" customHeight="1">
      <c r="A464" s="2686">
        <v>462</v>
      </c>
      <c r="B464" s="2686" t="s">
        <v>1019</v>
      </c>
      <c r="C464" s="2689" t="s">
        <v>1039</v>
      </c>
      <c r="D464" s="2686" t="str">
        <f t="shared" si="7"/>
        <v>3#地库022</v>
      </c>
      <c r="E464" s="2686" t="s">
        <v>1021</v>
      </c>
      <c r="F464" s="2686" t="s">
        <v>803</v>
      </c>
      <c r="G464" s="2686" t="s">
        <v>803</v>
      </c>
      <c r="H464" s="2688">
        <v>39.520000000000003</v>
      </c>
      <c r="I464" s="2688">
        <v>12.6</v>
      </c>
      <c r="K464" s="2690" t="s">
        <v>805</v>
      </c>
      <c r="L464" s="3484" t="s">
        <v>806</v>
      </c>
    </row>
    <row r="465" spans="1:12" ht="24.95" customHeight="1">
      <c r="A465" s="2686">
        <v>463</v>
      </c>
      <c r="B465" s="2686" t="s">
        <v>1019</v>
      </c>
      <c r="C465" s="2689" t="s">
        <v>1040</v>
      </c>
      <c r="D465" s="2686" t="str">
        <f t="shared" si="7"/>
        <v>3#地库023</v>
      </c>
      <c r="E465" s="2686" t="s">
        <v>1021</v>
      </c>
      <c r="F465" s="2686" t="s">
        <v>803</v>
      </c>
      <c r="G465" s="2686" t="s">
        <v>803</v>
      </c>
      <c r="H465" s="2688">
        <v>40.65</v>
      </c>
      <c r="I465" s="2688">
        <v>12.96</v>
      </c>
      <c r="K465" s="2690" t="s">
        <v>805</v>
      </c>
      <c r="L465" s="3484" t="s">
        <v>806</v>
      </c>
    </row>
    <row r="466" spans="1:12" ht="24.95" customHeight="1">
      <c r="A466" s="2686">
        <v>464</v>
      </c>
      <c r="B466" s="2686" t="s">
        <v>1019</v>
      </c>
      <c r="C466" s="2689" t="s">
        <v>801</v>
      </c>
      <c r="D466" s="2686" t="str">
        <f t="shared" si="7"/>
        <v>3#地库024</v>
      </c>
      <c r="E466" s="2686" t="s">
        <v>1021</v>
      </c>
      <c r="F466" s="2686" t="s">
        <v>803</v>
      </c>
      <c r="G466" s="2686" t="s">
        <v>803</v>
      </c>
      <c r="H466" s="2688">
        <v>40.65</v>
      </c>
      <c r="I466" s="2688">
        <v>12.96</v>
      </c>
      <c r="K466" s="2690" t="s">
        <v>805</v>
      </c>
      <c r="L466" s="3484" t="s">
        <v>806</v>
      </c>
    </row>
    <row r="467" spans="1:12" ht="24.95" customHeight="1">
      <c r="A467" s="2686">
        <v>465</v>
      </c>
      <c r="B467" s="2686" t="s">
        <v>1019</v>
      </c>
      <c r="C467" s="2689" t="s">
        <v>1041</v>
      </c>
      <c r="D467" s="2686" t="str">
        <f t="shared" si="7"/>
        <v>3#地库025</v>
      </c>
      <c r="E467" s="2686" t="s">
        <v>1021</v>
      </c>
      <c r="F467" s="2686" t="s">
        <v>803</v>
      </c>
      <c r="G467" s="2686" t="s">
        <v>803</v>
      </c>
      <c r="H467" s="2688">
        <v>40.65</v>
      </c>
      <c r="I467" s="2688">
        <v>12.96</v>
      </c>
      <c r="K467" s="2690" t="s">
        <v>805</v>
      </c>
      <c r="L467" s="3484" t="s">
        <v>806</v>
      </c>
    </row>
    <row r="468" spans="1:12" ht="24.95" customHeight="1">
      <c r="A468" s="2686">
        <v>466</v>
      </c>
      <c r="B468" s="2686" t="s">
        <v>1019</v>
      </c>
      <c r="C468" s="2689" t="s">
        <v>1042</v>
      </c>
      <c r="D468" s="2686" t="str">
        <f t="shared" si="7"/>
        <v>3#地库026</v>
      </c>
      <c r="E468" s="2686" t="s">
        <v>1021</v>
      </c>
      <c r="F468" s="2686" t="s">
        <v>803</v>
      </c>
      <c r="G468" s="2686" t="s">
        <v>803</v>
      </c>
      <c r="H468" s="2688">
        <v>38.770000000000003</v>
      </c>
      <c r="I468" s="2688">
        <v>12.36</v>
      </c>
      <c r="K468" s="2690" t="s">
        <v>805</v>
      </c>
      <c r="L468" s="3484" t="s">
        <v>806</v>
      </c>
    </row>
    <row r="469" spans="1:12" ht="24.95" customHeight="1">
      <c r="A469" s="2686">
        <v>467</v>
      </c>
      <c r="B469" s="2686" t="s">
        <v>1019</v>
      </c>
      <c r="C469" s="2689" t="s">
        <v>1043</v>
      </c>
      <c r="D469" s="2686" t="str">
        <f t="shared" si="7"/>
        <v>3#地库027</v>
      </c>
      <c r="E469" s="2686" t="s">
        <v>1021</v>
      </c>
      <c r="F469" s="2686" t="s">
        <v>803</v>
      </c>
      <c r="G469" s="2686" t="s">
        <v>803</v>
      </c>
      <c r="H469" s="2688">
        <v>38.770000000000003</v>
      </c>
      <c r="I469" s="2688">
        <v>12.36</v>
      </c>
      <c r="K469" s="2690" t="s">
        <v>805</v>
      </c>
      <c r="L469" s="3484" t="s">
        <v>806</v>
      </c>
    </row>
    <row r="470" spans="1:12" ht="24.95" customHeight="1">
      <c r="A470" s="2686">
        <v>468</v>
      </c>
      <c r="B470" s="2686" t="s">
        <v>1019</v>
      </c>
      <c r="C470" s="2689" t="s">
        <v>1044</v>
      </c>
      <c r="D470" s="2686" t="str">
        <f t="shared" si="7"/>
        <v>3#地库028</v>
      </c>
      <c r="E470" s="2686" t="s">
        <v>1021</v>
      </c>
      <c r="F470" s="2686" t="s">
        <v>803</v>
      </c>
      <c r="G470" s="2686" t="s">
        <v>803</v>
      </c>
      <c r="H470" s="2688">
        <v>38.770000000000003</v>
      </c>
      <c r="I470" s="2688">
        <v>12.36</v>
      </c>
      <c r="K470" s="2690" t="s">
        <v>805</v>
      </c>
      <c r="L470" s="3484" t="s">
        <v>806</v>
      </c>
    </row>
    <row r="471" spans="1:12" ht="24.95" customHeight="1">
      <c r="A471" s="2686">
        <v>469</v>
      </c>
      <c r="B471" s="2686" t="s">
        <v>1019</v>
      </c>
      <c r="C471" s="2689" t="s">
        <v>1045</v>
      </c>
      <c r="D471" s="2686" t="str">
        <f t="shared" si="7"/>
        <v>3#地库029</v>
      </c>
      <c r="E471" s="2686" t="s">
        <v>1021</v>
      </c>
      <c r="F471" s="2686" t="s">
        <v>803</v>
      </c>
      <c r="G471" s="2686" t="s">
        <v>803</v>
      </c>
      <c r="H471" s="2688">
        <v>38.770000000000003</v>
      </c>
      <c r="I471" s="2688">
        <v>12.36</v>
      </c>
      <c r="K471" s="2690" t="s">
        <v>805</v>
      </c>
      <c r="L471" s="3484" t="s">
        <v>806</v>
      </c>
    </row>
    <row r="472" spans="1:12" ht="24.95" customHeight="1">
      <c r="A472" s="2686">
        <v>470</v>
      </c>
      <c r="B472" s="2686" t="s">
        <v>1019</v>
      </c>
      <c r="C472" s="2689" t="s">
        <v>1046</v>
      </c>
      <c r="D472" s="2686" t="str">
        <f t="shared" si="7"/>
        <v>3#地库030</v>
      </c>
      <c r="E472" s="2686" t="s">
        <v>1021</v>
      </c>
      <c r="F472" s="2686" t="s">
        <v>803</v>
      </c>
      <c r="G472" s="2686" t="s">
        <v>803</v>
      </c>
      <c r="H472" s="2688">
        <v>38.770000000000003</v>
      </c>
      <c r="I472" s="2688">
        <v>12.36</v>
      </c>
      <c r="K472" s="2690" t="s">
        <v>805</v>
      </c>
      <c r="L472" s="3484" t="s">
        <v>806</v>
      </c>
    </row>
    <row r="473" spans="1:12" ht="24.95" customHeight="1">
      <c r="A473" s="2686">
        <v>471</v>
      </c>
      <c r="B473" s="2686" t="s">
        <v>1019</v>
      </c>
      <c r="C473" s="2689" t="s">
        <v>1047</v>
      </c>
      <c r="D473" s="2686" t="str">
        <f t="shared" si="7"/>
        <v>3#地库031</v>
      </c>
      <c r="E473" s="2686" t="s">
        <v>1021</v>
      </c>
      <c r="F473" s="2686" t="s">
        <v>803</v>
      </c>
      <c r="G473" s="2686" t="s">
        <v>803</v>
      </c>
      <c r="H473" s="2688">
        <v>38.770000000000003</v>
      </c>
      <c r="I473" s="2688">
        <v>12.36</v>
      </c>
      <c r="K473" s="2690" t="s">
        <v>805</v>
      </c>
      <c r="L473" s="3484" t="s">
        <v>806</v>
      </c>
    </row>
    <row r="474" spans="1:12" ht="24.95" customHeight="1">
      <c r="A474" s="2686">
        <v>472</v>
      </c>
      <c r="B474" s="2686" t="s">
        <v>1019</v>
      </c>
      <c r="C474" s="2689" t="s">
        <v>1048</v>
      </c>
      <c r="D474" s="2686" t="str">
        <f t="shared" si="7"/>
        <v>3#地库032</v>
      </c>
      <c r="E474" s="2686" t="s">
        <v>1021</v>
      </c>
      <c r="F474" s="2686" t="s">
        <v>803</v>
      </c>
      <c r="G474" s="2686" t="s">
        <v>803</v>
      </c>
      <c r="H474" s="2688">
        <v>38.770000000000003</v>
      </c>
      <c r="I474" s="2688">
        <v>12.36</v>
      </c>
      <c r="K474" s="2690" t="s">
        <v>805</v>
      </c>
      <c r="L474" s="3484" t="s">
        <v>806</v>
      </c>
    </row>
    <row r="475" spans="1:12" ht="24.95" customHeight="1">
      <c r="A475" s="2686">
        <v>473</v>
      </c>
      <c r="B475" s="2686" t="s">
        <v>1019</v>
      </c>
      <c r="C475" s="2689" t="s">
        <v>1049</v>
      </c>
      <c r="D475" s="2686" t="str">
        <f t="shared" si="7"/>
        <v>3#地库033</v>
      </c>
      <c r="E475" s="2686" t="s">
        <v>1021</v>
      </c>
      <c r="F475" s="2686" t="s">
        <v>803</v>
      </c>
      <c r="G475" s="2686" t="s">
        <v>803</v>
      </c>
      <c r="H475" s="2688">
        <v>37.61</v>
      </c>
      <c r="I475" s="2688">
        <v>11.99</v>
      </c>
      <c r="K475" s="2690" t="s">
        <v>805</v>
      </c>
      <c r="L475" s="3484" t="s">
        <v>806</v>
      </c>
    </row>
    <row r="476" spans="1:12" ht="24.95" customHeight="1">
      <c r="A476" s="2686">
        <v>474</v>
      </c>
      <c r="B476" s="2686" t="s">
        <v>1019</v>
      </c>
      <c r="C476" s="2689" t="s">
        <v>1050</v>
      </c>
      <c r="D476" s="2686" t="str">
        <f t="shared" si="7"/>
        <v>3#地库034</v>
      </c>
      <c r="E476" s="2686" t="s">
        <v>1021</v>
      </c>
      <c r="F476" s="2686" t="s">
        <v>803</v>
      </c>
      <c r="G476" s="2686" t="s">
        <v>803</v>
      </c>
      <c r="H476" s="2688">
        <v>37.61</v>
      </c>
      <c r="I476" s="2688">
        <v>11.99</v>
      </c>
      <c r="K476" s="2690" t="s">
        <v>805</v>
      </c>
      <c r="L476" s="3484" t="s">
        <v>806</v>
      </c>
    </row>
    <row r="477" spans="1:12" ht="24.95" customHeight="1">
      <c r="A477" s="2686">
        <v>475</v>
      </c>
      <c r="B477" s="2686" t="s">
        <v>1019</v>
      </c>
      <c r="C477" s="2689" t="s">
        <v>1051</v>
      </c>
      <c r="D477" s="2686" t="str">
        <f t="shared" si="7"/>
        <v>3#地库035</v>
      </c>
      <c r="E477" s="2686" t="s">
        <v>1021</v>
      </c>
      <c r="F477" s="2686" t="s">
        <v>803</v>
      </c>
      <c r="G477" s="2686" t="s">
        <v>803</v>
      </c>
      <c r="H477" s="2688">
        <v>38.39</v>
      </c>
      <c r="I477" s="2688">
        <v>12.24</v>
      </c>
      <c r="K477" s="2690" t="s">
        <v>805</v>
      </c>
      <c r="L477" s="3484" t="s">
        <v>806</v>
      </c>
    </row>
    <row r="478" spans="1:12" ht="24.95" customHeight="1">
      <c r="A478" s="2686">
        <v>476</v>
      </c>
      <c r="B478" s="2686" t="s">
        <v>1019</v>
      </c>
      <c r="C478" s="2689" t="s">
        <v>807</v>
      </c>
      <c r="D478" s="2686" t="str">
        <f t="shared" si="7"/>
        <v>3#地库036</v>
      </c>
      <c r="E478" s="2686" t="s">
        <v>1021</v>
      </c>
      <c r="F478" s="2686" t="s">
        <v>803</v>
      </c>
      <c r="G478" s="2686" t="s">
        <v>803</v>
      </c>
      <c r="H478" s="2688">
        <v>37.950000000000003</v>
      </c>
      <c r="I478" s="2688">
        <v>12.1</v>
      </c>
      <c r="K478" s="2690" t="s">
        <v>805</v>
      </c>
      <c r="L478" s="3484" t="s">
        <v>806</v>
      </c>
    </row>
    <row r="479" spans="1:12" ht="24.95" customHeight="1">
      <c r="A479" s="2686">
        <v>477</v>
      </c>
      <c r="B479" s="2686" t="s">
        <v>1019</v>
      </c>
      <c r="C479" s="2689" t="s">
        <v>1052</v>
      </c>
      <c r="D479" s="2686" t="str">
        <f t="shared" si="7"/>
        <v>3#地库037</v>
      </c>
      <c r="E479" s="2686" t="s">
        <v>1021</v>
      </c>
      <c r="F479" s="2686" t="s">
        <v>803</v>
      </c>
      <c r="G479" s="2686" t="s">
        <v>803</v>
      </c>
      <c r="H479" s="2688">
        <v>38.770000000000003</v>
      </c>
      <c r="I479" s="2688">
        <v>12.36</v>
      </c>
      <c r="K479" s="2690" t="s">
        <v>805</v>
      </c>
      <c r="L479" s="3484" t="s">
        <v>806</v>
      </c>
    </row>
    <row r="480" spans="1:12" ht="24.95" customHeight="1">
      <c r="A480" s="2691">
        <v>478</v>
      </c>
      <c r="B480" s="2691" t="s">
        <v>1019</v>
      </c>
      <c r="C480" s="2692" t="s">
        <v>1053</v>
      </c>
      <c r="D480" s="2691" t="str">
        <f t="shared" si="7"/>
        <v>3#地库038</v>
      </c>
      <c r="E480" s="2691" t="s">
        <v>1021</v>
      </c>
      <c r="F480" s="2691" t="s">
        <v>803</v>
      </c>
      <c r="G480" s="2691" t="s">
        <v>803</v>
      </c>
      <c r="H480" s="2693">
        <v>77.540000000000006</v>
      </c>
      <c r="I480" s="2693">
        <v>24.72</v>
      </c>
      <c r="K480" s="2690" t="s">
        <v>1054</v>
      </c>
      <c r="L480" s="3484" t="s">
        <v>806</v>
      </c>
    </row>
    <row r="481" spans="1:12" ht="24.95" customHeight="1">
      <c r="A481" s="2686">
        <v>479</v>
      </c>
      <c r="B481" s="2686" t="s">
        <v>1019</v>
      </c>
      <c r="C481" s="2689" t="s">
        <v>1055</v>
      </c>
      <c r="D481" s="2686" t="str">
        <f t="shared" si="7"/>
        <v>3#地库039</v>
      </c>
      <c r="E481" s="2686" t="s">
        <v>1021</v>
      </c>
      <c r="F481" s="2686" t="s">
        <v>803</v>
      </c>
      <c r="G481" s="2686" t="s">
        <v>803</v>
      </c>
      <c r="H481" s="2688">
        <v>38.770000000000003</v>
      </c>
      <c r="I481" s="2688">
        <v>12.36</v>
      </c>
      <c r="K481" s="2690" t="s">
        <v>805</v>
      </c>
      <c r="L481" s="3484" t="s">
        <v>806</v>
      </c>
    </row>
    <row r="482" spans="1:12" ht="24.95" customHeight="1">
      <c r="A482" s="2686">
        <v>480</v>
      </c>
      <c r="B482" s="2686" t="s">
        <v>1019</v>
      </c>
      <c r="C482" s="2689" t="s">
        <v>1056</v>
      </c>
      <c r="D482" s="2686" t="str">
        <f t="shared" si="7"/>
        <v>3#地库040</v>
      </c>
      <c r="E482" s="2686" t="s">
        <v>1021</v>
      </c>
      <c r="F482" s="2686" t="s">
        <v>803</v>
      </c>
      <c r="G482" s="2686" t="s">
        <v>803</v>
      </c>
      <c r="H482" s="2688">
        <v>38.770000000000003</v>
      </c>
      <c r="I482" s="2688">
        <v>12.36</v>
      </c>
      <c r="K482" s="2690" t="s">
        <v>805</v>
      </c>
      <c r="L482" s="3484" t="s">
        <v>806</v>
      </c>
    </row>
    <row r="483" spans="1:12" ht="24.95" customHeight="1">
      <c r="A483" s="2686">
        <v>481</v>
      </c>
      <c r="B483" s="2686" t="s">
        <v>1019</v>
      </c>
      <c r="C483" s="2689" t="s">
        <v>1057</v>
      </c>
      <c r="D483" s="2686" t="str">
        <f t="shared" si="7"/>
        <v>3#地库041</v>
      </c>
      <c r="E483" s="2686" t="s">
        <v>1021</v>
      </c>
      <c r="F483" s="2686" t="s">
        <v>803</v>
      </c>
      <c r="G483" s="2686" t="s">
        <v>803</v>
      </c>
      <c r="H483" s="2688">
        <v>38.71</v>
      </c>
      <c r="I483" s="2688">
        <v>12.34</v>
      </c>
      <c r="K483" s="2690" t="s">
        <v>805</v>
      </c>
      <c r="L483" s="3484" t="s">
        <v>806</v>
      </c>
    </row>
    <row r="484" spans="1:12" ht="24.95" customHeight="1">
      <c r="A484" s="2686">
        <v>482</v>
      </c>
      <c r="B484" s="2686" t="s">
        <v>1019</v>
      </c>
      <c r="C484" s="2689" t="s">
        <v>808</v>
      </c>
      <c r="D484" s="2686" t="str">
        <f t="shared" si="7"/>
        <v>3#地库042</v>
      </c>
      <c r="E484" s="2686" t="s">
        <v>1021</v>
      </c>
      <c r="F484" s="2686" t="s">
        <v>803</v>
      </c>
      <c r="G484" s="2686" t="s">
        <v>803</v>
      </c>
      <c r="H484" s="2688">
        <v>44.41</v>
      </c>
      <c r="I484" s="2688">
        <v>14.16</v>
      </c>
      <c r="K484" s="2690" t="s">
        <v>805</v>
      </c>
      <c r="L484" s="3484" t="s">
        <v>806</v>
      </c>
    </row>
    <row r="485" spans="1:12" ht="24.95" customHeight="1">
      <c r="A485" s="2686">
        <v>483</v>
      </c>
      <c r="B485" s="2686" t="s">
        <v>1019</v>
      </c>
      <c r="C485" s="2689" t="s">
        <v>1058</v>
      </c>
      <c r="D485" s="2686" t="str">
        <f t="shared" si="7"/>
        <v>3#地库043</v>
      </c>
      <c r="E485" s="2686" t="s">
        <v>1021</v>
      </c>
      <c r="F485" s="2686" t="s">
        <v>803</v>
      </c>
      <c r="G485" s="2686" t="s">
        <v>803</v>
      </c>
      <c r="H485" s="2688">
        <v>44.41</v>
      </c>
      <c r="I485" s="2688">
        <v>14.16</v>
      </c>
      <c r="K485" s="2690" t="s">
        <v>805</v>
      </c>
      <c r="L485" s="3484" t="s">
        <v>806</v>
      </c>
    </row>
    <row r="486" spans="1:12" ht="24.95" customHeight="1">
      <c r="A486" s="2686">
        <v>484</v>
      </c>
      <c r="B486" s="2686" t="s">
        <v>1019</v>
      </c>
      <c r="C486" s="2689" t="s">
        <v>1059</v>
      </c>
      <c r="D486" s="2686" t="str">
        <f t="shared" si="7"/>
        <v>3#地库044</v>
      </c>
      <c r="E486" s="2686" t="s">
        <v>1021</v>
      </c>
      <c r="F486" s="2686" t="s">
        <v>803</v>
      </c>
      <c r="G486" s="2686" t="s">
        <v>803</v>
      </c>
      <c r="H486" s="2688">
        <v>38.39</v>
      </c>
      <c r="I486" s="2688">
        <v>12.24</v>
      </c>
      <c r="K486" s="2690" t="s">
        <v>805</v>
      </c>
      <c r="L486" s="3484" t="s">
        <v>806</v>
      </c>
    </row>
    <row r="487" spans="1:12" ht="24.95" customHeight="1">
      <c r="A487" s="2686">
        <v>485</v>
      </c>
      <c r="B487" s="2686" t="s">
        <v>1019</v>
      </c>
      <c r="C487" s="2689" t="s">
        <v>1060</v>
      </c>
      <c r="D487" s="2686" t="str">
        <f t="shared" si="7"/>
        <v>3#地库045</v>
      </c>
      <c r="E487" s="2686" t="s">
        <v>1021</v>
      </c>
      <c r="F487" s="2686" t="s">
        <v>803</v>
      </c>
      <c r="G487" s="2686" t="s">
        <v>803</v>
      </c>
      <c r="H487" s="2688">
        <v>39.520000000000003</v>
      </c>
      <c r="I487" s="2688">
        <v>12.6</v>
      </c>
      <c r="K487" s="2690" t="s">
        <v>805</v>
      </c>
      <c r="L487" s="3484" t="s">
        <v>806</v>
      </c>
    </row>
    <row r="488" spans="1:12" ht="24.95" customHeight="1">
      <c r="A488" s="2686">
        <v>486</v>
      </c>
      <c r="B488" s="2686" t="s">
        <v>1019</v>
      </c>
      <c r="C488" s="2689" t="s">
        <v>1061</v>
      </c>
      <c r="D488" s="2686" t="str">
        <f t="shared" si="7"/>
        <v>3#地库046</v>
      </c>
      <c r="E488" s="2686" t="s">
        <v>1021</v>
      </c>
      <c r="F488" s="2686" t="s">
        <v>803</v>
      </c>
      <c r="G488" s="2686" t="s">
        <v>803</v>
      </c>
      <c r="H488" s="2688">
        <v>39.520000000000003</v>
      </c>
      <c r="I488" s="2688">
        <v>12.6</v>
      </c>
      <c r="K488" s="2690" t="s">
        <v>805</v>
      </c>
      <c r="L488" s="3484" t="s">
        <v>806</v>
      </c>
    </row>
    <row r="489" spans="1:12" ht="24.95" customHeight="1">
      <c r="A489" s="2686">
        <v>487</v>
      </c>
      <c r="B489" s="2686" t="s">
        <v>1019</v>
      </c>
      <c r="C489" s="2689" t="s">
        <v>809</v>
      </c>
      <c r="D489" s="2686" t="str">
        <f t="shared" si="7"/>
        <v>3#地库047</v>
      </c>
      <c r="E489" s="2686" t="s">
        <v>1021</v>
      </c>
      <c r="F489" s="2686" t="s">
        <v>803</v>
      </c>
      <c r="G489" s="2686" t="s">
        <v>803</v>
      </c>
      <c r="H489" s="2688">
        <v>40.340000000000003</v>
      </c>
      <c r="I489" s="2688">
        <v>12.86</v>
      </c>
      <c r="K489" s="2690" t="s">
        <v>805</v>
      </c>
      <c r="L489" s="3484" t="s">
        <v>806</v>
      </c>
    </row>
    <row r="490" spans="1:12" ht="24.95" customHeight="1">
      <c r="A490" s="2686">
        <v>488</v>
      </c>
      <c r="B490" s="2686" t="s">
        <v>1019</v>
      </c>
      <c r="C490" s="2689" t="s">
        <v>1062</v>
      </c>
      <c r="D490" s="2686" t="str">
        <f t="shared" si="7"/>
        <v>3#地库048</v>
      </c>
      <c r="E490" s="2686" t="s">
        <v>1021</v>
      </c>
      <c r="F490" s="2686" t="s">
        <v>803</v>
      </c>
      <c r="G490" s="2686" t="s">
        <v>803</v>
      </c>
      <c r="H490" s="2688">
        <v>37.89</v>
      </c>
      <c r="I490" s="2688">
        <v>12.08</v>
      </c>
      <c r="K490" s="2690" t="s">
        <v>805</v>
      </c>
      <c r="L490" s="3484" t="s">
        <v>806</v>
      </c>
    </row>
    <row r="491" spans="1:12" ht="24.95" customHeight="1">
      <c r="A491" s="2686">
        <v>489</v>
      </c>
      <c r="B491" s="2686" t="s">
        <v>1019</v>
      </c>
      <c r="C491" s="2689" t="s">
        <v>810</v>
      </c>
      <c r="D491" s="2686" t="str">
        <f t="shared" si="7"/>
        <v>3#地库049</v>
      </c>
      <c r="E491" s="2686" t="s">
        <v>1021</v>
      </c>
      <c r="F491" s="2686" t="s">
        <v>803</v>
      </c>
      <c r="G491" s="2686" t="s">
        <v>803</v>
      </c>
      <c r="H491" s="2688">
        <v>39.520000000000003</v>
      </c>
      <c r="I491" s="2688">
        <v>12.6</v>
      </c>
      <c r="K491" s="2690" t="s">
        <v>805</v>
      </c>
      <c r="L491" s="3484" t="s">
        <v>806</v>
      </c>
    </row>
    <row r="492" spans="1:12" ht="24.95" customHeight="1">
      <c r="A492" s="2686">
        <v>490</v>
      </c>
      <c r="B492" s="2686" t="s">
        <v>1019</v>
      </c>
      <c r="C492" s="2689" t="s">
        <v>1063</v>
      </c>
      <c r="D492" s="2686" t="str">
        <f t="shared" si="7"/>
        <v>3#地库050</v>
      </c>
      <c r="E492" s="2686" t="s">
        <v>1021</v>
      </c>
      <c r="F492" s="2686" t="s">
        <v>803</v>
      </c>
      <c r="G492" s="2686" t="s">
        <v>803</v>
      </c>
      <c r="H492" s="2688">
        <v>39.520000000000003</v>
      </c>
      <c r="I492" s="2688">
        <v>12.6</v>
      </c>
      <c r="K492" s="2690" t="s">
        <v>805</v>
      </c>
      <c r="L492" s="3484" t="s">
        <v>806</v>
      </c>
    </row>
    <row r="493" spans="1:12" ht="24.95" customHeight="1">
      <c r="A493" s="2686">
        <v>491</v>
      </c>
      <c r="B493" s="2686" t="s">
        <v>1019</v>
      </c>
      <c r="C493" s="2689" t="s">
        <v>1064</v>
      </c>
      <c r="D493" s="2686" t="str">
        <f t="shared" si="7"/>
        <v>3#地库051</v>
      </c>
      <c r="E493" s="2686" t="s">
        <v>1021</v>
      </c>
      <c r="F493" s="2686" t="s">
        <v>803</v>
      </c>
      <c r="G493" s="2686" t="s">
        <v>803</v>
      </c>
      <c r="H493" s="2688">
        <v>39.520000000000003</v>
      </c>
      <c r="I493" s="2688">
        <v>12.6</v>
      </c>
      <c r="K493" s="2690" t="s">
        <v>805</v>
      </c>
      <c r="L493" s="3484" t="s">
        <v>806</v>
      </c>
    </row>
    <row r="494" spans="1:12" ht="24.95" customHeight="1">
      <c r="A494" s="2686">
        <v>492</v>
      </c>
      <c r="B494" s="2686" t="s">
        <v>1019</v>
      </c>
      <c r="C494" s="2689" t="s">
        <v>1065</v>
      </c>
      <c r="D494" s="2686" t="str">
        <f t="shared" si="7"/>
        <v>3#地库052</v>
      </c>
      <c r="E494" s="2686" t="s">
        <v>1021</v>
      </c>
      <c r="F494" s="2686" t="s">
        <v>803</v>
      </c>
      <c r="G494" s="2686" t="s">
        <v>803</v>
      </c>
      <c r="H494" s="2688">
        <v>39.520000000000003</v>
      </c>
      <c r="I494" s="2688">
        <v>12.6</v>
      </c>
      <c r="K494" s="2690" t="s">
        <v>805</v>
      </c>
      <c r="L494" s="3484" t="s">
        <v>806</v>
      </c>
    </row>
    <row r="495" spans="1:12" ht="24.95" customHeight="1">
      <c r="A495" s="2686">
        <v>493</v>
      </c>
      <c r="B495" s="2686" t="s">
        <v>1019</v>
      </c>
      <c r="C495" s="2689" t="s">
        <v>811</v>
      </c>
      <c r="D495" s="2686" t="str">
        <f t="shared" si="7"/>
        <v>3#地库053</v>
      </c>
      <c r="E495" s="2686" t="s">
        <v>1021</v>
      </c>
      <c r="F495" s="2686" t="s">
        <v>803</v>
      </c>
      <c r="G495" s="2686" t="s">
        <v>803</v>
      </c>
      <c r="H495" s="2688">
        <v>36.229999999999997</v>
      </c>
      <c r="I495" s="2688">
        <v>11.55</v>
      </c>
      <c r="K495" s="2690" t="s">
        <v>805</v>
      </c>
      <c r="L495" s="3484" t="s">
        <v>806</v>
      </c>
    </row>
    <row r="496" spans="1:12" ht="24.95" customHeight="1">
      <c r="A496" s="2686">
        <v>494</v>
      </c>
      <c r="B496" s="2686" t="s">
        <v>1019</v>
      </c>
      <c r="C496" s="2689" t="s">
        <v>812</v>
      </c>
      <c r="D496" s="2686" t="str">
        <f t="shared" si="7"/>
        <v>3#地库054</v>
      </c>
      <c r="E496" s="2686" t="s">
        <v>1021</v>
      </c>
      <c r="F496" s="2686" t="s">
        <v>803</v>
      </c>
      <c r="G496" s="2686" t="s">
        <v>803</v>
      </c>
      <c r="H496" s="2688">
        <v>39.520000000000003</v>
      </c>
      <c r="I496" s="2688">
        <v>12.6</v>
      </c>
      <c r="K496" s="2690" t="s">
        <v>805</v>
      </c>
      <c r="L496" s="3484" t="s">
        <v>806</v>
      </c>
    </row>
    <row r="497" spans="1:12" ht="24.95" customHeight="1">
      <c r="A497" s="2686">
        <v>495</v>
      </c>
      <c r="B497" s="2686" t="s">
        <v>1019</v>
      </c>
      <c r="C497" s="2689" t="s">
        <v>1066</v>
      </c>
      <c r="D497" s="2686" t="str">
        <f t="shared" si="7"/>
        <v>3#地库055</v>
      </c>
      <c r="E497" s="2686" t="s">
        <v>1021</v>
      </c>
      <c r="F497" s="2686" t="s">
        <v>803</v>
      </c>
      <c r="G497" s="2686" t="s">
        <v>803</v>
      </c>
      <c r="H497" s="2688">
        <v>39.520000000000003</v>
      </c>
      <c r="I497" s="2688">
        <v>12.6</v>
      </c>
      <c r="K497" s="2690" t="s">
        <v>805</v>
      </c>
      <c r="L497" s="3484" t="s">
        <v>806</v>
      </c>
    </row>
    <row r="498" spans="1:12" ht="24.95" customHeight="1">
      <c r="A498" s="2686">
        <v>496</v>
      </c>
      <c r="B498" s="2686" t="s">
        <v>1019</v>
      </c>
      <c r="C498" s="2689" t="s">
        <v>1067</v>
      </c>
      <c r="D498" s="2686" t="str">
        <f t="shared" si="7"/>
        <v>3#地库056</v>
      </c>
      <c r="E498" s="2686" t="s">
        <v>1021</v>
      </c>
      <c r="F498" s="2686" t="s">
        <v>803</v>
      </c>
      <c r="G498" s="2686" t="s">
        <v>803</v>
      </c>
      <c r="H498" s="2688">
        <v>39.520000000000003</v>
      </c>
      <c r="I498" s="2688">
        <v>12.6</v>
      </c>
      <c r="K498" s="2690" t="s">
        <v>805</v>
      </c>
      <c r="L498" s="3484" t="s">
        <v>806</v>
      </c>
    </row>
    <row r="499" spans="1:12" ht="24.95" customHeight="1">
      <c r="A499" s="2686">
        <v>497</v>
      </c>
      <c r="B499" s="2686" t="s">
        <v>1019</v>
      </c>
      <c r="C499" s="2689" t="s">
        <v>813</v>
      </c>
      <c r="D499" s="2686" t="str">
        <f t="shared" si="7"/>
        <v>3#地库057</v>
      </c>
      <c r="E499" s="2686" t="s">
        <v>1021</v>
      </c>
      <c r="F499" s="2686" t="s">
        <v>803</v>
      </c>
      <c r="G499" s="2686" t="s">
        <v>803</v>
      </c>
      <c r="H499" s="2688">
        <v>39.520000000000003</v>
      </c>
      <c r="I499" s="2688">
        <v>12.6</v>
      </c>
      <c r="K499" s="2690" t="s">
        <v>805</v>
      </c>
      <c r="L499" s="3484" t="s">
        <v>806</v>
      </c>
    </row>
    <row r="500" spans="1:12" ht="24.95" customHeight="1">
      <c r="A500" s="2686">
        <v>498</v>
      </c>
      <c r="B500" s="2686" t="s">
        <v>1019</v>
      </c>
      <c r="C500" s="2689" t="s">
        <v>1068</v>
      </c>
      <c r="D500" s="2686" t="str">
        <f t="shared" si="7"/>
        <v>3#地库058</v>
      </c>
      <c r="E500" s="2686" t="s">
        <v>1021</v>
      </c>
      <c r="F500" s="2686" t="s">
        <v>803</v>
      </c>
      <c r="G500" s="2686" t="s">
        <v>803</v>
      </c>
      <c r="H500" s="2688">
        <v>39.520000000000003</v>
      </c>
      <c r="I500" s="2688">
        <v>12.6</v>
      </c>
      <c r="K500" s="2690" t="s">
        <v>805</v>
      </c>
      <c r="L500" s="3484" t="s">
        <v>806</v>
      </c>
    </row>
    <row r="501" spans="1:12" ht="24.95" customHeight="1">
      <c r="A501" s="2686">
        <v>499</v>
      </c>
      <c r="B501" s="2686" t="s">
        <v>1019</v>
      </c>
      <c r="C501" s="2689" t="s">
        <v>814</v>
      </c>
      <c r="D501" s="2686" t="str">
        <f t="shared" si="7"/>
        <v>3#地库059</v>
      </c>
      <c r="E501" s="2686" t="s">
        <v>1021</v>
      </c>
      <c r="F501" s="2686" t="s">
        <v>803</v>
      </c>
      <c r="G501" s="2686" t="s">
        <v>803</v>
      </c>
      <c r="H501" s="2688">
        <v>39.520000000000003</v>
      </c>
      <c r="I501" s="2688">
        <v>12.6</v>
      </c>
      <c r="K501" s="2690" t="s">
        <v>805</v>
      </c>
      <c r="L501" s="3484" t="s">
        <v>806</v>
      </c>
    </row>
    <row r="502" spans="1:12" ht="24.95" customHeight="1">
      <c r="A502" s="2686">
        <v>500</v>
      </c>
      <c r="B502" s="2686" t="s">
        <v>1019</v>
      </c>
      <c r="C502" s="2689" t="s">
        <v>1069</v>
      </c>
      <c r="D502" s="2686" t="str">
        <f t="shared" si="7"/>
        <v>3#地库060</v>
      </c>
      <c r="E502" s="2686" t="s">
        <v>1021</v>
      </c>
      <c r="F502" s="2686" t="s">
        <v>803</v>
      </c>
      <c r="G502" s="2686" t="s">
        <v>803</v>
      </c>
      <c r="H502" s="2688">
        <v>39.520000000000003</v>
      </c>
      <c r="I502" s="2688">
        <v>12.6</v>
      </c>
      <c r="K502" s="2690" t="s">
        <v>805</v>
      </c>
      <c r="L502" s="3484" t="s">
        <v>806</v>
      </c>
    </row>
    <row r="503" spans="1:12" ht="24.95" customHeight="1">
      <c r="A503" s="2686">
        <v>501</v>
      </c>
      <c r="B503" s="2686" t="s">
        <v>1019</v>
      </c>
      <c r="C503" s="2689" t="s">
        <v>815</v>
      </c>
      <c r="D503" s="2686" t="str">
        <f t="shared" si="7"/>
        <v>3#地库061</v>
      </c>
      <c r="E503" s="2686" t="s">
        <v>1021</v>
      </c>
      <c r="F503" s="2686" t="s">
        <v>803</v>
      </c>
      <c r="G503" s="2686" t="s">
        <v>803</v>
      </c>
      <c r="H503" s="2688">
        <v>39.520000000000003</v>
      </c>
      <c r="I503" s="2688">
        <v>12.6</v>
      </c>
      <c r="K503" s="2690" t="s">
        <v>805</v>
      </c>
      <c r="L503" s="3484" t="s">
        <v>806</v>
      </c>
    </row>
    <row r="504" spans="1:12" ht="24.95" customHeight="1">
      <c r="A504" s="2686">
        <v>502</v>
      </c>
      <c r="B504" s="2686" t="s">
        <v>1019</v>
      </c>
      <c r="C504" s="2689" t="s">
        <v>816</v>
      </c>
      <c r="D504" s="2686" t="str">
        <f t="shared" si="7"/>
        <v>3#地库062</v>
      </c>
      <c r="E504" s="2686" t="s">
        <v>1021</v>
      </c>
      <c r="F504" s="2686" t="s">
        <v>803</v>
      </c>
      <c r="G504" s="2686" t="s">
        <v>803</v>
      </c>
      <c r="H504" s="2688">
        <v>39.520000000000003</v>
      </c>
      <c r="I504" s="2688">
        <v>12.6</v>
      </c>
      <c r="K504" s="2690" t="s">
        <v>805</v>
      </c>
      <c r="L504" s="3484" t="s">
        <v>806</v>
      </c>
    </row>
    <row r="505" spans="1:12" ht="24.95" customHeight="1">
      <c r="A505" s="2686">
        <v>503</v>
      </c>
      <c r="B505" s="2686" t="s">
        <v>1019</v>
      </c>
      <c r="C505" s="2689" t="s">
        <v>817</v>
      </c>
      <c r="D505" s="2686" t="str">
        <f t="shared" si="7"/>
        <v>3#地库063</v>
      </c>
      <c r="E505" s="2686" t="s">
        <v>1021</v>
      </c>
      <c r="F505" s="2686" t="s">
        <v>803</v>
      </c>
      <c r="G505" s="2686" t="s">
        <v>803</v>
      </c>
      <c r="H505" s="2688">
        <v>39.520000000000003</v>
      </c>
      <c r="I505" s="2688">
        <v>12.6</v>
      </c>
      <c r="K505" s="2690" t="s">
        <v>805</v>
      </c>
      <c r="L505" s="3484" t="s">
        <v>806</v>
      </c>
    </row>
    <row r="506" spans="1:12" ht="24.95" customHeight="1">
      <c r="A506" s="2686">
        <v>504</v>
      </c>
      <c r="B506" s="2686" t="s">
        <v>1019</v>
      </c>
      <c r="C506" s="2689" t="s">
        <v>818</v>
      </c>
      <c r="D506" s="2686" t="str">
        <f t="shared" si="7"/>
        <v>3#地库064</v>
      </c>
      <c r="E506" s="2686" t="s">
        <v>1021</v>
      </c>
      <c r="F506" s="2686" t="s">
        <v>803</v>
      </c>
      <c r="G506" s="2686" t="s">
        <v>803</v>
      </c>
      <c r="H506" s="2688">
        <v>38.770000000000003</v>
      </c>
      <c r="I506" s="2688">
        <v>12.36</v>
      </c>
      <c r="K506" s="2690" t="s">
        <v>805</v>
      </c>
      <c r="L506" s="3484" t="s">
        <v>806</v>
      </c>
    </row>
    <row r="507" spans="1:12" ht="24.95" customHeight="1">
      <c r="A507" s="2686">
        <v>505</v>
      </c>
      <c r="B507" s="2686" t="s">
        <v>1019</v>
      </c>
      <c r="C507" s="2689" t="s">
        <v>1070</v>
      </c>
      <c r="D507" s="2686" t="str">
        <f t="shared" si="7"/>
        <v>3#地库065</v>
      </c>
      <c r="E507" s="2686" t="s">
        <v>1021</v>
      </c>
      <c r="F507" s="2686" t="s">
        <v>803</v>
      </c>
      <c r="G507" s="2686" t="s">
        <v>803</v>
      </c>
      <c r="H507" s="2688">
        <v>38.770000000000003</v>
      </c>
      <c r="I507" s="2688">
        <v>12.36</v>
      </c>
      <c r="K507" s="2690" t="s">
        <v>805</v>
      </c>
      <c r="L507" s="3484" t="s">
        <v>806</v>
      </c>
    </row>
    <row r="508" spans="1:12" ht="24.95" customHeight="1">
      <c r="A508" s="2686">
        <v>506</v>
      </c>
      <c r="B508" s="2686" t="s">
        <v>1019</v>
      </c>
      <c r="C508" s="2689" t="s">
        <v>819</v>
      </c>
      <c r="D508" s="2686" t="str">
        <f t="shared" si="7"/>
        <v>3#地库066</v>
      </c>
      <c r="E508" s="2686" t="s">
        <v>1021</v>
      </c>
      <c r="F508" s="2686" t="s">
        <v>803</v>
      </c>
      <c r="G508" s="2686" t="s">
        <v>803</v>
      </c>
      <c r="H508" s="2688">
        <v>36.130000000000003</v>
      </c>
      <c r="I508" s="2688">
        <v>11.52</v>
      </c>
      <c r="K508" s="2690" t="s">
        <v>805</v>
      </c>
      <c r="L508" s="3484" t="s">
        <v>806</v>
      </c>
    </row>
    <row r="509" spans="1:12" ht="24.95" customHeight="1">
      <c r="A509" s="2686">
        <v>507</v>
      </c>
      <c r="B509" s="2686" t="s">
        <v>1019</v>
      </c>
      <c r="C509" s="2689" t="s">
        <v>820</v>
      </c>
      <c r="D509" s="2686" t="str">
        <f t="shared" si="7"/>
        <v>3#地库067</v>
      </c>
      <c r="E509" s="2686" t="s">
        <v>1021</v>
      </c>
      <c r="F509" s="2686" t="s">
        <v>803</v>
      </c>
      <c r="G509" s="2686" t="s">
        <v>803</v>
      </c>
      <c r="H509" s="2688">
        <v>39.14</v>
      </c>
      <c r="I509" s="2688">
        <v>12.48</v>
      </c>
      <c r="K509" s="2690" t="s">
        <v>805</v>
      </c>
      <c r="L509" s="3484" t="s">
        <v>806</v>
      </c>
    </row>
    <row r="510" spans="1:12" ht="24.95" customHeight="1">
      <c r="A510" s="2686">
        <v>508</v>
      </c>
      <c r="B510" s="2686" t="s">
        <v>1019</v>
      </c>
      <c r="C510" s="2689" t="s">
        <v>1071</v>
      </c>
      <c r="D510" s="2686" t="str">
        <f t="shared" si="7"/>
        <v>3#地库068</v>
      </c>
      <c r="E510" s="2686" t="s">
        <v>1021</v>
      </c>
      <c r="F510" s="2686" t="s">
        <v>803</v>
      </c>
      <c r="G510" s="2686" t="s">
        <v>803</v>
      </c>
      <c r="H510" s="2688">
        <v>39.14</v>
      </c>
      <c r="I510" s="2688">
        <v>12.48</v>
      </c>
      <c r="K510" s="2690" t="s">
        <v>805</v>
      </c>
      <c r="L510" s="3484" t="s">
        <v>806</v>
      </c>
    </row>
    <row r="511" spans="1:12" ht="24.95" customHeight="1">
      <c r="A511" s="2686">
        <v>509</v>
      </c>
      <c r="B511" s="2686" t="s">
        <v>1019</v>
      </c>
      <c r="C511" s="2689" t="s">
        <v>1072</v>
      </c>
      <c r="D511" s="2686" t="str">
        <f t="shared" si="7"/>
        <v>3#地库069</v>
      </c>
      <c r="E511" s="2686" t="s">
        <v>1021</v>
      </c>
      <c r="F511" s="2686" t="s">
        <v>803</v>
      </c>
      <c r="G511" s="2686" t="s">
        <v>803</v>
      </c>
      <c r="H511" s="2688">
        <v>39.14</v>
      </c>
      <c r="I511" s="2688">
        <v>12.48</v>
      </c>
      <c r="K511" s="2690" t="s">
        <v>805</v>
      </c>
      <c r="L511" s="3484" t="s">
        <v>806</v>
      </c>
    </row>
    <row r="512" spans="1:12" ht="24.95" customHeight="1">
      <c r="A512" s="2686">
        <v>510</v>
      </c>
      <c r="B512" s="2686" t="s">
        <v>1019</v>
      </c>
      <c r="C512" s="2689" t="s">
        <v>1073</v>
      </c>
      <c r="D512" s="2686" t="str">
        <f t="shared" si="7"/>
        <v>3#地库070</v>
      </c>
      <c r="E512" s="2686" t="s">
        <v>1021</v>
      </c>
      <c r="F512" s="2686" t="s">
        <v>803</v>
      </c>
      <c r="G512" s="2686" t="s">
        <v>803</v>
      </c>
      <c r="H512" s="2688">
        <v>40.65</v>
      </c>
      <c r="I512" s="2688">
        <v>12.96</v>
      </c>
      <c r="K512" s="2690" t="s">
        <v>805</v>
      </c>
      <c r="L512" s="3484" t="s">
        <v>806</v>
      </c>
    </row>
    <row r="513" spans="1:12" ht="24.95" customHeight="1">
      <c r="A513" s="2686">
        <v>511</v>
      </c>
      <c r="B513" s="2686" t="s">
        <v>1019</v>
      </c>
      <c r="C513" s="2689" t="s">
        <v>821</v>
      </c>
      <c r="D513" s="2686" t="str">
        <f t="shared" si="7"/>
        <v>3#地库071</v>
      </c>
      <c r="E513" s="2686" t="s">
        <v>1021</v>
      </c>
      <c r="F513" s="2686" t="s">
        <v>803</v>
      </c>
      <c r="G513" s="2686" t="s">
        <v>803</v>
      </c>
      <c r="H513" s="2688">
        <v>40.65</v>
      </c>
      <c r="I513" s="2688">
        <v>12.96</v>
      </c>
      <c r="K513" s="2690" t="s">
        <v>805</v>
      </c>
      <c r="L513" s="3484" t="s">
        <v>806</v>
      </c>
    </row>
    <row r="514" spans="1:12" ht="24.95" customHeight="1">
      <c r="A514" s="2686">
        <v>512</v>
      </c>
      <c r="B514" s="2686" t="s">
        <v>1019</v>
      </c>
      <c r="C514" s="2689" t="s">
        <v>1074</v>
      </c>
      <c r="D514" s="2686" t="str">
        <f t="shared" si="7"/>
        <v>3#地库072</v>
      </c>
      <c r="E514" s="2686" t="s">
        <v>1021</v>
      </c>
      <c r="F514" s="2686" t="s">
        <v>803</v>
      </c>
      <c r="G514" s="2686" t="s">
        <v>803</v>
      </c>
      <c r="H514" s="2688">
        <v>38.24</v>
      </c>
      <c r="I514" s="2688">
        <v>12.19</v>
      </c>
      <c r="K514" s="2690" t="s">
        <v>805</v>
      </c>
      <c r="L514" s="3484" t="s">
        <v>806</v>
      </c>
    </row>
    <row r="515" spans="1:12" ht="24.95" customHeight="1">
      <c r="A515" s="2686">
        <v>513</v>
      </c>
      <c r="B515" s="2686" t="s">
        <v>1019</v>
      </c>
      <c r="C515" s="2689" t="s">
        <v>822</v>
      </c>
      <c r="D515" s="2686" t="str">
        <f t="shared" si="7"/>
        <v>3#地库073</v>
      </c>
      <c r="E515" s="2686" t="s">
        <v>1021</v>
      </c>
      <c r="F515" s="2686" t="s">
        <v>803</v>
      </c>
      <c r="G515" s="2686" t="s">
        <v>803</v>
      </c>
      <c r="H515" s="2688">
        <v>38.24</v>
      </c>
      <c r="I515" s="2688">
        <v>12.19</v>
      </c>
      <c r="K515" s="2690" t="s">
        <v>805</v>
      </c>
      <c r="L515" s="3484" t="s">
        <v>806</v>
      </c>
    </row>
    <row r="516" spans="1:12" ht="24.95" customHeight="1">
      <c r="A516" s="2686">
        <v>514</v>
      </c>
      <c r="B516" s="2686" t="s">
        <v>1019</v>
      </c>
      <c r="C516" s="2689" t="s">
        <v>823</v>
      </c>
      <c r="D516" s="2686" t="str">
        <f t="shared" si="7"/>
        <v>3#地库074</v>
      </c>
      <c r="E516" s="2686" t="s">
        <v>1021</v>
      </c>
      <c r="F516" s="2686" t="s">
        <v>803</v>
      </c>
      <c r="G516" s="2686" t="s">
        <v>803</v>
      </c>
      <c r="H516" s="2688">
        <v>38.24</v>
      </c>
      <c r="I516" s="2688">
        <v>12.19</v>
      </c>
      <c r="K516" s="2690" t="s">
        <v>805</v>
      </c>
      <c r="L516" s="3484" t="s">
        <v>806</v>
      </c>
    </row>
    <row r="517" spans="1:12" ht="24.95" customHeight="1">
      <c r="A517" s="2686">
        <v>515</v>
      </c>
      <c r="B517" s="2686" t="s">
        <v>1019</v>
      </c>
      <c r="C517" s="2689" t="s">
        <v>824</v>
      </c>
      <c r="D517" s="2686" t="str">
        <f t="shared" si="7"/>
        <v>3#地库075</v>
      </c>
      <c r="E517" s="2686" t="s">
        <v>1021</v>
      </c>
      <c r="F517" s="2686" t="s">
        <v>803</v>
      </c>
      <c r="G517" s="2686" t="s">
        <v>803</v>
      </c>
      <c r="H517" s="2688">
        <v>37.89</v>
      </c>
      <c r="I517" s="2688">
        <v>12.08</v>
      </c>
      <c r="K517" s="2690" t="s">
        <v>805</v>
      </c>
      <c r="L517" s="3484" t="s">
        <v>806</v>
      </c>
    </row>
    <row r="518" spans="1:12" ht="24.95" customHeight="1">
      <c r="A518" s="2686">
        <v>516</v>
      </c>
      <c r="B518" s="2686" t="s">
        <v>1019</v>
      </c>
      <c r="C518" s="2689" t="s">
        <v>825</v>
      </c>
      <c r="D518" s="2686" t="str">
        <f t="shared" si="7"/>
        <v>3#地库076</v>
      </c>
      <c r="E518" s="2686" t="s">
        <v>1021</v>
      </c>
      <c r="F518" s="2686" t="s">
        <v>803</v>
      </c>
      <c r="G518" s="2686" t="s">
        <v>803</v>
      </c>
      <c r="H518" s="2688">
        <v>37.89</v>
      </c>
      <c r="I518" s="2688">
        <v>12.08</v>
      </c>
      <c r="K518" s="2690" t="s">
        <v>805</v>
      </c>
      <c r="L518" s="3484" t="s">
        <v>806</v>
      </c>
    </row>
    <row r="519" spans="1:12" ht="24.95" customHeight="1">
      <c r="A519" s="2686">
        <v>517</v>
      </c>
      <c r="B519" s="2686" t="s">
        <v>1019</v>
      </c>
      <c r="C519" s="2689" t="s">
        <v>1075</v>
      </c>
      <c r="D519" s="2686" t="str">
        <f t="shared" si="7"/>
        <v>3#地库077</v>
      </c>
      <c r="E519" s="2686" t="s">
        <v>1021</v>
      </c>
      <c r="F519" s="2686" t="s">
        <v>803</v>
      </c>
      <c r="G519" s="2686" t="s">
        <v>803</v>
      </c>
      <c r="H519" s="2688">
        <v>37.89</v>
      </c>
      <c r="I519" s="2688">
        <v>12.08</v>
      </c>
      <c r="K519" s="2690" t="s">
        <v>805</v>
      </c>
      <c r="L519" s="3484" t="s">
        <v>806</v>
      </c>
    </row>
    <row r="520" spans="1:12" ht="24.95" customHeight="1">
      <c r="A520" s="2686">
        <v>518</v>
      </c>
      <c r="B520" s="2686" t="s">
        <v>1019</v>
      </c>
      <c r="C520" s="2689" t="s">
        <v>1076</v>
      </c>
      <c r="D520" s="2686" t="str">
        <f t="shared" ref="D520:D583" si="8">B520&amp;C520</f>
        <v>3#地库078</v>
      </c>
      <c r="E520" s="2686" t="s">
        <v>1021</v>
      </c>
      <c r="F520" s="2686" t="s">
        <v>803</v>
      </c>
      <c r="G520" s="2686" t="s">
        <v>803</v>
      </c>
      <c r="H520" s="2688">
        <v>39.520000000000003</v>
      </c>
      <c r="I520" s="2688">
        <v>12.6</v>
      </c>
      <c r="K520" s="2690" t="s">
        <v>805</v>
      </c>
      <c r="L520" s="3484" t="s">
        <v>806</v>
      </c>
    </row>
    <row r="521" spans="1:12" ht="24.95" customHeight="1">
      <c r="A521" s="2686">
        <v>519</v>
      </c>
      <c r="B521" s="2686" t="s">
        <v>1019</v>
      </c>
      <c r="C521" s="2689" t="s">
        <v>1077</v>
      </c>
      <c r="D521" s="2686" t="str">
        <f t="shared" si="8"/>
        <v>3#地库079</v>
      </c>
      <c r="E521" s="2686" t="s">
        <v>1021</v>
      </c>
      <c r="F521" s="2686" t="s">
        <v>803</v>
      </c>
      <c r="G521" s="2686" t="s">
        <v>803</v>
      </c>
      <c r="H521" s="2688">
        <v>39.520000000000003</v>
      </c>
      <c r="I521" s="2688">
        <v>12.6</v>
      </c>
      <c r="K521" s="2690" t="s">
        <v>805</v>
      </c>
      <c r="L521" s="3484" t="s">
        <v>806</v>
      </c>
    </row>
    <row r="522" spans="1:12" ht="24.95" customHeight="1">
      <c r="A522" s="2686">
        <v>520</v>
      </c>
      <c r="B522" s="2686" t="s">
        <v>1019</v>
      </c>
      <c r="C522" s="2689" t="s">
        <v>1078</v>
      </c>
      <c r="D522" s="2686" t="str">
        <f t="shared" si="8"/>
        <v>3#地库080</v>
      </c>
      <c r="E522" s="2686" t="s">
        <v>1021</v>
      </c>
      <c r="F522" s="2686" t="s">
        <v>803</v>
      </c>
      <c r="G522" s="2686" t="s">
        <v>803</v>
      </c>
      <c r="H522" s="2688">
        <v>38.71</v>
      </c>
      <c r="I522" s="2688">
        <v>12.34</v>
      </c>
      <c r="K522" s="2690" t="s">
        <v>805</v>
      </c>
      <c r="L522" s="3484" t="s">
        <v>806</v>
      </c>
    </row>
    <row r="523" spans="1:12" ht="24.95" customHeight="1">
      <c r="A523" s="2686">
        <v>521</v>
      </c>
      <c r="B523" s="2686" t="s">
        <v>1019</v>
      </c>
      <c r="C523" s="2689" t="s">
        <v>1079</v>
      </c>
      <c r="D523" s="2686" t="str">
        <f t="shared" si="8"/>
        <v>3#地库081</v>
      </c>
      <c r="E523" s="2686" t="s">
        <v>1021</v>
      </c>
      <c r="F523" s="2686" t="s">
        <v>803</v>
      </c>
      <c r="G523" s="2686" t="s">
        <v>803</v>
      </c>
      <c r="H523" s="2688">
        <v>39.520000000000003</v>
      </c>
      <c r="I523" s="2688">
        <v>12.6</v>
      </c>
      <c r="K523" s="2690" t="s">
        <v>805</v>
      </c>
      <c r="L523" s="3484" t="s">
        <v>806</v>
      </c>
    </row>
    <row r="524" spans="1:12" ht="24.95" customHeight="1">
      <c r="A524" s="2686">
        <v>522</v>
      </c>
      <c r="B524" s="2686" t="s">
        <v>1019</v>
      </c>
      <c r="C524" s="2689" t="s">
        <v>1080</v>
      </c>
      <c r="D524" s="2686" t="str">
        <f t="shared" si="8"/>
        <v>3#地库082</v>
      </c>
      <c r="E524" s="2686" t="s">
        <v>1021</v>
      </c>
      <c r="F524" s="2686" t="s">
        <v>803</v>
      </c>
      <c r="G524" s="2686" t="s">
        <v>803</v>
      </c>
      <c r="H524" s="2688">
        <v>39.520000000000003</v>
      </c>
      <c r="I524" s="2688">
        <v>12.6</v>
      </c>
      <c r="K524" s="2690" t="s">
        <v>805</v>
      </c>
      <c r="L524" s="3484" t="s">
        <v>806</v>
      </c>
    </row>
    <row r="525" spans="1:12" ht="24.95" customHeight="1">
      <c r="A525" s="2686">
        <v>523</v>
      </c>
      <c r="B525" s="2686" t="s">
        <v>1019</v>
      </c>
      <c r="C525" s="2689" t="s">
        <v>1081</v>
      </c>
      <c r="D525" s="2686" t="str">
        <f t="shared" si="8"/>
        <v>3#地库083</v>
      </c>
      <c r="E525" s="2686" t="s">
        <v>1021</v>
      </c>
      <c r="F525" s="2686" t="s">
        <v>803</v>
      </c>
      <c r="G525" s="2686" t="s">
        <v>803</v>
      </c>
      <c r="H525" s="2688">
        <v>39.520000000000003</v>
      </c>
      <c r="I525" s="2688">
        <v>12.6</v>
      </c>
      <c r="K525" s="2690" t="s">
        <v>805</v>
      </c>
      <c r="L525" s="3484" t="s">
        <v>806</v>
      </c>
    </row>
    <row r="526" spans="1:12" ht="24.95" customHeight="1">
      <c r="A526" s="2686">
        <v>524</v>
      </c>
      <c r="B526" s="2686" t="s">
        <v>1019</v>
      </c>
      <c r="C526" s="2689" t="s">
        <v>1082</v>
      </c>
      <c r="D526" s="2686" t="str">
        <f t="shared" si="8"/>
        <v>3#地库084</v>
      </c>
      <c r="E526" s="2686" t="s">
        <v>1021</v>
      </c>
      <c r="F526" s="2686" t="s">
        <v>803</v>
      </c>
      <c r="G526" s="2686" t="s">
        <v>803</v>
      </c>
      <c r="H526" s="2688">
        <v>38.71</v>
      </c>
      <c r="I526" s="2688">
        <v>12.34</v>
      </c>
      <c r="K526" s="2690" t="s">
        <v>805</v>
      </c>
      <c r="L526" s="3484" t="s">
        <v>806</v>
      </c>
    </row>
    <row r="527" spans="1:12" ht="24.95" customHeight="1">
      <c r="A527" s="2686">
        <v>525</v>
      </c>
      <c r="B527" s="2686" t="s">
        <v>1019</v>
      </c>
      <c r="C527" s="2689" t="s">
        <v>1083</v>
      </c>
      <c r="D527" s="2686" t="str">
        <f t="shared" si="8"/>
        <v>3#地库085</v>
      </c>
      <c r="E527" s="2686" t="s">
        <v>1021</v>
      </c>
      <c r="F527" s="2686" t="s">
        <v>803</v>
      </c>
      <c r="G527" s="2686" t="s">
        <v>803</v>
      </c>
      <c r="H527" s="2688">
        <v>38.39</v>
      </c>
      <c r="I527" s="2688">
        <v>12.24</v>
      </c>
      <c r="K527" s="2690" t="s">
        <v>805</v>
      </c>
      <c r="L527" s="3484" t="s">
        <v>806</v>
      </c>
    </row>
    <row r="528" spans="1:12" ht="24.95" customHeight="1">
      <c r="A528" s="2686">
        <v>526</v>
      </c>
      <c r="B528" s="2686" t="s">
        <v>1019</v>
      </c>
      <c r="C528" s="2689" t="s">
        <v>1084</v>
      </c>
      <c r="D528" s="2686" t="str">
        <f t="shared" si="8"/>
        <v>3#地库086</v>
      </c>
      <c r="E528" s="2686" t="s">
        <v>1021</v>
      </c>
      <c r="F528" s="2686" t="s">
        <v>803</v>
      </c>
      <c r="G528" s="2686" t="s">
        <v>803</v>
      </c>
      <c r="H528" s="2688">
        <v>38.71</v>
      </c>
      <c r="I528" s="2688">
        <v>12.34</v>
      </c>
      <c r="K528" s="2690" t="s">
        <v>805</v>
      </c>
      <c r="L528" s="3484" t="s">
        <v>806</v>
      </c>
    </row>
    <row r="529" spans="1:12" ht="24.95" customHeight="1">
      <c r="A529" s="2686">
        <v>527</v>
      </c>
      <c r="B529" s="2686" t="s">
        <v>1019</v>
      </c>
      <c r="C529" s="2689" t="s">
        <v>1085</v>
      </c>
      <c r="D529" s="2686" t="str">
        <f t="shared" si="8"/>
        <v>3#地库087</v>
      </c>
      <c r="E529" s="2686" t="s">
        <v>1021</v>
      </c>
      <c r="F529" s="2686" t="s">
        <v>803</v>
      </c>
      <c r="G529" s="2686" t="s">
        <v>803</v>
      </c>
      <c r="H529" s="2688">
        <v>39.520000000000003</v>
      </c>
      <c r="I529" s="2688">
        <v>12.6</v>
      </c>
      <c r="K529" s="2690" t="s">
        <v>805</v>
      </c>
      <c r="L529" s="3484" t="s">
        <v>806</v>
      </c>
    </row>
    <row r="530" spans="1:12" ht="24.95" customHeight="1">
      <c r="A530" s="2686">
        <v>528</v>
      </c>
      <c r="B530" s="2686" t="s">
        <v>1019</v>
      </c>
      <c r="C530" s="2689" t="s">
        <v>1086</v>
      </c>
      <c r="D530" s="2686" t="str">
        <f t="shared" si="8"/>
        <v>3#地库088</v>
      </c>
      <c r="E530" s="2686" t="s">
        <v>1021</v>
      </c>
      <c r="F530" s="2686" t="s">
        <v>803</v>
      </c>
      <c r="G530" s="2686" t="s">
        <v>803</v>
      </c>
      <c r="H530" s="2688">
        <v>39.520000000000003</v>
      </c>
      <c r="I530" s="2688">
        <v>12.6</v>
      </c>
      <c r="K530" s="2690" t="s">
        <v>805</v>
      </c>
      <c r="L530" s="3484" t="s">
        <v>806</v>
      </c>
    </row>
    <row r="531" spans="1:12" ht="24.95" customHeight="1">
      <c r="A531" s="2686">
        <v>529</v>
      </c>
      <c r="B531" s="2686" t="s">
        <v>1019</v>
      </c>
      <c r="C531" s="2689" t="s">
        <v>1087</v>
      </c>
      <c r="D531" s="2686" t="str">
        <f t="shared" si="8"/>
        <v>3#地库089</v>
      </c>
      <c r="E531" s="2686" t="s">
        <v>1021</v>
      </c>
      <c r="F531" s="2686" t="s">
        <v>803</v>
      </c>
      <c r="G531" s="2686" t="s">
        <v>803</v>
      </c>
      <c r="H531" s="2688">
        <v>39.520000000000003</v>
      </c>
      <c r="I531" s="2688">
        <v>12.6</v>
      </c>
      <c r="K531" s="2690" t="s">
        <v>805</v>
      </c>
      <c r="L531" s="3484" t="s">
        <v>806</v>
      </c>
    </row>
    <row r="532" spans="1:12" ht="24.95" customHeight="1">
      <c r="A532" s="2686">
        <v>530</v>
      </c>
      <c r="B532" s="2686" t="s">
        <v>1019</v>
      </c>
      <c r="C532" s="2689" t="s">
        <v>1088</v>
      </c>
      <c r="D532" s="2686" t="str">
        <f t="shared" si="8"/>
        <v>3#地库090</v>
      </c>
      <c r="E532" s="2686" t="s">
        <v>1021</v>
      </c>
      <c r="F532" s="2686" t="s">
        <v>803</v>
      </c>
      <c r="G532" s="2686" t="s">
        <v>803</v>
      </c>
      <c r="H532" s="2688">
        <v>38.71</v>
      </c>
      <c r="I532" s="2688">
        <v>12.34</v>
      </c>
      <c r="K532" s="2690" t="s">
        <v>805</v>
      </c>
      <c r="L532" s="3484" t="s">
        <v>806</v>
      </c>
    </row>
    <row r="533" spans="1:12" ht="24.95" customHeight="1">
      <c r="A533" s="2686">
        <v>531</v>
      </c>
      <c r="B533" s="2686" t="s">
        <v>1019</v>
      </c>
      <c r="C533" s="2689" t="s">
        <v>1089</v>
      </c>
      <c r="D533" s="2686" t="str">
        <f t="shared" si="8"/>
        <v>3#地库091</v>
      </c>
      <c r="E533" s="2686" t="s">
        <v>1021</v>
      </c>
      <c r="F533" s="2686" t="s">
        <v>803</v>
      </c>
      <c r="G533" s="2686" t="s">
        <v>803</v>
      </c>
      <c r="H533" s="2688">
        <v>39.520000000000003</v>
      </c>
      <c r="I533" s="2688">
        <v>12.6</v>
      </c>
      <c r="K533" s="2690" t="s">
        <v>805</v>
      </c>
      <c r="L533" s="3484" t="s">
        <v>806</v>
      </c>
    </row>
    <row r="534" spans="1:12" ht="24.95" customHeight="1">
      <c r="A534" s="2686">
        <v>532</v>
      </c>
      <c r="B534" s="2686" t="s">
        <v>1019</v>
      </c>
      <c r="C534" s="2689" t="s">
        <v>1090</v>
      </c>
      <c r="D534" s="2686" t="str">
        <f t="shared" si="8"/>
        <v>3#地库092</v>
      </c>
      <c r="E534" s="2686" t="s">
        <v>1021</v>
      </c>
      <c r="F534" s="2686" t="s">
        <v>803</v>
      </c>
      <c r="G534" s="2686" t="s">
        <v>803</v>
      </c>
      <c r="H534" s="2688">
        <v>39.520000000000003</v>
      </c>
      <c r="I534" s="2688">
        <v>12.6</v>
      </c>
      <c r="K534" s="2690" t="s">
        <v>805</v>
      </c>
      <c r="L534" s="3484" t="s">
        <v>806</v>
      </c>
    </row>
    <row r="535" spans="1:12" ht="24.95" customHeight="1">
      <c r="A535" s="2686">
        <v>533</v>
      </c>
      <c r="B535" s="2686" t="s">
        <v>1019</v>
      </c>
      <c r="C535" s="2689" t="s">
        <v>1091</v>
      </c>
      <c r="D535" s="2686" t="str">
        <f t="shared" si="8"/>
        <v>3#地库093</v>
      </c>
      <c r="E535" s="2686" t="s">
        <v>1021</v>
      </c>
      <c r="F535" s="2686" t="s">
        <v>803</v>
      </c>
      <c r="G535" s="2686" t="s">
        <v>803</v>
      </c>
      <c r="H535" s="2688">
        <v>37.89</v>
      </c>
      <c r="I535" s="2688">
        <v>12.08</v>
      </c>
      <c r="K535" s="2690" t="s">
        <v>805</v>
      </c>
      <c r="L535" s="3484" t="s">
        <v>806</v>
      </c>
    </row>
    <row r="536" spans="1:12" ht="24.95" customHeight="1">
      <c r="A536" s="2686">
        <v>534</v>
      </c>
      <c r="B536" s="2686" t="s">
        <v>1019</v>
      </c>
      <c r="C536" s="2689" t="s">
        <v>1092</v>
      </c>
      <c r="D536" s="2686" t="str">
        <f t="shared" si="8"/>
        <v>3#地库094</v>
      </c>
      <c r="E536" s="2686" t="s">
        <v>1021</v>
      </c>
      <c r="F536" s="2686" t="s">
        <v>803</v>
      </c>
      <c r="G536" s="2686" t="s">
        <v>803</v>
      </c>
      <c r="H536" s="2688">
        <v>37.89</v>
      </c>
      <c r="I536" s="2688">
        <v>12.08</v>
      </c>
      <c r="K536" s="2690" t="s">
        <v>805</v>
      </c>
      <c r="L536" s="3484" t="s">
        <v>806</v>
      </c>
    </row>
    <row r="537" spans="1:12" ht="24.95" customHeight="1">
      <c r="A537" s="2686">
        <v>535</v>
      </c>
      <c r="B537" s="2686" t="s">
        <v>1019</v>
      </c>
      <c r="C537" s="2689" t="s">
        <v>1093</v>
      </c>
      <c r="D537" s="2686" t="str">
        <f t="shared" si="8"/>
        <v>3#地库095</v>
      </c>
      <c r="E537" s="2686" t="s">
        <v>1021</v>
      </c>
      <c r="F537" s="2686" t="s">
        <v>803</v>
      </c>
      <c r="G537" s="2686" t="s">
        <v>803</v>
      </c>
      <c r="H537" s="2688">
        <v>37.89</v>
      </c>
      <c r="I537" s="2688">
        <v>12.08</v>
      </c>
      <c r="K537" s="2690" t="s">
        <v>805</v>
      </c>
      <c r="L537" s="3484" t="s">
        <v>806</v>
      </c>
    </row>
    <row r="538" spans="1:12" ht="24.95" customHeight="1">
      <c r="A538" s="2686">
        <v>536</v>
      </c>
      <c r="B538" s="2686" t="s">
        <v>1019</v>
      </c>
      <c r="C538" s="2689" t="s">
        <v>1094</v>
      </c>
      <c r="D538" s="2686" t="str">
        <f t="shared" si="8"/>
        <v>3#地库096</v>
      </c>
      <c r="E538" s="2686" t="s">
        <v>1021</v>
      </c>
      <c r="F538" s="2686" t="s">
        <v>803</v>
      </c>
      <c r="G538" s="2686" t="s">
        <v>803</v>
      </c>
      <c r="H538" s="2688">
        <v>41.4</v>
      </c>
      <c r="I538" s="2688">
        <v>13.2</v>
      </c>
      <c r="K538" s="2690" t="s">
        <v>805</v>
      </c>
      <c r="L538" s="3484" t="s">
        <v>806</v>
      </c>
    </row>
    <row r="539" spans="1:12" ht="24.95" customHeight="1">
      <c r="A539" s="2686">
        <v>537</v>
      </c>
      <c r="B539" s="2686" t="s">
        <v>1019</v>
      </c>
      <c r="C539" s="2689" t="s">
        <v>1095</v>
      </c>
      <c r="D539" s="2686" t="str">
        <f t="shared" si="8"/>
        <v>3#地库097</v>
      </c>
      <c r="E539" s="2686" t="s">
        <v>1021</v>
      </c>
      <c r="F539" s="2686" t="s">
        <v>803</v>
      </c>
      <c r="G539" s="2686" t="s">
        <v>803</v>
      </c>
      <c r="H539" s="2688">
        <v>41.4</v>
      </c>
      <c r="I539" s="2688">
        <v>13.2</v>
      </c>
      <c r="K539" s="2690" t="s">
        <v>805</v>
      </c>
      <c r="L539" s="3484" t="s">
        <v>806</v>
      </c>
    </row>
    <row r="540" spans="1:12" ht="24.95" customHeight="1">
      <c r="A540" s="2686">
        <v>538</v>
      </c>
      <c r="B540" s="2686" t="s">
        <v>1019</v>
      </c>
      <c r="C540" s="2689" t="s">
        <v>1096</v>
      </c>
      <c r="D540" s="2686" t="str">
        <f t="shared" si="8"/>
        <v>3#地库098</v>
      </c>
      <c r="E540" s="2686" t="s">
        <v>1021</v>
      </c>
      <c r="F540" s="2686" t="s">
        <v>803</v>
      </c>
      <c r="G540" s="2686" t="s">
        <v>803</v>
      </c>
      <c r="H540" s="2688">
        <v>38.770000000000003</v>
      </c>
      <c r="I540" s="2688">
        <v>12.36</v>
      </c>
      <c r="K540" s="2690" t="s">
        <v>805</v>
      </c>
      <c r="L540" s="3484" t="s">
        <v>806</v>
      </c>
    </row>
    <row r="541" spans="1:12" ht="24.95" customHeight="1">
      <c r="A541" s="2686">
        <v>539</v>
      </c>
      <c r="B541" s="2686" t="s">
        <v>1019</v>
      </c>
      <c r="C541" s="2689" t="s">
        <v>1097</v>
      </c>
      <c r="D541" s="2686" t="str">
        <f t="shared" si="8"/>
        <v>3#地库099</v>
      </c>
      <c r="E541" s="2686" t="s">
        <v>1021</v>
      </c>
      <c r="F541" s="2686" t="s">
        <v>803</v>
      </c>
      <c r="G541" s="2686" t="s">
        <v>803</v>
      </c>
      <c r="H541" s="2688">
        <v>38.770000000000003</v>
      </c>
      <c r="I541" s="2688">
        <v>12.36</v>
      </c>
      <c r="K541" s="2690" t="s">
        <v>805</v>
      </c>
      <c r="L541" s="3484" t="s">
        <v>806</v>
      </c>
    </row>
    <row r="542" spans="1:12" ht="24.95" customHeight="1">
      <c r="A542" s="2686">
        <v>540</v>
      </c>
      <c r="B542" s="2686" t="s">
        <v>1019</v>
      </c>
      <c r="C542" s="2689" t="s">
        <v>1098</v>
      </c>
      <c r="D542" s="2686" t="str">
        <f t="shared" si="8"/>
        <v>3#地库100</v>
      </c>
      <c r="E542" s="2686" t="s">
        <v>1021</v>
      </c>
      <c r="F542" s="2686" t="s">
        <v>803</v>
      </c>
      <c r="G542" s="2686" t="s">
        <v>803</v>
      </c>
      <c r="H542" s="2688">
        <v>37.950000000000003</v>
      </c>
      <c r="I542" s="2688">
        <v>12.1</v>
      </c>
      <c r="K542" s="2690" t="s">
        <v>805</v>
      </c>
      <c r="L542" s="3484" t="s">
        <v>806</v>
      </c>
    </row>
    <row r="543" spans="1:12" ht="24.95" customHeight="1">
      <c r="A543" s="2686">
        <v>541</v>
      </c>
      <c r="B543" s="2686" t="s">
        <v>1019</v>
      </c>
      <c r="C543" s="2689" t="s">
        <v>1099</v>
      </c>
      <c r="D543" s="2686" t="str">
        <f t="shared" si="8"/>
        <v>3#地库101</v>
      </c>
      <c r="E543" s="2686" t="s">
        <v>1021</v>
      </c>
      <c r="F543" s="2686" t="s">
        <v>803</v>
      </c>
      <c r="G543" s="2686" t="s">
        <v>803</v>
      </c>
      <c r="H543" s="2688">
        <v>37.950000000000003</v>
      </c>
      <c r="I543" s="2688">
        <v>12.1</v>
      </c>
      <c r="K543" s="2690" t="s">
        <v>805</v>
      </c>
      <c r="L543" s="3484" t="s">
        <v>806</v>
      </c>
    </row>
    <row r="544" spans="1:12" ht="24.95" customHeight="1">
      <c r="A544" s="2691">
        <v>542</v>
      </c>
      <c r="B544" s="2691" t="s">
        <v>1019</v>
      </c>
      <c r="C544" s="2692" t="s">
        <v>1100</v>
      </c>
      <c r="D544" s="2691" t="str">
        <f t="shared" si="8"/>
        <v>3#地库102</v>
      </c>
      <c r="E544" s="2691" t="s">
        <v>1021</v>
      </c>
      <c r="F544" s="2691" t="s">
        <v>803</v>
      </c>
      <c r="G544" s="2691" t="s">
        <v>803</v>
      </c>
      <c r="H544" s="2693">
        <v>78.89</v>
      </c>
      <c r="I544" s="2693">
        <v>25.15</v>
      </c>
      <c r="K544" s="2690" t="s">
        <v>1054</v>
      </c>
      <c r="L544" s="3484" t="s">
        <v>806</v>
      </c>
    </row>
    <row r="545" spans="1:12" ht="24.95" customHeight="1">
      <c r="A545" s="2691">
        <v>543</v>
      </c>
      <c r="B545" s="2691" t="s">
        <v>1019</v>
      </c>
      <c r="C545" s="2692" t="s">
        <v>1101</v>
      </c>
      <c r="D545" s="2691" t="str">
        <f t="shared" si="8"/>
        <v>3#地库103</v>
      </c>
      <c r="E545" s="2691" t="s">
        <v>1021</v>
      </c>
      <c r="F545" s="2691" t="s">
        <v>803</v>
      </c>
      <c r="G545" s="2691" t="s">
        <v>803</v>
      </c>
      <c r="H545" s="2693">
        <v>77.569999999999993</v>
      </c>
      <c r="I545" s="2693">
        <v>24.73</v>
      </c>
      <c r="K545" s="2690" t="s">
        <v>1054</v>
      </c>
      <c r="L545" s="3484" t="s">
        <v>806</v>
      </c>
    </row>
    <row r="546" spans="1:12" ht="24.95" customHeight="1">
      <c r="A546" s="2686">
        <v>544</v>
      </c>
      <c r="B546" s="2686" t="s">
        <v>1019</v>
      </c>
      <c r="C546" s="2689" t="s">
        <v>1102</v>
      </c>
      <c r="D546" s="2686" t="str">
        <f t="shared" si="8"/>
        <v>3#地库104</v>
      </c>
      <c r="E546" s="2686" t="s">
        <v>1021</v>
      </c>
      <c r="F546" s="2686" t="s">
        <v>803</v>
      </c>
      <c r="G546" s="2686" t="s">
        <v>803</v>
      </c>
      <c r="H546" s="2688">
        <v>39.14</v>
      </c>
      <c r="I546" s="2688">
        <v>12.48</v>
      </c>
      <c r="K546" s="2690" t="s">
        <v>805</v>
      </c>
      <c r="L546" s="3484" t="s">
        <v>806</v>
      </c>
    </row>
    <row r="547" spans="1:12" ht="24.95" customHeight="1">
      <c r="A547" s="2686">
        <v>545</v>
      </c>
      <c r="B547" s="2686" t="s">
        <v>1019</v>
      </c>
      <c r="C547" s="2689" t="s">
        <v>1103</v>
      </c>
      <c r="D547" s="2686" t="str">
        <f t="shared" si="8"/>
        <v>3#地库105</v>
      </c>
      <c r="E547" s="2686" t="s">
        <v>1021</v>
      </c>
      <c r="F547" s="2686" t="s">
        <v>803</v>
      </c>
      <c r="G547" s="2686" t="s">
        <v>803</v>
      </c>
      <c r="H547" s="2688">
        <v>39.14</v>
      </c>
      <c r="I547" s="2688">
        <v>12.48</v>
      </c>
      <c r="K547" s="2690" t="s">
        <v>805</v>
      </c>
      <c r="L547" s="3484" t="s">
        <v>806</v>
      </c>
    </row>
    <row r="548" spans="1:12" ht="24.95" customHeight="1">
      <c r="A548" s="2686">
        <v>546</v>
      </c>
      <c r="B548" s="2686" t="s">
        <v>1019</v>
      </c>
      <c r="C548" s="2689" t="s">
        <v>826</v>
      </c>
      <c r="D548" s="2686" t="str">
        <f t="shared" si="8"/>
        <v>3#地库106</v>
      </c>
      <c r="E548" s="2686" t="s">
        <v>1021</v>
      </c>
      <c r="F548" s="2686" t="s">
        <v>803</v>
      </c>
      <c r="G548" s="2686" t="s">
        <v>803</v>
      </c>
      <c r="H548" s="2688">
        <v>38.39</v>
      </c>
      <c r="I548" s="2688">
        <v>12.24</v>
      </c>
      <c r="K548" s="2690" t="s">
        <v>805</v>
      </c>
      <c r="L548" s="3484" t="s">
        <v>806</v>
      </c>
    </row>
    <row r="549" spans="1:12" ht="24.95" customHeight="1">
      <c r="A549" s="2686">
        <v>547</v>
      </c>
      <c r="B549" s="2686" t="s">
        <v>1019</v>
      </c>
      <c r="C549" s="2689" t="s">
        <v>1104</v>
      </c>
      <c r="D549" s="2686" t="str">
        <f t="shared" si="8"/>
        <v>3#地库107</v>
      </c>
      <c r="E549" s="2686" t="s">
        <v>1021</v>
      </c>
      <c r="F549" s="2686" t="s">
        <v>803</v>
      </c>
      <c r="G549" s="2686" t="s">
        <v>803</v>
      </c>
      <c r="H549" s="2688">
        <v>37.61</v>
      </c>
      <c r="I549" s="2688">
        <v>11.99</v>
      </c>
      <c r="K549" s="2690" t="s">
        <v>805</v>
      </c>
      <c r="L549" s="3484" t="s">
        <v>806</v>
      </c>
    </row>
    <row r="550" spans="1:12" ht="24.95" customHeight="1">
      <c r="A550" s="2686">
        <v>548</v>
      </c>
      <c r="B550" s="2686" t="s">
        <v>1019</v>
      </c>
      <c r="C550" s="2689" t="s">
        <v>1105</v>
      </c>
      <c r="D550" s="2686" t="str">
        <f t="shared" si="8"/>
        <v>3#地库108</v>
      </c>
      <c r="E550" s="2686" t="s">
        <v>1021</v>
      </c>
      <c r="F550" s="2686" t="s">
        <v>803</v>
      </c>
      <c r="G550" s="2686" t="s">
        <v>803</v>
      </c>
      <c r="H550" s="2688">
        <v>36.79</v>
      </c>
      <c r="I550" s="2688">
        <v>11.73</v>
      </c>
      <c r="K550" s="2690" t="s">
        <v>805</v>
      </c>
      <c r="L550" s="3484" t="s">
        <v>806</v>
      </c>
    </row>
    <row r="551" spans="1:12" ht="24.95" customHeight="1">
      <c r="A551" s="2686">
        <v>549</v>
      </c>
      <c r="B551" s="2686" t="s">
        <v>1019</v>
      </c>
      <c r="C551" s="2689" t="s">
        <v>1106</v>
      </c>
      <c r="D551" s="2686" t="str">
        <f t="shared" si="8"/>
        <v>3#地库109</v>
      </c>
      <c r="E551" s="2686" t="s">
        <v>1021</v>
      </c>
      <c r="F551" s="2686" t="s">
        <v>803</v>
      </c>
      <c r="G551" s="2686" t="s">
        <v>803</v>
      </c>
      <c r="H551" s="2688">
        <v>38.71</v>
      </c>
      <c r="I551" s="2688">
        <v>12.34</v>
      </c>
      <c r="K551" s="2690" t="s">
        <v>805</v>
      </c>
      <c r="L551" s="3484" t="s">
        <v>806</v>
      </c>
    </row>
    <row r="552" spans="1:12" ht="24.95" customHeight="1">
      <c r="A552" s="2686">
        <v>550</v>
      </c>
      <c r="B552" s="2686" t="s">
        <v>1019</v>
      </c>
      <c r="C552" s="2689" t="s">
        <v>1107</v>
      </c>
      <c r="D552" s="2686" t="str">
        <f t="shared" si="8"/>
        <v>3#地库110</v>
      </c>
      <c r="E552" s="2686" t="s">
        <v>1021</v>
      </c>
      <c r="F552" s="2686" t="s">
        <v>803</v>
      </c>
      <c r="G552" s="2686" t="s">
        <v>803</v>
      </c>
      <c r="H552" s="2688">
        <v>38.71</v>
      </c>
      <c r="I552" s="2688">
        <v>12.34</v>
      </c>
      <c r="K552" s="2690" t="s">
        <v>805</v>
      </c>
      <c r="L552" s="3484" t="s">
        <v>806</v>
      </c>
    </row>
    <row r="553" spans="1:12" ht="24.95" customHeight="1">
      <c r="A553" s="2686">
        <v>551</v>
      </c>
      <c r="B553" s="2686" t="s">
        <v>1019</v>
      </c>
      <c r="C553" s="2689" t="s">
        <v>1108</v>
      </c>
      <c r="D553" s="2686" t="str">
        <f t="shared" si="8"/>
        <v>3#地库111</v>
      </c>
      <c r="E553" s="2686" t="s">
        <v>1021</v>
      </c>
      <c r="F553" s="2686" t="s">
        <v>803</v>
      </c>
      <c r="G553" s="2686" t="s">
        <v>803</v>
      </c>
      <c r="H553" s="2688">
        <v>38.71</v>
      </c>
      <c r="I553" s="2688">
        <v>12.34</v>
      </c>
      <c r="K553" s="2690" t="s">
        <v>805</v>
      </c>
      <c r="L553" s="3484" t="s">
        <v>806</v>
      </c>
    </row>
    <row r="554" spans="1:12" ht="24.95" customHeight="1">
      <c r="A554" s="2686">
        <v>552</v>
      </c>
      <c r="B554" s="2686" t="s">
        <v>1019</v>
      </c>
      <c r="C554" s="2689" t="s">
        <v>1109</v>
      </c>
      <c r="D554" s="2686" t="str">
        <f t="shared" si="8"/>
        <v>3#地库112</v>
      </c>
      <c r="E554" s="2686" t="s">
        <v>1021</v>
      </c>
      <c r="F554" s="2686" t="s">
        <v>803</v>
      </c>
      <c r="G554" s="2686" t="s">
        <v>803</v>
      </c>
      <c r="H554" s="2688">
        <v>38.770000000000003</v>
      </c>
      <c r="I554" s="2688">
        <v>12.36</v>
      </c>
      <c r="K554" s="2690" t="s">
        <v>805</v>
      </c>
      <c r="L554" s="3484" t="s">
        <v>806</v>
      </c>
    </row>
    <row r="555" spans="1:12" ht="24.95" customHeight="1">
      <c r="A555" s="2686">
        <v>553</v>
      </c>
      <c r="B555" s="2686" t="s">
        <v>1019</v>
      </c>
      <c r="C555" s="2689" t="s">
        <v>1110</v>
      </c>
      <c r="D555" s="2686" t="str">
        <f t="shared" si="8"/>
        <v>3#地库113</v>
      </c>
      <c r="E555" s="2686" t="s">
        <v>1021</v>
      </c>
      <c r="F555" s="2686" t="s">
        <v>803</v>
      </c>
      <c r="G555" s="2686" t="s">
        <v>803</v>
      </c>
      <c r="H555" s="2688">
        <v>38.770000000000003</v>
      </c>
      <c r="I555" s="2688">
        <v>12.36</v>
      </c>
      <c r="K555" s="2690" t="s">
        <v>805</v>
      </c>
      <c r="L555" s="3484" t="s">
        <v>806</v>
      </c>
    </row>
    <row r="556" spans="1:12" ht="24.95" customHeight="1">
      <c r="A556" s="2691">
        <v>554</v>
      </c>
      <c r="B556" s="2691" t="s">
        <v>1019</v>
      </c>
      <c r="C556" s="2692" t="s">
        <v>827</v>
      </c>
      <c r="D556" s="2691" t="str">
        <f t="shared" si="8"/>
        <v>3#地库114</v>
      </c>
      <c r="E556" s="2691" t="s">
        <v>1021</v>
      </c>
      <c r="F556" s="2691" t="s">
        <v>803</v>
      </c>
      <c r="G556" s="2691" t="s">
        <v>803</v>
      </c>
      <c r="H556" s="2693">
        <v>77.540000000000006</v>
      </c>
      <c r="I556" s="2693">
        <v>24.72</v>
      </c>
      <c r="K556" s="2690" t="s">
        <v>1054</v>
      </c>
      <c r="L556" s="3484" t="s">
        <v>806</v>
      </c>
    </row>
    <row r="557" spans="1:12" ht="24.95" customHeight="1">
      <c r="A557" s="2691">
        <v>555</v>
      </c>
      <c r="B557" s="2691" t="s">
        <v>1019</v>
      </c>
      <c r="C557" s="2692" t="s">
        <v>1111</v>
      </c>
      <c r="D557" s="2691" t="str">
        <f t="shared" si="8"/>
        <v>3#地库115</v>
      </c>
      <c r="E557" s="2691" t="s">
        <v>1021</v>
      </c>
      <c r="F557" s="2691" t="s">
        <v>803</v>
      </c>
      <c r="G557" s="2691" t="s">
        <v>803</v>
      </c>
      <c r="H557" s="2693">
        <v>77.16</v>
      </c>
      <c r="I557" s="2693">
        <v>24.6</v>
      </c>
      <c r="K557" s="2690" t="s">
        <v>1054</v>
      </c>
      <c r="L557" s="3484" t="s">
        <v>806</v>
      </c>
    </row>
    <row r="558" spans="1:12" ht="24.95" customHeight="1">
      <c r="A558" s="2686">
        <v>556</v>
      </c>
      <c r="B558" s="2686" t="s">
        <v>1019</v>
      </c>
      <c r="C558" s="2689" t="s">
        <v>1112</v>
      </c>
      <c r="D558" s="2686" t="str">
        <f t="shared" si="8"/>
        <v>3#地库116</v>
      </c>
      <c r="E558" s="2686" t="s">
        <v>1021</v>
      </c>
      <c r="F558" s="2686" t="s">
        <v>803</v>
      </c>
      <c r="G558" s="2686" t="s">
        <v>803</v>
      </c>
      <c r="H558" s="2688">
        <v>38.770000000000003</v>
      </c>
      <c r="I558" s="2688">
        <v>12.36</v>
      </c>
      <c r="K558" s="2690" t="s">
        <v>805</v>
      </c>
      <c r="L558" s="3484" t="s">
        <v>806</v>
      </c>
    </row>
    <row r="559" spans="1:12" ht="24.95" customHeight="1">
      <c r="A559" s="2686">
        <v>557</v>
      </c>
      <c r="B559" s="2686" t="s">
        <v>1019</v>
      </c>
      <c r="C559" s="2689" t="s">
        <v>828</v>
      </c>
      <c r="D559" s="2686" t="str">
        <f t="shared" si="8"/>
        <v>3#地库117</v>
      </c>
      <c r="E559" s="2686" t="s">
        <v>1021</v>
      </c>
      <c r="F559" s="2686" t="s">
        <v>803</v>
      </c>
      <c r="G559" s="2686" t="s">
        <v>803</v>
      </c>
      <c r="H559" s="2688">
        <v>37.950000000000003</v>
      </c>
      <c r="I559" s="2688">
        <v>12.1</v>
      </c>
      <c r="K559" s="2690" t="s">
        <v>805</v>
      </c>
      <c r="L559" s="3484" t="s">
        <v>806</v>
      </c>
    </row>
    <row r="560" spans="1:12" ht="24.95" customHeight="1">
      <c r="A560" s="2686">
        <v>558</v>
      </c>
      <c r="B560" s="2686" t="s">
        <v>1019</v>
      </c>
      <c r="C560" s="2689" t="s">
        <v>829</v>
      </c>
      <c r="D560" s="2686" t="str">
        <f t="shared" si="8"/>
        <v>3#地库118</v>
      </c>
      <c r="E560" s="2686" t="s">
        <v>1021</v>
      </c>
      <c r="F560" s="2686" t="s">
        <v>803</v>
      </c>
      <c r="G560" s="2686" t="s">
        <v>803</v>
      </c>
      <c r="H560" s="2688">
        <v>39.58</v>
      </c>
      <c r="I560" s="2688">
        <v>12.62</v>
      </c>
      <c r="K560" s="2690" t="s">
        <v>805</v>
      </c>
      <c r="L560" s="3484" t="s">
        <v>806</v>
      </c>
    </row>
    <row r="561" spans="1:12" ht="24.95" customHeight="1">
      <c r="A561" s="2686">
        <v>559</v>
      </c>
      <c r="B561" s="2686" t="s">
        <v>1019</v>
      </c>
      <c r="C561" s="2689" t="s">
        <v>830</v>
      </c>
      <c r="D561" s="2686" t="str">
        <f t="shared" si="8"/>
        <v>3#地库119</v>
      </c>
      <c r="E561" s="2686" t="s">
        <v>1021</v>
      </c>
      <c r="F561" s="2686" t="s">
        <v>803</v>
      </c>
      <c r="G561" s="2686" t="s">
        <v>803</v>
      </c>
      <c r="H561" s="2688">
        <v>37.950000000000003</v>
      </c>
      <c r="I561" s="2688">
        <v>12.1</v>
      </c>
      <c r="K561" s="2690" t="s">
        <v>805</v>
      </c>
      <c r="L561" s="3484" t="s">
        <v>806</v>
      </c>
    </row>
    <row r="562" spans="1:12" ht="24.95" customHeight="1">
      <c r="A562" s="2686">
        <v>560</v>
      </c>
      <c r="B562" s="2686" t="s">
        <v>1019</v>
      </c>
      <c r="C562" s="2689" t="s">
        <v>831</v>
      </c>
      <c r="D562" s="2686" t="str">
        <f t="shared" si="8"/>
        <v>3#地库120</v>
      </c>
      <c r="E562" s="2686" t="s">
        <v>1021</v>
      </c>
      <c r="F562" s="2686" t="s">
        <v>803</v>
      </c>
      <c r="G562" s="2686" t="s">
        <v>803</v>
      </c>
      <c r="H562" s="2688">
        <v>38.770000000000003</v>
      </c>
      <c r="I562" s="2688">
        <v>12.36</v>
      </c>
      <c r="K562" s="2690" t="s">
        <v>805</v>
      </c>
      <c r="L562" s="3484" t="s">
        <v>806</v>
      </c>
    </row>
    <row r="563" spans="1:12" ht="24.95" customHeight="1">
      <c r="A563" s="2686">
        <v>561</v>
      </c>
      <c r="B563" s="2686" t="s">
        <v>1019</v>
      </c>
      <c r="C563" s="2689" t="s">
        <v>1113</v>
      </c>
      <c r="D563" s="2686" t="str">
        <f t="shared" si="8"/>
        <v>3#地库121</v>
      </c>
      <c r="E563" s="2686" t="s">
        <v>1021</v>
      </c>
      <c r="F563" s="2686" t="s">
        <v>803</v>
      </c>
      <c r="G563" s="2686" t="s">
        <v>803</v>
      </c>
      <c r="H563" s="2688">
        <v>38.770000000000003</v>
      </c>
      <c r="I563" s="2688">
        <v>12.36</v>
      </c>
      <c r="K563" s="2690" t="s">
        <v>805</v>
      </c>
      <c r="L563" s="3484" t="s">
        <v>806</v>
      </c>
    </row>
    <row r="564" spans="1:12" ht="24.95" customHeight="1">
      <c r="A564" s="2686">
        <v>562</v>
      </c>
      <c r="B564" s="2686" t="s">
        <v>1019</v>
      </c>
      <c r="C564" s="2689" t="s">
        <v>1114</v>
      </c>
      <c r="D564" s="2686" t="str">
        <f t="shared" si="8"/>
        <v>3#地库122</v>
      </c>
      <c r="E564" s="2686" t="s">
        <v>1021</v>
      </c>
      <c r="F564" s="2686" t="s">
        <v>803</v>
      </c>
      <c r="G564" s="2686" t="s">
        <v>803</v>
      </c>
      <c r="H564" s="2688">
        <v>38.770000000000003</v>
      </c>
      <c r="I564" s="2688">
        <v>12.36</v>
      </c>
      <c r="K564" s="2690" t="s">
        <v>805</v>
      </c>
      <c r="L564" s="3484" t="s">
        <v>806</v>
      </c>
    </row>
    <row r="565" spans="1:12" ht="24.95" customHeight="1">
      <c r="A565" s="2686">
        <v>563</v>
      </c>
      <c r="B565" s="2686" t="s">
        <v>1019</v>
      </c>
      <c r="C565" s="2689" t="s">
        <v>832</v>
      </c>
      <c r="D565" s="2686" t="str">
        <f t="shared" si="8"/>
        <v>3#地库123</v>
      </c>
      <c r="E565" s="2686" t="s">
        <v>1021</v>
      </c>
      <c r="F565" s="2686" t="s">
        <v>803</v>
      </c>
      <c r="G565" s="2686" t="s">
        <v>803</v>
      </c>
      <c r="H565" s="2688">
        <v>38.770000000000003</v>
      </c>
      <c r="I565" s="2688">
        <v>12.36</v>
      </c>
      <c r="K565" s="2690" t="s">
        <v>805</v>
      </c>
      <c r="L565" s="3484" t="s">
        <v>806</v>
      </c>
    </row>
    <row r="566" spans="1:12" ht="24.95" customHeight="1">
      <c r="A566" s="2686">
        <v>564</v>
      </c>
      <c r="B566" s="2686" t="s">
        <v>1019</v>
      </c>
      <c r="C566" s="2689" t="s">
        <v>833</v>
      </c>
      <c r="D566" s="2686" t="str">
        <f t="shared" si="8"/>
        <v>3#地库124</v>
      </c>
      <c r="E566" s="2686" t="s">
        <v>1021</v>
      </c>
      <c r="F566" s="2686" t="s">
        <v>803</v>
      </c>
      <c r="G566" s="2686" t="s">
        <v>803</v>
      </c>
      <c r="H566" s="2688">
        <v>38.770000000000003</v>
      </c>
      <c r="I566" s="2688">
        <v>12.36</v>
      </c>
      <c r="K566" s="2690" t="s">
        <v>805</v>
      </c>
      <c r="L566" s="3484" t="s">
        <v>806</v>
      </c>
    </row>
    <row r="567" spans="1:12" ht="24.95" customHeight="1">
      <c r="A567" s="2686">
        <v>565</v>
      </c>
      <c r="B567" s="2686" t="s">
        <v>1019</v>
      </c>
      <c r="C567" s="2689" t="s">
        <v>1115</v>
      </c>
      <c r="D567" s="2686" t="str">
        <f t="shared" si="8"/>
        <v>3#地库125</v>
      </c>
      <c r="E567" s="2686" t="s">
        <v>1021</v>
      </c>
      <c r="F567" s="2686" t="s">
        <v>803</v>
      </c>
      <c r="G567" s="2686" t="s">
        <v>803</v>
      </c>
      <c r="H567" s="2688">
        <v>38.39</v>
      </c>
      <c r="I567" s="2688">
        <v>12.24</v>
      </c>
      <c r="K567" s="2690" t="s">
        <v>805</v>
      </c>
      <c r="L567" s="3484" t="s">
        <v>806</v>
      </c>
    </row>
    <row r="568" spans="1:12" ht="24.95" customHeight="1">
      <c r="A568" s="2686">
        <v>566</v>
      </c>
      <c r="B568" s="2686" t="s">
        <v>1019</v>
      </c>
      <c r="C568" s="2689" t="s">
        <v>834</v>
      </c>
      <c r="D568" s="2686" t="str">
        <f t="shared" si="8"/>
        <v>3#地库126</v>
      </c>
      <c r="E568" s="2686" t="s">
        <v>1021</v>
      </c>
      <c r="F568" s="2686" t="s">
        <v>803</v>
      </c>
      <c r="G568" s="2686" t="s">
        <v>803</v>
      </c>
      <c r="H568" s="2688">
        <v>38.39</v>
      </c>
      <c r="I568" s="2688">
        <v>12.24</v>
      </c>
      <c r="K568" s="2690" t="s">
        <v>805</v>
      </c>
      <c r="L568" s="3484" t="s">
        <v>806</v>
      </c>
    </row>
    <row r="569" spans="1:12" ht="24.95" customHeight="1">
      <c r="A569" s="2686">
        <v>567</v>
      </c>
      <c r="B569" s="2686" t="s">
        <v>1019</v>
      </c>
      <c r="C569" s="2689" t="s">
        <v>835</v>
      </c>
      <c r="D569" s="2686" t="str">
        <f t="shared" si="8"/>
        <v>3#地库127</v>
      </c>
      <c r="E569" s="2686" t="s">
        <v>1021</v>
      </c>
      <c r="F569" s="2686" t="s">
        <v>803</v>
      </c>
      <c r="G569" s="2686" t="s">
        <v>803</v>
      </c>
      <c r="H569" s="2688">
        <v>38.39</v>
      </c>
      <c r="I569" s="2688">
        <v>12.24</v>
      </c>
      <c r="K569" s="2690" t="s">
        <v>805</v>
      </c>
      <c r="L569" s="3484" t="s">
        <v>806</v>
      </c>
    </row>
    <row r="570" spans="1:12" ht="24.95" customHeight="1">
      <c r="A570" s="2686">
        <v>568</v>
      </c>
      <c r="B570" s="2686" t="s">
        <v>1019</v>
      </c>
      <c r="C570" s="2689" t="s">
        <v>1116</v>
      </c>
      <c r="D570" s="2686" t="str">
        <f t="shared" si="8"/>
        <v>3#地库128</v>
      </c>
      <c r="E570" s="2686" t="s">
        <v>1021</v>
      </c>
      <c r="F570" s="2686" t="s">
        <v>803</v>
      </c>
      <c r="G570" s="2686" t="s">
        <v>803</v>
      </c>
      <c r="H570" s="2688">
        <v>37.17</v>
      </c>
      <c r="I570" s="2688">
        <v>11.85</v>
      </c>
      <c r="K570" s="2690" t="s">
        <v>805</v>
      </c>
      <c r="L570" s="3484" t="s">
        <v>806</v>
      </c>
    </row>
    <row r="571" spans="1:12" ht="24.95" customHeight="1">
      <c r="A571" s="2686">
        <v>569</v>
      </c>
      <c r="B571" s="2686" t="s">
        <v>1019</v>
      </c>
      <c r="C571" s="2689" t="s">
        <v>836</v>
      </c>
      <c r="D571" s="2686" t="str">
        <f t="shared" si="8"/>
        <v>3#地库129</v>
      </c>
      <c r="E571" s="2686" t="s">
        <v>1021</v>
      </c>
      <c r="F571" s="2686" t="s">
        <v>803</v>
      </c>
      <c r="G571" s="2686" t="s">
        <v>803</v>
      </c>
      <c r="H571" s="2688">
        <v>37.17</v>
      </c>
      <c r="I571" s="2688">
        <v>11.85</v>
      </c>
      <c r="K571" s="2690" t="s">
        <v>805</v>
      </c>
      <c r="L571" s="3484" t="s">
        <v>806</v>
      </c>
    </row>
    <row r="572" spans="1:12" ht="24.95" customHeight="1">
      <c r="A572" s="2691">
        <v>570</v>
      </c>
      <c r="B572" s="2691" t="s">
        <v>1019</v>
      </c>
      <c r="C572" s="2692" t="s">
        <v>837</v>
      </c>
      <c r="D572" s="2691" t="str">
        <f t="shared" si="8"/>
        <v>3#地库130</v>
      </c>
      <c r="E572" s="2691" t="s">
        <v>1021</v>
      </c>
      <c r="F572" s="2691" t="s">
        <v>803</v>
      </c>
      <c r="G572" s="2691" t="s">
        <v>803</v>
      </c>
      <c r="H572" s="2693">
        <v>74.709999999999994</v>
      </c>
      <c r="I572" s="2693">
        <v>23.18</v>
      </c>
      <c r="K572" s="2690" t="s">
        <v>1054</v>
      </c>
      <c r="L572" s="3484" t="s">
        <v>806</v>
      </c>
    </row>
    <row r="573" spans="1:12" ht="24.95" customHeight="1">
      <c r="A573" s="2691">
        <v>571</v>
      </c>
      <c r="B573" s="2691" t="s">
        <v>1019</v>
      </c>
      <c r="C573" s="2692" t="s">
        <v>1117</v>
      </c>
      <c r="D573" s="2691" t="str">
        <f t="shared" si="8"/>
        <v>3#地库131</v>
      </c>
      <c r="E573" s="2691" t="s">
        <v>1021</v>
      </c>
      <c r="F573" s="2691" t="s">
        <v>803</v>
      </c>
      <c r="G573" s="2691" t="s">
        <v>803</v>
      </c>
      <c r="H573" s="2693">
        <v>72.31</v>
      </c>
      <c r="I573" s="2693">
        <v>23.69</v>
      </c>
      <c r="K573" s="2690" t="s">
        <v>1054</v>
      </c>
      <c r="L573" s="3484" t="s">
        <v>806</v>
      </c>
    </row>
    <row r="574" spans="1:12" ht="24.95" customHeight="1">
      <c r="A574" s="2686">
        <v>572</v>
      </c>
      <c r="B574" s="2686" t="s">
        <v>1019</v>
      </c>
      <c r="C574" s="2689" t="s">
        <v>838</v>
      </c>
      <c r="D574" s="2686" t="str">
        <f t="shared" si="8"/>
        <v>3#地库132</v>
      </c>
      <c r="E574" s="2686" t="s">
        <v>1021</v>
      </c>
      <c r="F574" s="2686" t="s">
        <v>803</v>
      </c>
      <c r="G574" s="2686" t="s">
        <v>803</v>
      </c>
      <c r="H574" s="2688">
        <v>37.950000000000003</v>
      </c>
      <c r="I574" s="2688">
        <v>12.1</v>
      </c>
      <c r="K574" s="2690" t="s">
        <v>805</v>
      </c>
      <c r="L574" s="3484" t="s">
        <v>806</v>
      </c>
    </row>
    <row r="575" spans="1:12" ht="24.95" customHeight="1">
      <c r="A575" s="2686">
        <v>573</v>
      </c>
      <c r="B575" s="2686" t="s">
        <v>1019</v>
      </c>
      <c r="C575" s="2689" t="s">
        <v>1118</v>
      </c>
      <c r="D575" s="2686" t="str">
        <f t="shared" si="8"/>
        <v>3#地库133</v>
      </c>
      <c r="E575" s="2686" t="s">
        <v>1021</v>
      </c>
      <c r="F575" s="2686" t="s">
        <v>803</v>
      </c>
      <c r="G575" s="2686" t="s">
        <v>803</v>
      </c>
      <c r="H575" s="2688">
        <v>37.950000000000003</v>
      </c>
      <c r="I575" s="2688">
        <v>12.1</v>
      </c>
      <c r="K575" s="2690" t="s">
        <v>805</v>
      </c>
      <c r="L575" s="3484" t="s">
        <v>806</v>
      </c>
    </row>
    <row r="576" spans="1:12" ht="24.95" customHeight="1">
      <c r="A576" s="2686">
        <v>574</v>
      </c>
      <c r="B576" s="2686" t="s">
        <v>1019</v>
      </c>
      <c r="C576" s="2689" t="s">
        <v>839</v>
      </c>
      <c r="D576" s="2686" t="str">
        <f t="shared" si="8"/>
        <v>3#地库134</v>
      </c>
      <c r="E576" s="2686" t="s">
        <v>1021</v>
      </c>
      <c r="F576" s="2686" t="s">
        <v>803</v>
      </c>
      <c r="G576" s="2686" t="s">
        <v>803</v>
      </c>
      <c r="H576" s="2688">
        <v>37.17</v>
      </c>
      <c r="I576" s="2688">
        <v>11.85</v>
      </c>
      <c r="K576" s="2690" t="s">
        <v>805</v>
      </c>
      <c r="L576" s="3484" t="s">
        <v>806</v>
      </c>
    </row>
    <row r="577" spans="1:12" ht="24.95" customHeight="1">
      <c r="A577" s="2686">
        <v>575</v>
      </c>
      <c r="B577" s="2686" t="s">
        <v>1019</v>
      </c>
      <c r="C577" s="2689" t="s">
        <v>840</v>
      </c>
      <c r="D577" s="2686" t="str">
        <f t="shared" si="8"/>
        <v>3#地库135</v>
      </c>
      <c r="E577" s="2686" t="s">
        <v>1021</v>
      </c>
      <c r="F577" s="2686" t="s">
        <v>803</v>
      </c>
      <c r="G577" s="2686" t="s">
        <v>803</v>
      </c>
      <c r="H577" s="2688">
        <v>38.770000000000003</v>
      </c>
      <c r="I577" s="2688">
        <v>12.36</v>
      </c>
      <c r="K577" s="2690" t="s">
        <v>805</v>
      </c>
      <c r="L577" s="3484" t="s">
        <v>806</v>
      </c>
    </row>
    <row r="578" spans="1:12" ht="24.95" customHeight="1">
      <c r="A578" s="2686">
        <v>576</v>
      </c>
      <c r="B578" s="2686" t="s">
        <v>1019</v>
      </c>
      <c r="C578" s="2689" t="s">
        <v>1119</v>
      </c>
      <c r="D578" s="2686" t="str">
        <f t="shared" si="8"/>
        <v>3#地库136</v>
      </c>
      <c r="E578" s="2686" t="s">
        <v>1021</v>
      </c>
      <c r="F578" s="2686" t="s">
        <v>803</v>
      </c>
      <c r="G578" s="2686" t="s">
        <v>803</v>
      </c>
      <c r="H578" s="2688">
        <v>38.770000000000003</v>
      </c>
      <c r="I578" s="2688">
        <v>12.36</v>
      </c>
      <c r="K578" s="2690" t="s">
        <v>805</v>
      </c>
      <c r="L578" s="3484" t="s">
        <v>806</v>
      </c>
    </row>
    <row r="579" spans="1:12" ht="24.95" customHeight="1">
      <c r="A579" s="2686">
        <v>577</v>
      </c>
      <c r="B579" s="2686" t="s">
        <v>1019</v>
      </c>
      <c r="C579" s="2689" t="s">
        <v>1120</v>
      </c>
      <c r="D579" s="2686" t="str">
        <f t="shared" si="8"/>
        <v>3#地库137</v>
      </c>
      <c r="E579" s="2686" t="s">
        <v>1021</v>
      </c>
      <c r="F579" s="2686" t="s">
        <v>803</v>
      </c>
      <c r="G579" s="2686" t="s">
        <v>803</v>
      </c>
      <c r="H579" s="2688">
        <v>38.770000000000003</v>
      </c>
      <c r="I579" s="2688">
        <v>12.36</v>
      </c>
      <c r="K579" s="2690" t="s">
        <v>805</v>
      </c>
      <c r="L579" s="3484" t="s">
        <v>806</v>
      </c>
    </row>
    <row r="580" spans="1:12" ht="24.95" customHeight="1">
      <c r="A580" s="2686">
        <v>578</v>
      </c>
      <c r="B580" s="2686" t="s">
        <v>1019</v>
      </c>
      <c r="C580" s="2689" t="s">
        <v>1121</v>
      </c>
      <c r="D580" s="2686" t="str">
        <f t="shared" si="8"/>
        <v>3#地库138</v>
      </c>
      <c r="E580" s="2686" t="s">
        <v>1021</v>
      </c>
      <c r="F580" s="2686" t="s">
        <v>803</v>
      </c>
      <c r="G580" s="2686" t="s">
        <v>803</v>
      </c>
      <c r="H580" s="2688">
        <v>37.950000000000003</v>
      </c>
      <c r="I580" s="2688">
        <v>12.1</v>
      </c>
      <c r="K580" s="2690" t="s">
        <v>805</v>
      </c>
      <c r="L580" s="3484" t="s">
        <v>806</v>
      </c>
    </row>
    <row r="581" spans="1:12" ht="24.95" customHeight="1">
      <c r="A581" s="2686">
        <v>579</v>
      </c>
      <c r="B581" s="2686" t="s">
        <v>1019</v>
      </c>
      <c r="C581" s="2689" t="s">
        <v>1122</v>
      </c>
      <c r="D581" s="2686" t="str">
        <f t="shared" si="8"/>
        <v>3#地库139</v>
      </c>
      <c r="E581" s="2686" t="s">
        <v>1021</v>
      </c>
      <c r="F581" s="2686" t="s">
        <v>803</v>
      </c>
      <c r="G581" s="2686" t="s">
        <v>803</v>
      </c>
      <c r="H581" s="2688">
        <v>38.770000000000003</v>
      </c>
      <c r="I581" s="2688">
        <v>12.36</v>
      </c>
      <c r="K581" s="2690" t="s">
        <v>805</v>
      </c>
      <c r="L581" s="3484" t="s">
        <v>806</v>
      </c>
    </row>
    <row r="582" spans="1:12" ht="24.95" customHeight="1">
      <c r="A582" s="2686">
        <v>580</v>
      </c>
      <c r="B582" s="2686" t="s">
        <v>1019</v>
      </c>
      <c r="C582" s="2689" t="s">
        <v>841</v>
      </c>
      <c r="D582" s="2686" t="str">
        <f t="shared" si="8"/>
        <v>3#地库140</v>
      </c>
      <c r="E582" s="2686" t="s">
        <v>1021</v>
      </c>
      <c r="F582" s="2686" t="s">
        <v>803</v>
      </c>
      <c r="G582" s="2686" t="s">
        <v>803</v>
      </c>
      <c r="H582" s="2688">
        <v>38.770000000000003</v>
      </c>
      <c r="I582" s="2688">
        <v>12.36</v>
      </c>
      <c r="K582" s="2690" t="s">
        <v>805</v>
      </c>
      <c r="L582" s="3484" t="s">
        <v>806</v>
      </c>
    </row>
    <row r="583" spans="1:12" ht="24.95" customHeight="1">
      <c r="A583" s="2686">
        <v>581</v>
      </c>
      <c r="B583" s="2686" t="s">
        <v>1019</v>
      </c>
      <c r="C583" s="2689" t="s">
        <v>842</v>
      </c>
      <c r="D583" s="2686" t="str">
        <f t="shared" si="8"/>
        <v>3#地库141</v>
      </c>
      <c r="E583" s="2686" t="s">
        <v>1021</v>
      </c>
      <c r="F583" s="2686" t="s">
        <v>803</v>
      </c>
      <c r="G583" s="2686" t="s">
        <v>803</v>
      </c>
      <c r="H583" s="2688">
        <v>37.950000000000003</v>
      </c>
      <c r="I583" s="2688">
        <v>12.1</v>
      </c>
      <c r="K583" s="2690" t="s">
        <v>805</v>
      </c>
      <c r="L583" s="3484" t="s">
        <v>806</v>
      </c>
    </row>
    <row r="584" spans="1:12" ht="24.95" customHeight="1">
      <c r="A584" s="2686">
        <v>582</v>
      </c>
      <c r="B584" s="2686" t="s">
        <v>1019</v>
      </c>
      <c r="C584" s="2689" t="s">
        <v>843</v>
      </c>
      <c r="D584" s="2686" t="str">
        <f t="shared" ref="D584:D616" si="9">B584&amp;C584</f>
        <v>3#地库142</v>
      </c>
      <c r="E584" s="2686" t="s">
        <v>1021</v>
      </c>
      <c r="F584" s="2686" t="s">
        <v>803</v>
      </c>
      <c r="G584" s="2686" t="s">
        <v>803</v>
      </c>
      <c r="H584" s="2688">
        <v>37.17</v>
      </c>
      <c r="I584" s="2688">
        <v>11.85</v>
      </c>
      <c r="K584" s="2690" t="s">
        <v>805</v>
      </c>
      <c r="L584" s="3484" t="s">
        <v>806</v>
      </c>
    </row>
    <row r="585" spans="1:12" ht="24.95" customHeight="1">
      <c r="A585" s="2686">
        <v>583</v>
      </c>
      <c r="B585" s="2686" t="s">
        <v>1019</v>
      </c>
      <c r="C585" s="2689" t="s">
        <v>1123</v>
      </c>
      <c r="D585" s="2686" t="str">
        <f t="shared" si="9"/>
        <v>3#地库143</v>
      </c>
      <c r="E585" s="2686" t="s">
        <v>1021</v>
      </c>
      <c r="F585" s="2686" t="s">
        <v>803</v>
      </c>
      <c r="G585" s="2686" t="s">
        <v>803</v>
      </c>
      <c r="H585" s="2688">
        <v>38.770000000000003</v>
      </c>
      <c r="I585" s="2688">
        <v>12.36</v>
      </c>
      <c r="K585" s="2690" t="s">
        <v>805</v>
      </c>
      <c r="L585" s="3484" t="s">
        <v>806</v>
      </c>
    </row>
    <row r="586" spans="1:12" ht="24.95" customHeight="1">
      <c r="A586" s="2686">
        <v>584</v>
      </c>
      <c r="B586" s="2686" t="s">
        <v>1019</v>
      </c>
      <c r="C586" s="2689" t="s">
        <v>844</v>
      </c>
      <c r="D586" s="2686" t="str">
        <f t="shared" si="9"/>
        <v>3#地库144</v>
      </c>
      <c r="E586" s="2686" t="s">
        <v>1021</v>
      </c>
      <c r="F586" s="2686" t="s">
        <v>803</v>
      </c>
      <c r="G586" s="2686" t="s">
        <v>803</v>
      </c>
      <c r="H586" s="2688">
        <v>37.950000000000003</v>
      </c>
      <c r="I586" s="2688">
        <v>12.1</v>
      </c>
      <c r="K586" s="2690" t="s">
        <v>805</v>
      </c>
      <c r="L586" s="3484" t="s">
        <v>806</v>
      </c>
    </row>
    <row r="587" spans="1:12" ht="24.95" customHeight="1">
      <c r="A587" s="2686">
        <v>585</v>
      </c>
      <c r="B587" s="2686" t="s">
        <v>1019</v>
      </c>
      <c r="C587" s="2689" t="s">
        <v>845</v>
      </c>
      <c r="D587" s="2686" t="str">
        <f t="shared" si="9"/>
        <v>3#地库145</v>
      </c>
      <c r="E587" s="2686" t="s">
        <v>1021</v>
      </c>
      <c r="F587" s="2686" t="s">
        <v>803</v>
      </c>
      <c r="G587" s="2686" t="s">
        <v>803</v>
      </c>
      <c r="H587" s="2688">
        <v>39.58</v>
      </c>
      <c r="I587" s="2688">
        <v>12.62</v>
      </c>
      <c r="K587" s="2690" t="s">
        <v>805</v>
      </c>
      <c r="L587" s="3484" t="s">
        <v>806</v>
      </c>
    </row>
    <row r="588" spans="1:12" ht="24.95" customHeight="1">
      <c r="A588" s="2686">
        <v>586</v>
      </c>
      <c r="B588" s="2686" t="s">
        <v>1019</v>
      </c>
      <c r="C588" s="2689" t="s">
        <v>846</v>
      </c>
      <c r="D588" s="2686" t="str">
        <f t="shared" si="9"/>
        <v>3#地库146</v>
      </c>
      <c r="E588" s="2686" t="s">
        <v>1021</v>
      </c>
      <c r="F588" s="2686" t="s">
        <v>803</v>
      </c>
      <c r="G588" s="2686" t="s">
        <v>803</v>
      </c>
      <c r="H588" s="2688">
        <v>39.58</v>
      </c>
      <c r="I588" s="2688">
        <v>12.62</v>
      </c>
      <c r="K588" s="2690" t="s">
        <v>805</v>
      </c>
      <c r="L588" s="3484" t="s">
        <v>806</v>
      </c>
    </row>
    <row r="589" spans="1:12" ht="24.95" customHeight="1">
      <c r="A589" s="2686">
        <v>587</v>
      </c>
      <c r="B589" s="2686" t="s">
        <v>1019</v>
      </c>
      <c r="C589" s="2689" t="s">
        <v>847</v>
      </c>
      <c r="D589" s="2686" t="str">
        <f t="shared" si="9"/>
        <v>3#地库147</v>
      </c>
      <c r="E589" s="2686" t="s">
        <v>1021</v>
      </c>
      <c r="F589" s="2686" t="s">
        <v>803</v>
      </c>
      <c r="G589" s="2686" t="s">
        <v>803</v>
      </c>
      <c r="H589" s="2688">
        <v>39.58</v>
      </c>
      <c r="I589" s="2688">
        <v>12.62</v>
      </c>
      <c r="K589" s="2690" t="s">
        <v>805</v>
      </c>
      <c r="L589" s="3484" t="s">
        <v>806</v>
      </c>
    </row>
    <row r="590" spans="1:12" ht="24.95" customHeight="1">
      <c r="A590" s="2686">
        <v>588</v>
      </c>
      <c r="B590" s="2686" t="s">
        <v>1019</v>
      </c>
      <c r="C590" s="2689" t="s">
        <v>848</v>
      </c>
      <c r="D590" s="2686" t="str">
        <f t="shared" si="9"/>
        <v>3#地库148</v>
      </c>
      <c r="E590" s="2686" t="s">
        <v>1021</v>
      </c>
      <c r="F590" s="2686" t="s">
        <v>803</v>
      </c>
      <c r="G590" s="2686" t="s">
        <v>803</v>
      </c>
      <c r="H590" s="2688">
        <v>37.950000000000003</v>
      </c>
      <c r="I590" s="2688">
        <v>12.1</v>
      </c>
      <c r="K590" s="2690" t="s">
        <v>805</v>
      </c>
      <c r="L590" s="3484" t="s">
        <v>806</v>
      </c>
    </row>
    <row r="591" spans="1:12" ht="24.95" customHeight="1">
      <c r="A591" s="2686">
        <v>589</v>
      </c>
      <c r="B591" s="2686" t="s">
        <v>1019</v>
      </c>
      <c r="C591" s="2689" t="s">
        <v>849</v>
      </c>
      <c r="D591" s="2686" t="str">
        <f t="shared" si="9"/>
        <v>3#地库149</v>
      </c>
      <c r="E591" s="2686" t="s">
        <v>1021</v>
      </c>
      <c r="F591" s="2686" t="s">
        <v>803</v>
      </c>
      <c r="G591" s="2686" t="s">
        <v>803</v>
      </c>
      <c r="H591" s="2688">
        <v>37.950000000000003</v>
      </c>
      <c r="I591" s="2688">
        <v>12.1</v>
      </c>
      <c r="K591" s="2690" t="s">
        <v>805</v>
      </c>
      <c r="L591" s="3484" t="s">
        <v>806</v>
      </c>
    </row>
    <row r="592" spans="1:12" ht="24.95" customHeight="1">
      <c r="A592" s="2686">
        <v>590</v>
      </c>
      <c r="B592" s="2686" t="s">
        <v>1019</v>
      </c>
      <c r="C592" s="2689" t="s">
        <v>850</v>
      </c>
      <c r="D592" s="2686" t="str">
        <f t="shared" si="9"/>
        <v>3#地库150</v>
      </c>
      <c r="E592" s="2686" t="s">
        <v>1021</v>
      </c>
      <c r="F592" s="2686" t="s">
        <v>803</v>
      </c>
      <c r="G592" s="2686" t="s">
        <v>803</v>
      </c>
      <c r="H592" s="2688">
        <v>37.950000000000003</v>
      </c>
      <c r="I592" s="2688">
        <v>12.1</v>
      </c>
      <c r="K592" s="2690" t="s">
        <v>805</v>
      </c>
      <c r="L592" s="3484" t="s">
        <v>806</v>
      </c>
    </row>
    <row r="593" spans="1:12" ht="24.95" customHeight="1">
      <c r="A593" s="2686">
        <v>591</v>
      </c>
      <c r="B593" s="2686" t="s">
        <v>1019</v>
      </c>
      <c r="C593" s="2689" t="s">
        <v>851</v>
      </c>
      <c r="D593" s="2686" t="str">
        <f t="shared" si="9"/>
        <v>3#地库151</v>
      </c>
      <c r="E593" s="2686" t="s">
        <v>1021</v>
      </c>
      <c r="F593" s="2686" t="s">
        <v>803</v>
      </c>
      <c r="G593" s="2686" t="s">
        <v>803</v>
      </c>
      <c r="H593" s="2688">
        <v>38.770000000000003</v>
      </c>
      <c r="I593" s="2688">
        <v>12.36</v>
      </c>
      <c r="K593" s="2690" t="s">
        <v>805</v>
      </c>
      <c r="L593" s="3484" t="s">
        <v>806</v>
      </c>
    </row>
    <row r="594" spans="1:12" ht="24.95" customHeight="1">
      <c r="A594" s="2686">
        <v>592</v>
      </c>
      <c r="B594" s="2686" t="s">
        <v>1019</v>
      </c>
      <c r="C594" s="2689" t="s">
        <v>852</v>
      </c>
      <c r="D594" s="2686" t="str">
        <f t="shared" si="9"/>
        <v>3#地库152</v>
      </c>
      <c r="E594" s="2686" t="s">
        <v>1021</v>
      </c>
      <c r="F594" s="2686" t="s">
        <v>803</v>
      </c>
      <c r="G594" s="2686" t="s">
        <v>803</v>
      </c>
      <c r="H594" s="2688">
        <v>38.770000000000003</v>
      </c>
      <c r="I594" s="2688">
        <v>12.36</v>
      </c>
      <c r="K594" s="2690" t="s">
        <v>805</v>
      </c>
      <c r="L594" s="3484" t="s">
        <v>806</v>
      </c>
    </row>
    <row r="595" spans="1:12" ht="24.95" customHeight="1">
      <c r="A595" s="2686">
        <v>593</v>
      </c>
      <c r="B595" s="2686" t="s">
        <v>1019</v>
      </c>
      <c r="C595" s="2689" t="s">
        <v>853</v>
      </c>
      <c r="D595" s="2686" t="str">
        <f t="shared" si="9"/>
        <v>3#地库153</v>
      </c>
      <c r="E595" s="2686" t="s">
        <v>1021</v>
      </c>
      <c r="F595" s="2686" t="s">
        <v>803</v>
      </c>
      <c r="G595" s="2686" t="s">
        <v>803</v>
      </c>
      <c r="H595" s="2688">
        <v>37.17</v>
      </c>
      <c r="I595" s="2688">
        <v>11.85</v>
      </c>
      <c r="K595" s="2690" t="s">
        <v>805</v>
      </c>
      <c r="L595" s="3484" t="s">
        <v>806</v>
      </c>
    </row>
    <row r="596" spans="1:12" ht="24.95" customHeight="1">
      <c r="A596" s="2686">
        <v>594</v>
      </c>
      <c r="B596" s="2686" t="s">
        <v>1019</v>
      </c>
      <c r="C596" s="2689" t="s">
        <v>854</v>
      </c>
      <c r="D596" s="2686" t="str">
        <f t="shared" si="9"/>
        <v>3#地库154</v>
      </c>
      <c r="E596" s="2686" t="s">
        <v>1021</v>
      </c>
      <c r="F596" s="2686" t="s">
        <v>803</v>
      </c>
      <c r="G596" s="2686" t="s">
        <v>803</v>
      </c>
      <c r="H596" s="2688">
        <v>37.17</v>
      </c>
      <c r="I596" s="2688">
        <v>11.85</v>
      </c>
      <c r="K596" s="2690" t="s">
        <v>805</v>
      </c>
      <c r="L596" s="3484" t="s">
        <v>806</v>
      </c>
    </row>
    <row r="597" spans="1:12" ht="24.95" customHeight="1">
      <c r="A597" s="2686">
        <v>595</v>
      </c>
      <c r="B597" s="2686" t="s">
        <v>1019</v>
      </c>
      <c r="C597" s="2689" t="s">
        <v>1124</v>
      </c>
      <c r="D597" s="2686" t="str">
        <f t="shared" si="9"/>
        <v>3#地库155</v>
      </c>
      <c r="E597" s="2686" t="s">
        <v>1021</v>
      </c>
      <c r="F597" s="2686" t="s">
        <v>803</v>
      </c>
      <c r="G597" s="2686" t="s">
        <v>803</v>
      </c>
      <c r="H597" s="2688">
        <v>37.17</v>
      </c>
      <c r="I597" s="2688">
        <v>11.85</v>
      </c>
      <c r="K597" s="2690" t="s">
        <v>805</v>
      </c>
      <c r="L597" s="3484" t="s">
        <v>806</v>
      </c>
    </row>
    <row r="598" spans="1:12" ht="24.95" customHeight="1">
      <c r="A598" s="2686">
        <v>596</v>
      </c>
      <c r="B598" s="2686" t="s">
        <v>1019</v>
      </c>
      <c r="C598" s="2689" t="s">
        <v>1125</v>
      </c>
      <c r="D598" s="2686" t="str">
        <f t="shared" si="9"/>
        <v>3#地库156</v>
      </c>
      <c r="E598" s="2686" t="s">
        <v>1021</v>
      </c>
      <c r="F598" s="2686" t="s">
        <v>803</v>
      </c>
      <c r="G598" s="2686" t="s">
        <v>803</v>
      </c>
      <c r="H598" s="2688">
        <v>37.17</v>
      </c>
      <c r="I598" s="2688">
        <v>11.85</v>
      </c>
      <c r="K598" s="2690" t="s">
        <v>805</v>
      </c>
      <c r="L598" s="3484" t="s">
        <v>806</v>
      </c>
    </row>
    <row r="599" spans="1:12" ht="24.95" customHeight="1">
      <c r="A599" s="2686">
        <v>597</v>
      </c>
      <c r="B599" s="2686" t="s">
        <v>1019</v>
      </c>
      <c r="C599" s="2689" t="s">
        <v>1126</v>
      </c>
      <c r="D599" s="2686" t="str">
        <f t="shared" si="9"/>
        <v>3#地库157</v>
      </c>
      <c r="E599" s="2686" t="s">
        <v>1021</v>
      </c>
      <c r="F599" s="2686" t="s">
        <v>803</v>
      </c>
      <c r="G599" s="2686" t="s">
        <v>803</v>
      </c>
      <c r="H599" s="2688">
        <v>38.770000000000003</v>
      </c>
      <c r="I599" s="2688">
        <v>12.36</v>
      </c>
      <c r="K599" s="2690" t="s">
        <v>805</v>
      </c>
      <c r="L599" s="3484" t="s">
        <v>806</v>
      </c>
    </row>
    <row r="600" spans="1:12" ht="24.95" customHeight="1">
      <c r="A600" s="2686">
        <v>598</v>
      </c>
      <c r="B600" s="2686" t="s">
        <v>1019</v>
      </c>
      <c r="C600" s="2689" t="s">
        <v>855</v>
      </c>
      <c r="D600" s="2686" t="str">
        <f t="shared" si="9"/>
        <v>3#地库158</v>
      </c>
      <c r="E600" s="2686" t="s">
        <v>1021</v>
      </c>
      <c r="F600" s="2686" t="s">
        <v>803</v>
      </c>
      <c r="G600" s="2686" t="s">
        <v>803</v>
      </c>
      <c r="H600" s="2688">
        <v>38.770000000000003</v>
      </c>
      <c r="I600" s="2688">
        <v>12.36</v>
      </c>
      <c r="K600" s="2690" t="s">
        <v>805</v>
      </c>
      <c r="L600" s="3484" t="s">
        <v>806</v>
      </c>
    </row>
    <row r="601" spans="1:12" ht="24.95" customHeight="1">
      <c r="A601" s="2686">
        <v>599</v>
      </c>
      <c r="B601" s="2686" t="s">
        <v>1019</v>
      </c>
      <c r="C601" s="2689" t="s">
        <v>1127</v>
      </c>
      <c r="D601" s="2686" t="str">
        <f t="shared" si="9"/>
        <v>3#地库159</v>
      </c>
      <c r="E601" s="2686" t="s">
        <v>1021</v>
      </c>
      <c r="F601" s="2686" t="s">
        <v>803</v>
      </c>
      <c r="G601" s="2686" t="s">
        <v>803</v>
      </c>
      <c r="H601" s="2688">
        <v>37.950000000000003</v>
      </c>
      <c r="I601" s="2688">
        <v>12.1</v>
      </c>
      <c r="K601" s="2690" t="s">
        <v>805</v>
      </c>
      <c r="L601" s="3484" t="s">
        <v>806</v>
      </c>
    </row>
    <row r="602" spans="1:12" ht="24.95" customHeight="1">
      <c r="A602" s="2686">
        <v>600</v>
      </c>
      <c r="B602" s="2686" t="s">
        <v>1019</v>
      </c>
      <c r="C602" s="2689" t="s">
        <v>1128</v>
      </c>
      <c r="D602" s="2686" t="str">
        <f t="shared" si="9"/>
        <v>3#地库160</v>
      </c>
      <c r="E602" s="2686" t="s">
        <v>1021</v>
      </c>
      <c r="F602" s="2686" t="s">
        <v>803</v>
      </c>
      <c r="G602" s="2686" t="s">
        <v>803</v>
      </c>
      <c r="H602" s="2688">
        <v>37.950000000000003</v>
      </c>
      <c r="I602" s="2688">
        <v>12.1</v>
      </c>
      <c r="K602" s="2690" t="s">
        <v>805</v>
      </c>
      <c r="L602" s="3484" t="s">
        <v>806</v>
      </c>
    </row>
    <row r="603" spans="1:12" ht="24.95" customHeight="1">
      <c r="A603" s="2686">
        <v>601</v>
      </c>
      <c r="B603" s="2686" t="s">
        <v>1019</v>
      </c>
      <c r="C603" s="2689" t="s">
        <v>1129</v>
      </c>
      <c r="D603" s="2686" t="str">
        <f t="shared" si="9"/>
        <v>3#地库161</v>
      </c>
      <c r="E603" s="2686" t="s">
        <v>1021</v>
      </c>
      <c r="F603" s="2686" t="s">
        <v>803</v>
      </c>
      <c r="G603" s="2686" t="s">
        <v>803</v>
      </c>
      <c r="H603" s="2688">
        <v>37.950000000000003</v>
      </c>
      <c r="I603" s="2688">
        <v>12.1</v>
      </c>
      <c r="K603" s="2690" t="s">
        <v>805</v>
      </c>
      <c r="L603" s="3484" t="s">
        <v>806</v>
      </c>
    </row>
    <row r="604" spans="1:12" ht="24.95" customHeight="1">
      <c r="A604" s="2686">
        <v>602</v>
      </c>
      <c r="B604" s="2686" t="s">
        <v>1019</v>
      </c>
      <c r="C604" s="2689" t="s">
        <v>1130</v>
      </c>
      <c r="D604" s="2686" t="str">
        <f t="shared" si="9"/>
        <v>3#地库162</v>
      </c>
      <c r="E604" s="2686" t="s">
        <v>1021</v>
      </c>
      <c r="F604" s="2686" t="s">
        <v>803</v>
      </c>
      <c r="G604" s="2686" t="s">
        <v>803</v>
      </c>
      <c r="H604" s="2688">
        <v>39.58</v>
      </c>
      <c r="I604" s="2688">
        <v>12.62</v>
      </c>
      <c r="K604" s="2690" t="s">
        <v>805</v>
      </c>
      <c r="L604" s="3484" t="s">
        <v>806</v>
      </c>
    </row>
    <row r="605" spans="1:12" ht="24.95" customHeight="1">
      <c r="A605" s="2686">
        <v>603</v>
      </c>
      <c r="B605" s="2686" t="s">
        <v>1019</v>
      </c>
      <c r="C605" s="2689" t="s">
        <v>1131</v>
      </c>
      <c r="D605" s="2686" t="str">
        <f t="shared" si="9"/>
        <v>3#地库163</v>
      </c>
      <c r="E605" s="2686" t="s">
        <v>1021</v>
      </c>
      <c r="F605" s="2686" t="s">
        <v>803</v>
      </c>
      <c r="G605" s="2686" t="s">
        <v>803</v>
      </c>
      <c r="H605" s="2688">
        <v>39.58</v>
      </c>
      <c r="I605" s="2688">
        <v>12.62</v>
      </c>
      <c r="K605" s="2690" t="s">
        <v>805</v>
      </c>
      <c r="L605" s="3484" t="s">
        <v>806</v>
      </c>
    </row>
    <row r="606" spans="1:12" ht="24.95" customHeight="1">
      <c r="A606" s="2686">
        <v>604</v>
      </c>
      <c r="B606" s="2686" t="s">
        <v>1019</v>
      </c>
      <c r="C606" s="2689" t="s">
        <v>856</v>
      </c>
      <c r="D606" s="2686" t="str">
        <f t="shared" si="9"/>
        <v>3#地库164</v>
      </c>
      <c r="E606" s="2686" t="s">
        <v>1021</v>
      </c>
      <c r="F606" s="2686" t="s">
        <v>803</v>
      </c>
      <c r="G606" s="2686" t="s">
        <v>803</v>
      </c>
      <c r="H606" s="2688">
        <v>39.58</v>
      </c>
      <c r="I606" s="2688">
        <v>12.62</v>
      </c>
      <c r="K606" s="2690" t="s">
        <v>805</v>
      </c>
      <c r="L606" s="3484" t="s">
        <v>806</v>
      </c>
    </row>
    <row r="607" spans="1:12" ht="24.95" customHeight="1">
      <c r="A607" s="2686">
        <v>605</v>
      </c>
      <c r="B607" s="2686" t="s">
        <v>1019</v>
      </c>
      <c r="C607" s="2689" t="s">
        <v>1132</v>
      </c>
      <c r="D607" s="2686" t="str">
        <f t="shared" si="9"/>
        <v>3#地库165</v>
      </c>
      <c r="E607" s="2686" t="s">
        <v>1021</v>
      </c>
      <c r="F607" s="2686" t="s">
        <v>803</v>
      </c>
      <c r="G607" s="2686" t="s">
        <v>803</v>
      </c>
      <c r="H607" s="2688">
        <v>37.950000000000003</v>
      </c>
      <c r="I607" s="2688">
        <v>12.1</v>
      </c>
      <c r="K607" s="2690" t="s">
        <v>805</v>
      </c>
      <c r="L607" s="3484" t="s">
        <v>806</v>
      </c>
    </row>
    <row r="608" spans="1:12" ht="24.95" customHeight="1">
      <c r="A608" s="2686">
        <v>606</v>
      </c>
      <c r="B608" s="2686" t="s">
        <v>1019</v>
      </c>
      <c r="C608" s="2689" t="s">
        <v>1133</v>
      </c>
      <c r="D608" s="2686" t="str">
        <f t="shared" si="9"/>
        <v>3#地库166</v>
      </c>
      <c r="E608" s="2686" t="s">
        <v>1021</v>
      </c>
      <c r="F608" s="2686" t="s">
        <v>803</v>
      </c>
      <c r="G608" s="2686" t="s">
        <v>803</v>
      </c>
      <c r="H608" s="2688">
        <v>38.770000000000003</v>
      </c>
      <c r="I608" s="2688">
        <v>12.36</v>
      </c>
      <c r="K608" s="2690" t="s">
        <v>805</v>
      </c>
      <c r="L608" s="3484" t="s">
        <v>806</v>
      </c>
    </row>
    <row r="609" spans="1:12" ht="24.95" customHeight="1">
      <c r="A609" s="2686">
        <v>607</v>
      </c>
      <c r="B609" s="2686" t="s">
        <v>1019</v>
      </c>
      <c r="C609" s="2689" t="s">
        <v>1134</v>
      </c>
      <c r="D609" s="2686" t="str">
        <f t="shared" si="9"/>
        <v>3#地库167</v>
      </c>
      <c r="E609" s="2686" t="s">
        <v>1021</v>
      </c>
      <c r="F609" s="2686" t="s">
        <v>803</v>
      </c>
      <c r="G609" s="2686" t="s">
        <v>803</v>
      </c>
      <c r="H609" s="2688">
        <v>37.17</v>
      </c>
      <c r="I609" s="2688">
        <v>11.85</v>
      </c>
      <c r="K609" s="2690" t="s">
        <v>805</v>
      </c>
      <c r="L609" s="3484" t="s">
        <v>806</v>
      </c>
    </row>
    <row r="610" spans="1:12" ht="24.95" customHeight="1">
      <c r="A610" s="2686">
        <v>608</v>
      </c>
      <c r="B610" s="2686" t="s">
        <v>1019</v>
      </c>
      <c r="C610" s="2689" t="s">
        <v>1135</v>
      </c>
      <c r="D610" s="2686" t="str">
        <f t="shared" si="9"/>
        <v>3#地库168</v>
      </c>
      <c r="E610" s="2686" t="s">
        <v>1021</v>
      </c>
      <c r="F610" s="2686" t="s">
        <v>803</v>
      </c>
      <c r="G610" s="2686" t="s">
        <v>803</v>
      </c>
      <c r="H610" s="2688">
        <v>37.950000000000003</v>
      </c>
      <c r="I610" s="2688">
        <v>12.1</v>
      </c>
      <c r="K610" s="2690" t="s">
        <v>805</v>
      </c>
      <c r="L610" s="3484" t="s">
        <v>806</v>
      </c>
    </row>
    <row r="611" spans="1:12" ht="24.95" customHeight="1">
      <c r="A611" s="2686">
        <v>609</v>
      </c>
      <c r="B611" s="2686" t="s">
        <v>1019</v>
      </c>
      <c r="C611" s="2689" t="s">
        <v>1136</v>
      </c>
      <c r="D611" s="2686" t="str">
        <f t="shared" si="9"/>
        <v>3#地库169</v>
      </c>
      <c r="E611" s="2686" t="s">
        <v>1021</v>
      </c>
      <c r="F611" s="2686" t="s">
        <v>803</v>
      </c>
      <c r="G611" s="2686" t="s">
        <v>803</v>
      </c>
      <c r="H611" s="2688">
        <v>38.770000000000003</v>
      </c>
      <c r="I611" s="2688">
        <v>12.36</v>
      </c>
      <c r="K611" s="2690" t="s">
        <v>805</v>
      </c>
      <c r="L611" s="3484" t="s">
        <v>806</v>
      </c>
    </row>
    <row r="612" spans="1:12" ht="24.95" customHeight="1">
      <c r="A612" s="2686">
        <v>610</v>
      </c>
      <c r="B612" s="2686" t="s">
        <v>1019</v>
      </c>
      <c r="C612" s="2689" t="s">
        <v>1137</v>
      </c>
      <c r="D612" s="2686" t="str">
        <f t="shared" si="9"/>
        <v>3#地库170</v>
      </c>
      <c r="E612" s="2686" t="s">
        <v>1021</v>
      </c>
      <c r="F612" s="2686" t="s">
        <v>803</v>
      </c>
      <c r="G612" s="2686" t="s">
        <v>803</v>
      </c>
      <c r="H612" s="2688">
        <v>38.770000000000003</v>
      </c>
      <c r="I612" s="2688">
        <v>12.36</v>
      </c>
      <c r="K612" s="2690" t="s">
        <v>805</v>
      </c>
      <c r="L612" s="3484" t="s">
        <v>806</v>
      </c>
    </row>
    <row r="613" spans="1:12" ht="24.95" customHeight="1">
      <c r="A613" s="2686">
        <v>611</v>
      </c>
      <c r="B613" s="2686" t="s">
        <v>1019</v>
      </c>
      <c r="C613" s="2689" t="s">
        <v>1138</v>
      </c>
      <c r="D613" s="2686" t="str">
        <f t="shared" si="9"/>
        <v>3#地库171</v>
      </c>
      <c r="E613" s="2686" t="s">
        <v>1021</v>
      </c>
      <c r="F613" s="2686" t="s">
        <v>803</v>
      </c>
      <c r="G613" s="2686" t="s">
        <v>803</v>
      </c>
      <c r="H613" s="2688">
        <v>37.950000000000003</v>
      </c>
      <c r="I613" s="2688">
        <v>12.1</v>
      </c>
      <c r="K613" s="2690" t="s">
        <v>805</v>
      </c>
      <c r="L613" s="3484" t="s">
        <v>806</v>
      </c>
    </row>
    <row r="614" spans="1:12" ht="24.95" customHeight="1">
      <c r="A614" s="2686">
        <v>612</v>
      </c>
      <c r="B614" s="2686" t="s">
        <v>1019</v>
      </c>
      <c r="C614" s="2689" t="s">
        <v>1139</v>
      </c>
      <c r="D614" s="2686" t="str">
        <f t="shared" si="9"/>
        <v>3#地库172</v>
      </c>
      <c r="E614" s="2686" t="s">
        <v>1021</v>
      </c>
      <c r="F614" s="2686" t="s">
        <v>804</v>
      </c>
      <c r="G614" s="2686" t="s">
        <v>804</v>
      </c>
      <c r="H614" s="2688">
        <v>37.51</v>
      </c>
      <c r="I614" s="2688">
        <v>11.96</v>
      </c>
      <c r="K614" s="2690" t="s">
        <v>805</v>
      </c>
      <c r="L614" s="3484" t="s">
        <v>806</v>
      </c>
    </row>
    <row r="615" spans="1:12" ht="24.95" customHeight="1">
      <c r="A615" s="2686">
        <v>613</v>
      </c>
      <c r="B615" s="2686" t="s">
        <v>1019</v>
      </c>
      <c r="C615" s="2689" t="s">
        <v>1140</v>
      </c>
      <c r="D615" s="2686" t="str">
        <f t="shared" si="9"/>
        <v>3#地库173</v>
      </c>
      <c r="E615" s="2686" t="s">
        <v>1021</v>
      </c>
      <c r="F615" s="2686" t="s">
        <v>804</v>
      </c>
      <c r="G615" s="2686" t="s">
        <v>804</v>
      </c>
      <c r="H615" s="2688">
        <v>38.33</v>
      </c>
      <c r="I615" s="2688">
        <v>12.22</v>
      </c>
      <c r="K615" s="2690" t="s">
        <v>805</v>
      </c>
      <c r="L615" s="3484" t="s">
        <v>806</v>
      </c>
    </row>
    <row r="616" spans="1:12" ht="24.95" customHeight="1">
      <c r="A616" s="2686">
        <v>614</v>
      </c>
      <c r="B616" s="2686" t="s">
        <v>1019</v>
      </c>
      <c r="C616" s="2689" t="s">
        <v>1141</v>
      </c>
      <c r="D616" s="2686" t="str">
        <f t="shared" si="9"/>
        <v>3#地库174</v>
      </c>
      <c r="E616" s="2686" t="s">
        <v>1021</v>
      </c>
      <c r="F616" s="2686" t="s">
        <v>804</v>
      </c>
      <c r="G616" s="2686" t="s">
        <v>804</v>
      </c>
      <c r="H616" s="2688">
        <v>38.33</v>
      </c>
      <c r="I616" s="2688">
        <v>12.22</v>
      </c>
      <c r="K616" s="2690" t="s">
        <v>805</v>
      </c>
      <c r="L616" s="3484" t="s">
        <v>806</v>
      </c>
    </row>
    <row r="617" spans="1:12" ht="24.95" customHeight="1">
      <c r="A617" s="3582" t="s">
        <v>1142</v>
      </c>
      <c r="B617" s="3583"/>
      <c r="C617" s="3583"/>
      <c r="D617" s="3584"/>
      <c r="E617" s="2682" t="s">
        <v>1143</v>
      </c>
      <c r="F617" s="2682" t="s">
        <v>1143</v>
      </c>
      <c r="G617" s="2682" t="s">
        <v>1143</v>
      </c>
      <c r="H617" s="2697">
        <f>SUM(H3:H616)</f>
        <v>20061.910000000102</v>
      </c>
      <c r="I617" s="2697">
        <f>SUM(I3:I616)</f>
        <v>7837.50000000002</v>
      </c>
    </row>
  </sheetData>
  <mergeCells count="2">
    <mergeCell ref="A1:I1"/>
    <mergeCell ref="A617:D617"/>
  </mergeCells>
  <phoneticPr fontId="22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C34" sqref="C34"/>
    </sheetView>
  </sheetViews>
  <sheetFormatPr defaultColWidth="9" defaultRowHeight="13.5"/>
  <cols>
    <col min="1" max="1" width="25" style="2664" customWidth="1"/>
    <col min="2" max="9" width="15.75" style="2664" customWidth="1"/>
    <col min="10" max="16384" width="9" style="2664"/>
  </cols>
  <sheetData>
    <row r="1" spans="1:11" ht="16.5">
      <c r="A1" s="2665" t="s">
        <v>1144</v>
      </c>
      <c r="B1" s="2665">
        <f>SUM(B14:B23)</f>
        <v>20061.91</v>
      </c>
      <c r="C1" s="2666"/>
      <c r="D1" s="2666"/>
      <c r="E1" s="2666"/>
      <c r="F1" s="2666"/>
      <c r="G1" s="2667"/>
      <c r="H1" s="2668"/>
      <c r="I1" s="2668"/>
      <c r="J1" s="2668"/>
      <c r="K1" s="2668"/>
    </row>
    <row r="2" spans="1:11" ht="16.5">
      <c r="A2" s="2665" t="s">
        <v>1145</v>
      </c>
      <c r="B2" s="2665">
        <f>SUM(C14:C23)</f>
        <v>0</v>
      </c>
      <c r="C2" s="2666"/>
      <c r="D2" s="2666"/>
      <c r="E2" s="2666"/>
      <c r="F2" s="2666"/>
      <c r="G2" s="2667"/>
      <c r="H2" s="2668"/>
      <c r="I2" s="2668"/>
      <c r="J2" s="2668"/>
      <c r="K2" s="2668"/>
    </row>
    <row r="3" spans="1:11" ht="16.5">
      <c r="A3" s="2665" t="s">
        <v>1146</v>
      </c>
      <c r="B3" s="2669">
        <f>项目基本情况!D3</f>
        <v>45911</v>
      </c>
      <c r="C3" s="2666"/>
      <c r="D3" s="2666"/>
      <c r="E3" s="2666"/>
      <c r="F3" s="2666"/>
      <c r="G3" s="2667"/>
      <c r="H3" s="2668"/>
      <c r="I3" s="2668"/>
      <c r="J3" s="2668"/>
      <c r="K3" s="2668"/>
    </row>
    <row r="4" spans="1:11" ht="33">
      <c r="A4" s="2665" t="s">
        <v>1147</v>
      </c>
      <c r="B4" s="2665" t="s">
        <v>1148</v>
      </c>
      <c r="C4" s="2665" t="s">
        <v>1149</v>
      </c>
      <c r="D4" s="2665" t="s">
        <v>1150</v>
      </c>
      <c r="E4" s="2666"/>
      <c r="F4" s="2667"/>
      <c r="G4" s="2667"/>
      <c r="H4" s="2668"/>
      <c r="I4" s="2668"/>
      <c r="J4" s="2668"/>
      <c r="K4" s="2668"/>
    </row>
    <row r="5" spans="1:11" ht="16.5">
      <c r="A5" s="2665" t="s">
        <v>1151</v>
      </c>
      <c r="B5" s="2665">
        <f ca="1">SUM(D14:D23)</f>
        <v>7203.0290999999997</v>
      </c>
      <c r="C5" s="2665" t="e">
        <f ca="1">IF(B5=D14,结果表!H102,ROUND(B5*10000/$B$1,0))</f>
        <v>#DIV/0!</v>
      </c>
      <c r="D5" s="2665" t="e">
        <f ca="1">ROUND(B5*10000/$B$2,0)</f>
        <v>#DIV/0!</v>
      </c>
      <c r="E5" s="2666"/>
      <c r="F5" s="2667"/>
      <c r="G5" s="2667"/>
      <c r="H5" s="2668"/>
      <c r="I5" s="2668"/>
      <c r="J5" s="2668"/>
      <c r="K5" s="2668"/>
    </row>
    <row r="6" spans="1:11" ht="16.5">
      <c r="A6" s="2665" t="s">
        <v>1152</v>
      </c>
      <c r="B6" s="2665">
        <f ca="1">SUM(G14:G23)</f>
        <v>7203.0290999999997</v>
      </c>
      <c r="C6" s="2665" t="e">
        <f ca="1">IF(B6=G14,结果表!H108,ROUND(B6*10000/$B$1,0))</f>
        <v>#DIV/0!</v>
      </c>
      <c r="D6" s="2665" t="e">
        <f ca="1">ROUND(B6*10000/$B$2,0)</f>
        <v>#DIV/0!</v>
      </c>
      <c r="E6" s="2666"/>
      <c r="F6" s="2667"/>
      <c r="G6" s="2667"/>
      <c r="H6" s="2668"/>
      <c r="I6" s="2668"/>
      <c r="J6" s="2668"/>
      <c r="K6" s="2668"/>
    </row>
    <row r="7" spans="1:11" ht="16.5">
      <c r="A7" s="2665" t="s">
        <v>1153</v>
      </c>
      <c r="B7" s="2665">
        <f>SUM(H14:H23)</f>
        <v>0</v>
      </c>
      <c r="C7" s="2665" t="str">
        <f>IF(B7=H14,结果表!H110,ROUND(B7*10000/$B$1,0))</f>
        <v>——</v>
      </c>
      <c r="D7" s="2665" t="e">
        <f>ROUND(B7*10000/$B$2,0)</f>
        <v>#DIV/0!</v>
      </c>
      <c r="E7" s="2666"/>
      <c r="F7" s="2667"/>
      <c r="G7" s="2667"/>
      <c r="H7" s="2668"/>
      <c r="I7" s="2668"/>
      <c r="J7" s="2668"/>
      <c r="K7" s="2668"/>
    </row>
    <row r="8" spans="1:11" ht="16.5">
      <c r="A8" s="2665" t="s">
        <v>374</v>
      </c>
      <c r="B8" s="2665">
        <f>SUM(I14:I23)</f>
        <v>0</v>
      </c>
      <c r="C8" s="2665" t="str">
        <f>IF(B8=I14,结果表!H112,ROUND(B8*10000/$B$1,0))</f>
        <v>——</v>
      </c>
      <c r="D8" s="2665" t="e">
        <f>ROUND(B8*10000/$B$2,0)</f>
        <v>#DIV/0!</v>
      </c>
      <c r="E8" s="2666"/>
      <c r="F8" s="2667"/>
      <c r="G8" s="2667"/>
      <c r="H8" s="2668"/>
      <c r="I8" s="2668"/>
      <c r="J8" s="2668"/>
      <c r="K8" s="2668"/>
    </row>
    <row r="9" spans="1:11" ht="16.5">
      <c r="A9" s="2665" t="s">
        <v>1154</v>
      </c>
      <c r="B9" s="2670"/>
      <c r="C9" s="2666"/>
      <c r="D9" s="2666"/>
      <c r="E9" s="2666"/>
      <c r="F9" s="2667"/>
      <c r="G9" s="2667"/>
      <c r="H9" s="2668"/>
      <c r="I9" s="2668"/>
      <c r="J9" s="2668"/>
      <c r="K9" s="2668"/>
    </row>
    <row r="10" spans="1:11" ht="16.5">
      <c r="A10" s="2665" t="s">
        <v>1155</v>
      </c>
      <c r="B10" s="2665">
        <f>IF(E10="",0,ROUND(B1*(E10*365/G10)/10000,0))</f>
        <v>0</v>
      </c>
      <c r="C10" s="2665" t="s">
        <v>1156</v>
      </c>
      <c r="D10" s="2665" t="s">
        <v>1155</v>
      </c>
      <c r="E10" s="2671"/>
      <c r="F10" s="2672" t="s">
        <v>1157</v>
      </c>
      <c r="G10" s="2673"/>
      <c r="H10" s="2668"/>
      <c r="I10" s="2668"/>
      <c r="J10" s="2668"/>
      <c r="K10" s="2668"/>
    </row>
    <row r="11" spans="1:11" ht="16.5">
      <c r="A11" s="2665" t="s">
        <v>1158</v>
      </c>
      <c r="B11" s="267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674" t="s">
        <v>1159</v>
      </c>
      <c r="B13" s="2675" t="s">
        <v>1144</v>
      </c>
      <c r="C13" s="2675" t="s">
        <v>1145</v>
      </c>
      <c r="D13" s="2675" t="s">
        <v>1160</v>
      </c>
      <c r="E13" s="2665" t="s">
        <v>1149</v>
      </c>
      <c r="F13" s="2665" t="s">
        <v>1150</v>
      </c>
      <c r="G13" s="2675" t="s">
        <v>1161</v>
      </c>
      <c r="H13" s="2675" t="s">
        <v>1162</v>
      </c>
      <c r="I13" s="2675" t="s">
        <v>1163</v>
      </c>
      <c r="J13" s="2667"/>
      <c r="K13" s="2668"/>
    </row>
    <row r="14" spans="1:11" ht="16.5">
      <c r="A14" s="2676" t="s">
        <v>1164</v>
      </c>
      <c r="B14" s="2677">
        <f>ROUND('典型户型修正-车位用途'!B22,2)</f>
        <v>20061.91</v>
      </c>
      <c r="C14" s="2677"/>
      <c r="D14" s="2677">
        <f ca="1">ROUND('典型户型修正-车位用途'!R22,4)</f>
        <v>7203.0290999999997</v>
      </c>
      <c r="E14" s="2677">
        <f ca="1">ROUND(D14*10000/B14,0)</f>
        <v>3590</v>
      </c>
      <c r="F14" s="2677" t="e">
        <f ca="1">ROUND(D14*10000/C14,0)</f>
        <v>#DIV/0!</v>
      </c>
      <c r="G14" s="2677">
        <f ca="1">D14</f>
        <v>7203.0290999999997</v>
      </c>
      <c r="H14" s="2677"/>
      <c r="I14" s="2677"/>
      <c r="J14" s="2667"/>
      <c r="K14" s="2668"/>
    </row>
    <row r="15" spans="1:11" ht="16.5">
      <c r="A15" s="2676" t="s">
        <v>1165</v>
      </c>
      <c r="B15" s="2678"/>
      <c r="C15" s="2678"/>
      <c r="D15" s="2678"/>
      <c r="E15" s="2677" t="e">
        <f t="shared" ref="E15:E23" si="0">ROUND(D15*10000/B15,0)</f>
        <v>#DIV/0!</v>
      </c>
      <c r="F15" s="2677" t="e">
        <f t="shared" ref="F15:F23" si="1">ROUND(D15*10000/C15,0)</f>
        <v>#DIV/0!</v>
      </c>
      <c r="G15" s="2679"/>
      <c r="H15" s="2679"/>
      <c r="I15" s="2678"/>
      <c r="J15" s="2667"/>
      <c r="K15" s="2668"/>
    </row>
    <row r="16" spans="1:11" ht="16.5">
      <c r="A16" s="2676" t="s">
        <v>1166</v>
      </c>
      <c r="B16" s="2678"/>
      <c r="C16" s="2678"/>
      <c r="D16" s="2678"/>
      <c r="E16" s="2677" t="e">
        <f t="shared" si="0"/>
        <v>#DIV/0!</v>
      </c>
      <c r="F16" s="2677" t="e">
        <f t="shared" si="1"/>
        <v>#DIV/0!</v>
      </c>
      <c r="G16" s="2679"/>
      <c r="H16" s="2679"/>
      <c r="I16" s="2678"/>
      <c r="J16" s="2668"/>
      <c r="K16" s="2668"/>
    </row>
    <row r="17" spans="1:11" ht="16.5">
      <c r="A17" s="2676" t="s">
        <v>1167</v>
      </c>
      <c r="B17" s="2678"/>
      <c r="C17" s="2678"/>
      <c r="D17" s="2678"/>
      <c r="E17" s="2677" t="e">
        <f t="shared" si="0"/>
        <v>#DIV/0!</v>
      </c>
      <c r="F17" s="2677" t="e">
        <f t="shared" si="1"/>
        <v>#DIV/0!</v>
      </c>
      <c r="G17" s="2679"/>
      <c r="H17" s="2679"/>
      <c r="I17" s="2678"/>
      <c r="J17" s="2668"/>
      <c r="K17" s="2668"/>
    </row>
    <row r="18" spans="1:11" ht="16.5">
      <c r="A18" s="2676" t="s">
        <v>1168</v>
      </c>
      <c r="B18" s="2678"/>
      <c r="C18" s="2678"/>
      <c r="D18" s="2678"/>
      <c r="E18" s="2677" t="e">
        <f t="shared" si="0"/>
        <v>#DIV/0!</v>
      </c>
      <c r="F18" s="2677" t="e">
        <f t="shared" si="1"/>
        <v>#DIV/0!</v>
      </c>
      <c r="G18" s="2678"/>
      <c r="H18" s="2678"/>
      <c r="I18" s="2678"/>
      <c r="J18" s="2668"/>
      <c r="K18" s="2668"/>
    </row>
    <row r="19" spans="1:11" ht="16.5">
      <c r="A19" s="2676" t="s">
        <v>1169</v>
      </c>
      <c r="B19" s="2678"/>
      <c r="C19" s="2678"/>
      <c r="D19" s="2678"/>
      <c r="E19" s="2677" t="e">
        <f t="shared" si="0"/>
        <v>#DIV/0!</v>
      </c>
      <c r="F19" s="2677" t="e">
        <f t="shared" si="1"/>
        <v>#DIV/0!</v>
      </c>
      <c r="G19" s="2678"/>
      <c r="H19" s="2678"/>
      <c r="I19" s="2678"/>
      <c r="J19" s="2668"/>
      <c r="K19" s="2668"/>
    </row>
    <row r="20" spans="1:11" ht="16.5">
      <c r="A20" s="2676" t="s">
        <v>1170</v>
      </c>
      <c r="B20" s="2678"/>
      <c r="C20" s="2678"/>
      <c r="D20" s="2678"/>
      <c r="E20" s="2677" t="e">
        <f t="shared" si="0"/>
        <v>#DIV/0!</v>
      </c>
      <c r="F20" s="2677" t="e">
        <f t="shared" si="1"/>
        <v>#DIV/0!</v>
      </c>
      <c r="G20" s="2678"/>
      <c r="H20" s="2678"/>
      <c r="I20" s="2678"/>
      <c r="J20" s="2668"/>
      <c r="K20" s="2668"/>
    </row>
    <row r="21" spans="1:11" ht="16.5">
      <c r="A21" s="2676" t="s">
        <v>1171</v>
      </c>
      <c r="B21" s="2678"/>
      <c r="C21" s="2678"/>
      <c r="D21" s="2678"/>
      <c r="E21" s="2677" t="e">
        <f t="shared" si="0"/>
        <v>#DIV/0!</v>
      </c>
      <c r="F21" s="2677" t="e">
        <f t="shared" si="1"/>
        <v>#DIV/0!</v>
      </c>
      <c r="G21" s="2678"/>
      <c r="H21" s="2678"/>
      <c r="I21" s="2678"/>
      <c r="J21" s="2668"/>
      <c r="K21" s="2668"/>
    </row>
    <row r="22" spans="1:11" ht="16.5">
      <c r="A22" s="2676" t="s">
        <v>1172</v>
      </c>
      <c r="B22" s="2678"/>
      <c r="C22" s="2678"/>
      <c r="D22" s="2678"/>
      <c r="E22" s="2677" t="e">
        <f t="shared" si="0"/>
        <v>#DIV/0!</v>
      </c>
      <c r="F22" s="2677" t="e">
        <f t="shared" si="1"/>
        <v>#DIV/0!</v>
      </c>
      <c r="G22" s="2678"/>
      <c r="H22" s="2678"/>
      <c r="I22" s="2678"/>
      <c r="J22" s="2668"/>
      <c r="K22" s="2668"/>
    </row>
    <row r="23" spans="1:11" ht="16.5">
      <c r="A23" s="2676" t="s">
        <v>1173</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25" sqref="E25"/>
    </sheetView>
  </sheetViews>
  <sheetFormatPr defaultColWidth="12.625" defaultRowHeight="21.75" customHeight="1"/>
  <cols>
    <col min="1" max="2" width="12.625" style="2383"/>
    <col min="3" max="4" width="12.625" style="2383" customWidth="1"/>
    <col min="5" max="9" width="12.625" style="2383"/>
    <col min="10" max="11" width="12.625" style="565" customWidth="1"/>
    <col min="12" max="12" width="12.625" style="565"/>
    <col min="13" max="13" width="14.125" style="565" customWidth="1"/>
    <col min="14" max="26" width="12.625" style="565"/>
    <col min="27" max="35" width="12.625" style="2382"/>
    <col min="36" max="16384" width="12.625" style="2383"/>
  </cols>
  <sheetData>
    <row r="1" spans="1:12" ht="21.75" customHeight="1">
      <c r="A1" s="2384" t="s">
        <v>1174</v>
      </c>
      <c r="B1" s="2385"/>
      <c r="C1" s="2386"/>
      <c r="D1" s="2385"/>
      <c r="E1" s="2385"/>
      <c r="F1" s="2387" t="s">
        <v>1175</v>
      </c>
      <c r="G1" s="2388"/>
      <c r="H1" s="2389" t="str">
        <f>IF(G1="现房","——","估价对象范围")</f>
        <v>估价对象范围</v>
      </c>
      <c r="I1" s="2521"/>
    </row>
    <row r="2" spans="1:12" ht="21.75" customHeight="1">
      <c r="A2" s="3585" t="str">
        <f>项目基本情况!S2</f>
        <v>北京市房地产</v>
      </c>
      <c r="B2" s="3586"/>
      <c r="C2" s="3586"/>
      <c r="D2" s="3586"/>
      <c r="E2" s="3586"/>
      <c r="F2" s="3586"/>
      <c r="G2" s="3586"/>
      <c r="H2" s="3586"/>
      <c r="I2" s="3587"/>
    </row>
    <row r="3" spans="1:12" ht="12.75">
      <c r="A3" s="3588" t="s">
        <v>1176</v>
      </c>
      <c r="B3" s="3589"/>
      <c r="C3" s="3589"/>
      <c r="D3" s="3589"/>
      <c r="E3" s="3589"/>
      <c r="F3" s="3589"/>
      <c r="G3" s="3589"/>
      <c r="H3" s="3589"/>
      <c r="I3" s="3589"/>
    </row>
    <row r="4" spans="1:12" ht="14.25">
      <c r="A4" s="2390" t="s">
        <v>1177</v>
      </c>
      <c r="B4" s="2391" t="s">
        <v>1178</v>
      </c>
      <c r="C4" s="2392" t="s">
        <v>1179</v>
      </c>
      <c r="D4" s="2392" t="s">
        <v>285</v>
      </c>
      <c r="E4" s="3590" t="s">
        <v>1180</v>
      </c>
      <c r="F4" s="3591"/>
      <c r="G4" s="3591"/>
      <c r="H4" s="3591"/>
      <c r="I4" s="3592"/>
      <c r="K4" s="566" t="str">
        <f>IF(ISNUMBER(FIND("比较法",结果表!C4)),"比较法",IF(ISNUMBER(FIND("成本法",结果表!C4)),"成本法",IF(ISNUMBER(FIND("假设开发法",结果表!C4)),"假设开发法",IF(ISNUMBER(FIND("收益法",结果表!C4)),"收益法","基准地价系数修正法"))))</f>
        <v>比较法</v>
      </c>
      <c r="L4" s="566" t="str">
        <f>IF(ISNUMBER(FIND("比较法",结果表!D4)),"比较法",IF(ISNUMBER(FIND("成本法",结果表!D4)),"成本法",IF(ISNUMBER(FIND("假设开发法",结果表!D4)),"假设开发法",IF(ISNUMBER(FIND("收益法",结果表!D4)),"收益法","基准地价系数修正法"))))</f>
        <v>收益法</v>
      </c>
    </row>
    <row r="5" spans="1:12" ht="12.75">
      <c r="A5" s="3644" t="s">
        <v>1181</v>
      </c>
      <c r="B5" s="3660">
        <v>25</v>
      </c>
      <c r="C5" s="3663"/>
      <c r="D5" s="3666"/>
      <c r="E5" s="2011" t="s">
        <v>1182</v>
      </c>
      <c r="F5" s="2397"/>
      <c r="G5" s="2397"/>
      <c r="H5" s="2397"/>
      <c r="I5" s="2088"/>
    </row>
    <row r="6" spans="1:12" ht="12.75">
      <c r="A6" s="3644"/>
      <c r="B6" s="3660"/>
      <c r="C6" s="3664"/>
      <c r="D6" s="3666"/>
      <c r="E6" s="2011" t="s">
        <v>1183</v>
      </c>
      <c r="F6" s="2397"/>
      <c r="G6" s="2397"/>
      <c r="H6" s="2397"/>
      <c r="I6" s="2088"/>
    </row>
    <row r="7" spans="1:12" ht="12.75">
      <c r="A7" s="3644"/>
      <c r="B7" s="3660"/>
      <c r="C7" s="3665"/>
      <c r="D7" s="3666"/>
      <c r="E7" s="2011" t="s">
        <v>1184</v>
      </c>
      <c r="F7" s="2397"/>
      <c r="G7" s="2397"/>
      <c r="H7" s="2397"/>
      <c r="I7" s="2088"/>
    </row>
    <row r="8" spans="1:12" ht="12.75">
      <c r="A8" s="3644" t="s">
        <v>1185</v>
      </c>
      <c r="B8" s="3660">
        <v>15</v>
      </c>
      <c r="C8" s="3663"/>
      <c r="D8" s="3666"/>
      <c r="E8" s="2011" t="s">
        <v>1186</v>
      </c>
      <c r="F8" s="2397"/>
      <c r="G8" s="2397"/>
      <c r="H8" s="2397"/>
      <c r="I8" s="2088"/>
    </row>
    <row r="9" spans="1:12" ht="12.75">
      <c r="A9" s="3644"/>
      <c r="B9" s="3660"/>
      <c r="C9" s="3665"/>
      <c r="D9" s="3666"/>
      <c r="E9" s="2011" t="s">
        <v>1187</v>
      </c>
      <c r="F9" s="2397"/>
      <c r="G9" s="2397"/>
      <c r="H9" s="2397"/>
      <c r="I9" s="2088"/>
    </row>
    <row r="10" spans="1:12" ht="12.75">
      <c r="A10" s="3644" t="s">
        <v>1188</v>
      </c>
      <c r="B10" s="3660">
        <v>15</v>
      </c>
      <c r="C10" s="3663"/>
      <c r="D10" s="3666"/>
      <c r="E10" s="2011" t="s">
        <v>1189</v>
      </c>
      <c r="F10" s="2397"/>
      <c r="G10" s="2397"/>
      <c r="H10" s="2397"/>
      <c r="I10" s="2088"/>
    </row>
    <row r="11" spans="1:12" ht="12.75">
      <c r="A11" s="3644"/>
      <c r="B11" s="3660"/>
      <c r="C11" s="3665"/>
      <c r="D11" s="3666"/>
      <c r="E11" s="2011" t="s">
        <v>1190</v>
      </c>
      <c r="F11" s="2397"/>
      <c r="G11" s="2397"/>
      <c r="H11" s="2397"/>
      <c r="I11" s="2088"/>
    </row>
    <row r="12" spans="1:12" ht="12.75">
      <c r="A12" s="3644" t="s">
        <v>1191</v>
      </c>
      <c r="B12" s="3660">
        <v>15</v>
      </c>
      <c r="C12" s="3663"/>
      <c r="D12" s="3666"/>
      <c r="E12" s="2011" t="s">
        <v>1192</v>
      </c>
      <c r="F12" s="2397"/>
      <c r="G12" s="2397"/>
      <c r="H12" s="2397"/>
      <c r="I12" s="2088"/>
    </row>
    <row r="13" spans="1:12" ht="12.75">
      <c r="A13" s="3644"/>
      <c r="B13" s="3660"/>
      <c r="C13" s="3665"/>
      <c r="D13" s="3666"/>
      <c r="E13" s="2011" t="s">
        <v>1193</v>
      </c>
      <c r="F13" s="2397"/>
      <c r="G13" s="2397"/>
      <c r="H13" s="2397"/>
      <c r="I13" s="2088"/>
    </row>
    <row r="14" spans="1:12" ht="12.75">
      <c r="A14" s="3644" t="s">
        <v>1194</v>
      </c>
      <c r="B14" s="3660">
        <v>30</v>
      </c>
      <c r="C14" s="3663">
        <v>7</v>
      </c>
      <c r="D14" s="3666">
        <v>3</v>
      </c>
      <c r="E14" s="2011" t="s">
        <v>1195</v>
      </c>
      <c r="F14" s="2397"/>
      <c r="G14" s="2397"/>
      <c r="H14" s="2397"/>
      <c r="I14" s="2088"/>
    </row>
    <row r="15" spans="1:12" ht="12.75">
      <c r="A15" s="3644"/>
      <c r="B15" s="3660"/>
      <c r="C15" s="3664"/>
      <c r="D15" s="3666"/>
      <c r="E15" s="2011" t="s">
        <v>1196</v>
      </c>
      <c r="F15" s="2397"/>
      <c r="G15" s="2397"/>
      <c r="H15" s="2397"/>
      <c r="I15" s="2088"/>
    </row>
    <row r="16" spans="1:12" ht="12.75">
      <c r="A16" s="3644"/>
      <c r="B16" s="3660"/>
      <c r="C16" s="3665"/>
      <c r="D16" s="3666"/>
      <c r="E16" s="2011" t="s">
        <v>1197</v>
      </c>
      <c r="F16" s="2397"/>
      <c r="G16" s="2397"/>
      <c r="H16" s="2397"/>
      <c r="I16" s="2088"/>
    </row>
    <row r="17" spans="1:36" ht="15">
      <c r="A17" s="2398" t="s">
        <v>1198</v>
      </c>
      <c r="B17" s="2399"/>
      <c r="C17" s="2400">
        <f>SUM(C5:C16)</f>
        <v>7</v>
      </c>
      <c r="D17" s="2400">
        <f>SUM(D5:D16)</f>
        <v>3</v>
      </c>
      <c r="E17" s="610"/>
      <c r="F17" s="610"/>
      <c r="G17" s="610"/>
      <c r="H17" s="610"/>
      <c r="I17" s="610"/>
      <c r="K17" s="1971"/>
      <c r="L17" s="1971" t="s">
        <v>1199</v>
      </c>
      <c r="M17" s="1971" t="s">
        <v>1200</v>
      </c>
    </row>
    <row r="18" spans="1:36" ht="31.9" customHeight="1">
      <c r="A18" s="2401" t="s">
        <v>1201</v>
      </c>
      <c r="B18" s="2402"/>
      <c r="C18" s="2403">
        <f>ROUND(C17/SUM(C17:D17),2)</f>
        <v>0.7</v>
      </c>
      <c r="D18" s="2403">
        <f>1-C18</f>
        <v>0.3</v>
      </c>
      <c r="E18" s="3593" t="s">
        <v>1202</v>
      </c>
      <c r="F18" s="3594"/>
      <c r="G18" s="3594"/>
      <c r="H18" s="3594"/>
      <c r="I18" s="3594"/>
      <c r="K18" s="1971" t="s">
        <v>505</v>
      </c>
      <c r="L18" s="1971">
        <f>IF(C1="",'数据-汇总表'!E3,SUMIF(项目类型,C1,'数据-汇总表'!E17:E26)+SUMIF(项目类型,C1,'数据-汇总表'!I17:I26))</f>
        <v>30.6</v>
      </c>
      <c r="M18" s="1971">
        <f>IF(C1="",'数据-汇总表'!E3,SUMIF(项目类型,C1,'数据-汇总表'!E17:E26))</f>
        <v>30.6</v>
      </c>
    </row>
    <row r="19" spans="1:36" ht="15">
      <c r="A19" s="2404" t="s">
        <v>1203</v>
      </c>
      <c r="B19" s="2405" t="s">
        <v>1204</v>
      </c>
      <c r="C19" s="2406">
        <f ca="1">SUMIF(INDIRECT("'"&amp;C4&amp;"'"&amp;"!A:A"),结果表!B19,INDIRECT("'"&amp;C4&amp;"'"&amp;"!B:B"))</f>
        <v>14.8714</v>
      </c>
      <c r="D19" s="1456">
        <f ca="1">SUMIF(INDIRECT("'"&amp;D4&amp;"'"&amp;"!A:A"),结果表!B19,INDIRECT("'"&amp;D4&amp;"'"&amp;"!B:B"))</f>
        <v>4.9730999999999996</v>
      </c>
      <c r="E19" s="2404" t="s">
        <v>1205</v>
      </c>
      <c r="F19" s="2405" t="s">
        <v>1204</v>
      </c>
      <c r="G19" s="2407">
        <f ca="1">ROUND(C19*$C$18+D19*$D$18,4)</f>
        <v>11.901899999999999</v>
      </c>
      <c r="H19" s="2408" t="s">
        <v>1206</v>
      </c>
      <c r="I19" s="610"/>
      <c r="K19" s="1971" t="s">
        <v>509</v>
      </c>
      <c r="L19" s="1971">
        <f>IF(C1="",'数据-汇总表'!D3,SUMIF(项目类型,C1,'数据-汇总表'!D17:D26)+SUMIF(项目类型,C1,'数据-汇总表'!H17:H27))</f>
        <v>0</v>
      </c>
      <c r="M19" s="1971">
        <f>IF(C1="",'数据-汇总表'!D3,SUMIF(项目类型,C1,'数据-汇总表'!D17:D26))</f>
        <v>0</v>
      </c>
    </row>
    <row r="20" spans="1:36" ht="15">
      <c r="A20" s="2409"/>
      <c r="B20" s="2410" t="s">
        <v>1207</v>
      </c>
      <c r="C20" s="1706">
        <f ca="1">SUMIF(INDIRECT("'"&amp;C4&amp;"'"&amp;"!A:A"),结果表!B20,INDIRECT("'"&amp;C4&amp;"'"&amp;"!B:B"))</f>
        <v>4860</v>
      </c>
      <c r="D20" s="1709">
        <f ca="1">SUMIF(INDIRECT("'"&amp;D4&amp;"'"&amp;"!A:A"),结果表!B20,INDIRECT("'"&amp;D4&amp;"'"&amp;"!B:B"))</f>
        <v>1625</v>
      </c>
      <c r="E20" s="2409"/>
      <c r="F20" s="2410" t="s">
        <v>1207</v>
      </c>
      <c r="G20" s="2411">
        <f ca="1">ROUND(C20*$C$18+D20*$D$18,0)</f>
        <v>3890</v>
      </c>
      <c r="H20" s="2125" t="s">
        <v>1208</v>
      </c>
      <c r="I20" s="610"/>
    </row>
    <row r="21" spans="1:36" ht="15" customHeight="1">
      <c r="A21" s="2297"/>
      <c r="B21" s="2412" t="s">
        <v>1209</v>
      </c>
      <c r="C21" s="2413" t="e">
        <f ca="1">ROUND(C19*10000/L19,0)</f>
        <v>#DIV/0!</v>
      </c>
      <c r="D21" s="2414" t="e">
        <f ca="1">ROUND(D19*10000/L19,0)</f>
        <v>#DIV/0!</v>
      </c>
      <c r="E21" s="2297"/>
      <c r="F21" s="2412" t="s">
        <v>1209</v>
      </c>
      <c r="G21" s="2415" t="e">
        <f ca="1">ROUND(G19*10000/L19,0)</f>
        <v>#DIV/0!</v>
      </c>
      <c r="H21" s="2416" t="s">
        <v>1208</v>
      </c>
      <c r="I21" s="610"/>
    </row>
    <row r="22" spans="1:36" ht="14.25">
      <c r="A22" s="2417" t="s">
        <v>1210</v>
      </c>
      <c r="B22" s="2418"/>
      <c r="C22" s="2419"/>
      <c r="D22" s="2420">
        <f ca="1">IF(C19&lt;D19,D19/C19-1,C19/D19-1)</f>
        <v>1.9903681808127729</v>
      </c>
      <c r="E22" s="610"/>
      <c r="F22" s="610"/>
      <c r="G22" s="610"/>
      <c r="H22" s="610"/>
      <c r="I22" s="610"/>
    </row>
    <row r="23" spans="1:36" ht="12.75">
      <c r="A23" s="2385"/>
      <c r="B23" s="2385"/>
      <c r="C23" s="2385"/>
      <c r="D23" s="2385"/>
      <c r="E23" s="610"/>
      <c r="F23" s="610"/>
      <c r="G23" s="610"/>
      <c r="H23" s="610"/>
      <c r="I23" s="610"/>
    </row>
    <row r="24" spans="1:36" ht="14.25">
      <c r="A24" s="3653" t="s">
        <v>1211</v>
      </c>
      <c r="B24" s="2405" t="s">
        <v>1204</v>
      </c>
      <c r="C24" s="2407">
        <f>IF(B30=0,0,D30)</f>
        <v>0</v>
      </c>
      <c r="D24" s="2421"/>
      <c r="E24" s="610"/>
      <c r="F24" s="610"/>
      <c r="G24" s="610"/>
      <c r="H24" s="610"/>
      <c r="I24" s="610"/>
    </row>
    <row r="25" spans="1:36" ht="14.25">
      <c r="A25" s="3654"/>
      <c r="B25" s="2410" t="s">
        <v>1207</v>
      </c>
      <c r="C25" s="2422">
        <f>IF(B30=0,0,C30)</f>
        <v>0</v>
      </c>
      <c r="D25" s="2423"/>
      <c r="E25" s="610"/>
      <c r="F25" s="610"/>
      <c r="G25" s="610"/>
      <c r="H25" s="610"/>
      <c r="I25" s="610"/>
    </row>
    <row r="26" spans="1:36" ht="13.5" customHeight="1">
      <c r="A26" s="2424" t="s">
        <v>1212</v>
      </c>
      <c r="B26" s="2425" t="s">
        <v>1213</v>
      </c>
      <c r="C26" s="2425" t="s">
        <v>1214</v>
      </c>
      <c r="D26" s="2426" t="s">
        <v>1215</v>
      </c>
      <c r="E26" s="610"/>
      <c r="F26" s="610"/>
      <c r="G26" s="610"/>
      <c r="H26" s="610"/>
      <c r="I26" s="610"/>
    </row>
    <row r="27" spans="1:36" ht="14.25">
      <c r="A27" s="2424"/>
      <c r="B27" s="2425">
        <v>0</v>
      </c>
      <c r="C27" s="2425">
        <v>0</v>
      </c>
      <c r="D27" s="2426">
        <f>ROUND(C27*B27/10000,0)</f>
        <v>0</v>
      </c>
      <c r="E27" s="610"/>
      <c r="F27" s="610"/>
      <c r="G27" s="610"/>
      <c r="H27" s="610"/>
      <c r="I27" s="610"/>
    </row>
    <row r="28" spans="1:36" ht="14.25">
      <c r="A28" s="2424"/>
      <c r="B28" s="2425"/>
      <c r="C28" s="2425"/>
      <c r="D28" s="2426"/>
      <c r="E28" s="610"/>
      <c r="F28" s="610"/>
      <c r="G28" s="610"/>
      <c r="H28" s="610"/>
      <c r="I28" s="610"/>
    </row>
    <row r="29" spans="1:36" ht="14.25">
      <c r="A29" s="2424"/>
      <c r="B29" s="2425"/>
      <c r="C29" s="2425"/>
      <c r="D29" s="2426"/>
      <c r="E29" s="610"/>
      <c r="F29" s="610"/>
      <c r="G29" s="610"/>
      <c r="H29" s="610"/>
      <c r="I29" s="610"/>
    </row>
    <row r="30" spans="1:36" ht="14.25">
      <c r="A30" s="2425" t="s">
        <v>1216</v>
      </c>
      <c r="B30" s="2425"/>
      <c r="C30" s="2425"/>
      <c r="D30" s="2425"/>
      <c r="E30" s="2427" t="s">
        <v>1217</v>
      </c>
      <c r="F30" s="610"/>
      <c r="G30" s="610"/>
      <c r="H30" s="610"/>
      <c r="I30" s="610"/>
    </row>
    <row r="31" spans="1:36" s="2379" customFormat="1" ht="26.45" customHeight="1">
      <c r="A31" s="2428"/>
      <c r="B31" s="2429"/>
      <c r="C31" s="2429"/>
      <c r="D31" s="2429"/>
      <c r="E31" s="2429"/>
      <c r="F31" s="2429"/>
      <c r="G31" s="2429"/>
      <c r="H31" s="2429"/>
      <c r="I31" s="2523" t="s">
        <v>1218</v>
      </c>
      <c r="J31" s="2524"/>
      <c r="K31" s="2525"/>
      <c r="L31" s="2525"/>
      <c r="M31" s="2525"/>
      <c r="N31" s="2525"/>
      <c r="O31" s="2525"/>
      <c r="P31" s="2525"/>
      <c r="Q31" s="2525"/>
      <c r="R31" s="2525"/>
      <c r="S31" s="2525"/>
      <c r="T31" s="2525"/>
      <c r="U31" s="2525"/>
      <c r="V31" s="2525"/>
      <c r="W31" s="2525"/>
      <c r="X31" s="2525"/>
      <c r="Y31" s="2525"/>
      <c r="Z31" s="2525"/>
      <c r="AA31" s="2525"/>
      <c r="AB31" s="2555"/>
      <c r="AC31" s="2555"/>
      <c r="AD31" s="2555"/>
      <c r="AE31" s="2555"/>
      <c r="AF31" s="2555"/>
      <c r="AG31" s="2555"/>
      <c r="AH31" s="2555"/>
      <c r="AI31" s="2555"/>
      <c r="AJ31" s="2555"/>
    </row>
    <row r="32" spans="1:36" ht="15">
      <c r="A32" s="2430" t="s">
        <v>1219</v>
      </c>
      <c r="B32" s="2431"/>
      <c r="C32" s="2432">
        <f ca="1">IF(D32="总价",G19-C24,G20-C25)</f>
        <v>3890</v>
      </c>
      <c r="D32" s="2433"/>
      <c r="E32" s="610"/>
      <c r="F32" s="610"/>
      <c r="G32" s="610"/>
      <c r="H32" s="610"/>
      <c r="I32" s="610"/>
    </row>
    <row r="33" spans="1:15" ht="15">
      <c r="A33" s="2238" t="s">
        <v>1220</v>
      </c>
      <c r="B33" s="2434"/>
      <c r="C33" s="2435"/>
      <c r="D33" s="2436"/>
      <c r="E33" s="2437" t="s">
        <v>1221</v>
      </c>
      <c r="F33" s="2438" t="str">
        <f>IF(D32="楼面单价","取值（单价）","取值（总价）")</f>
        <v>取值（总价）</v>
      </c>
      <c r="G33" s="610"/>
      <c r="H33" s="610"/>
      <c r="I33" s="610"/>
    </row>
    <row r="34" spans="1:15" ht="15">
      <c r="A34" s="2439"/>
      <c r="B34" s="2440" t="s">
        <v>1222</v>
      </c>
      <c r="C34" s="2441" t="e">
        <f ca="1">IF(C33="自定义",F34,C32-C35)</f>
        <v>#REF!</v>
      </c>
      <c r="D34" s="2442" t="e">
        <f ca="1">IF(C33="自定义",ROUND(C34/C32,3),IF(C33="收益比率",SUMIF(INDIRECT("'"&amp;D33&amp;"'"&amp;"!b:b"),"土地收益比率",INDIRECT("'"&amp;D33&amp;"'"&amp;"!c:c")),SUMIF(INDIRECT("'"&amp;D33&amp;"'"&amp;"!b:b"),"土地成本比率",INDIRECT("'"&amp;D33&amp;"'"&amp;"!c:c"))))</f>
        <v>#REF!</v>
      </c>
      <c r="E34" s="2443" t="s">
        <v>1223</v>
      </c>
      <c r="F34" s="2444"/>
      <c r="G34" s="610"/>
      <c r="H34" s="610"/>
      <c r="I34" s="610"/>
    </row>
    <row r="35" spans="1:15" ht="15">
      <c r="A35" s="2445"/>
      <c r="B35" s="2446" t="s">
        <v>1224</v>
      </c>
      <c r="C35" s="2447" t="e">
        <f ca="1">IF(C33="自定义",F35,ROUND(C32*D35,0))</f>
        <v>#REF!</v>
      </c>
      <c r="D35" s="2448" t="e">
        <f ca="1">IF(C33="自定义",ROUND(C35/C32,3),IF(C33="收益比率",SUMIF(INDIRECT("'"&amp;D33&amp;"'"&amp;"!b:b"),"建筑物收益比率",INDIRECT("'"&amp;D33&amp;"'"&amp;"!c:c")),SUMIF(INDIRECT("'"&amp;D33&amp;"'"&amp;"!b:b"),"建筑物成本比率",INDIRECT("'"&amp;D33&amp;"'"&amp;"!c:c"))))</f>
        <v>#REF!</v>
      </c>
      <c r="E35" s="2449" t="s">
        <v>1225</v>
      </c>
      <c r="F35" s="2450"/>
      <c r="G35" s="610"/>
      <c r="H35" s="610"/>
      <c r="I35" s="610"/>
    </row>
    <row r="36" spans="1:15" ht="15">
      <c r="A36" s="3655" t="s">
        <v>1226</v>
      </c>
      <c r="B36" s="2451" t="s">
        <v>1227</v>
      </c>
      <c r="C36" s="2452"/>
      <c r="D36" s="2453"/>
      <c r="E36" s="2454"/>
      <c r="F36" s="2455"/>
      <c r="G36" s="610"/>
      <c r="H36" s="610"/>
      <c r="I36" s="610"/>
    </row>
    <row r="37" spans="1:15" ht="15">
      <c r="A37" s="3656"/>
      <c r="B37" s="2456" t="s">
        <v>1228</v>
      </c>
      <c r="C37" s="2457"/>
      <c r="D37" s="2458"/>
      <c r="E37" s="2458"/>
      <c r="F37" s="2455"/>
      <c r="G37" s="610"/>
      <c r="H37" s="610"/>
      <c r="I37" s="610"/>
    </row>
    <row r="38" spans="1:15" ht="15">
      <c r="A38" s="3657"/>
      <c r="B38" s="2459" t="s">
        <v>1229</v>
      </c>
      <c r="C38" s="2460"/>
      <c r="D38" s="2461" t="s">
        <v>1230</v>
      </c>
      <c r="E38" s="2458"/>
      <c r="F38" s="2455"/>
      <c r="G38" s="610"/>
      <c r="H38" s="610"/>
      <c r="I38" s="610"/>
    </row>
    <row r="39" spans="1:15" ht="15">
      <c r="A39" s="2409" t="s">
        <v>1231</v>
      </c>
      <c r="B39" s="2462" t="s">
        <v>1213</v>
      </c>
      <c r="C39" s="2463" t="s">
        <v>1214</v>
      </c>
      <c r="D39" s="2463" t="s">
        <v>1232</v>
      </c>
      <c r="E39" s="2464" t="s">
        <v>1215</v>
      </c>
      <c r="F39" s="2455"/>
      <c r="G39" s="610"/>
      <c r="H39" s="610"/>
      <c r="I39" s="610"/>
    </row>
    <row r="40" spans="1:15" ht="14.25">
      <c r="A40" s="2465" t="s">
        <v>1233</v>
      </c>
      <c r="B40" s="2466"/>
      <c r="C40" s="628"/>
      <c r="D40" s="628"/>
      <c r="E40" s="2467"/>
      <c r="F40" s="2455"/>
      <c r="G40" s="610"/>
      <c r="H40" s="610"/>
      <c r="I40" s="610"/>
    </row>
    <row r="41" spans="1:15" ht="14.25">
      <c r="A41" s="2465" t="s">
        <v>1234</v>
      </c>
      <c r="B41" s="2466"/>
      <c r="C41" s="628"/>
      <c r="D41" s="628"/>
      <c r="E41" s="2467"/>
      <c r="F41" s="2455"/>
      <c r="G41" s="610"/>
      <c r="H41" s="610"/>
      <c r="I41" s="610"/>
    </row>
    <row r="42" spans="1:15" ht="14.25">
      <c r="A42" s="2468"/>
      <c r="B42" s="2469"/>
      <c r="C42" s="2470"/>
      <c r="D42" s="2470"/>
      <c r="E42" s="2450"/>
      <c r="F42" s="2455"/>
      <c r="G42" s="610"/>
      <c r="H42" s="610"/>
      <c r="I42" s="610"/>
    </row>
    <row r="43" spans="1:15" ht="12.75">
      <c r="A43" s="2471"/>
      <c r="B43" s="2471"/>
      <c r="C43" s="2471"/>
      <c r="D43" s="2471"/>
      <c r="E43" s="2471"/>
      <c r="F43" s="2472"/>
      <c r="G43" s="2472"/>
      <c r="H43" s="2472"/>
      <c r="I43" s="2526"/>
    </row>
    <row r="44" spans="1:15" ht="18.75">
      <c r="A44" s="2473" t="s">
        <v>1235</v>
      </c>
      <c r="B44" s="2474"/>
      <c r="C44" s="2474"/>
      <c r="D44" s="2475"/>
      <c r="E44" s="2475"/>
      <c r="F44" s="2476"/>
      <c r="G44" s="2476"/>
      <c r="H44" s="2476"/>
      <c r="I44" s="2476"/>
      <c r="J44" s="2527" t="s">
        <v>1236</v>
      </c>
      <c r="K44" s="2528"/>
      <c r="L44" s="2528"/>
      <c r="M44" s="2528"/>
      <c r="N44" s="2528"/>
      <c r="O44" s="2528"/>
    </row>
    <row r="45" spans="1:15" ht="14.25" customHeight="1">
      <c r="A45" s="3595" t="s">
        <v>1237</v>
      </c>
      <c r="B45" s="3596"/>
      <c r="C45" s="3597"/>
      <c r="D45" s="1970" t="e">
        <f ca="1">ROUND(H101*F45,0)</f>
        <v>#REF!</v>
      </c>
      <c r="E45" s="2477" t="s">
        <v>1238</v>
      </c>
      <c r="F45" s="2478">
        <v>1</v>
      </c>
      <c r="G45" s="2479" t="s">
        <v>1239</v>
      </c>
      <c r="H45" s="610"/>
      <c r="I45" s="610"/>
      <c r="J45" s="3598" t="s">
        <v>1240</v>
      </c>
      <c r="K45" s="3598"/>
      <c r="L45" s="3598"/>
      <c r="M45" s="3598"/>
      <c r="N45" s="3598"/>
      <c r="O45" s="3598"/>
    </row>
    <row r="46" spans="1:15" ht="14.25" customHeight="1">
      <c r="A46" s="3599" t="s">
        <v>1241</v>
      </c>
      <c r="B46" s="3600"/>
      <c r="C46" s="3600"/>
      <c r="D46" s="3600"/>
      <c r="E46" s="3600"/>
      <c r="F46" s="3600"/>
      <c r="G46" s="3601"/>
      <c r="H46" s="2480"/>
      <c r="I46" s="611"/>
      <c r="J46" s="770">
        <v>1</v>
      </c>
      <c r="K46" s="3602" t="s">
        <v>1242</v>
      </c>
      <c r="L46" s="3602"/>
      <c r="M46" s="3603"/>
      <c r="N46" s="3603"/>
      <c r="O46" s="3603"/>
    </row>
    <row r="47" spans="1:15" ht="12" customHeight="1">
      <c r="A47" s="2481" t="s">
        <v>1243</v>
      </c>
      <c r="B47" s="2482"/>
      <c r="C47" s="2483"/>
      <c r="D47" s="2021" t="s">
        <v>1244</v>
      </c>
      <c r="E47" s="1971" t="s">
        <v>1245</v>
      </c>
      <c r="F47" s="2484" t="s">
        <v>1246</v>
      </c>
      <c r="G47" s="2485" t="s">
        <v>1247</v>
      </c>
      <c r="H47" s="2486"/>
      <c r="I47" s="611"/>
      <c r="J47" s="770">
        <v>2</v>
      </c>
      <c r="K47" s="3602" t="s">
        <v>1248</v>
      </c>
      <c r="L47" s="3602"/>
      <c r="M47" s="3604">
        <f>'数据-取费表'!B2</f>
        <v>45911</v>
      </c>
      <c r="N47" s="3604"/>
      <c r="O47" s="3604"/>
    </row>
    <row r="48" spans="1:15" ht="25.5">
      <c r="A48" s="3605" t="s">
        <v>1249</v>
      </c>
      <c r="B48" s="3606"/>
      <c r="C48" s="3606"/>
      <c r="D48" s="2123" t="b">
        <f>IF(H48="情况1",0,IF(H48="情况2",D52,IF(H48="情况3",D53,IF(H48="情况4",D54))))</f>
        <v>0</v>
      </c>
      <c r="E48" s="2025" t="str">
        <f>IF(H48="情况4","(销售额-原购置价)×税（费）率","销售额×税（费）率")</f>
        <v>销售额×税（费）率</v>
      </c>
      <c r="F48" s="2488">
        <f>IF(H48="情况1","免征",'数据-取费表'!B41)</f>
        <v>5.5E-2</v>
      </c>
      <c r="G48" s="2489" t="s">
        <v>1250</v>
      </c>
      <c r="H48" s="2490"/>
      <c r="I48" s="2480"/>
      <c r="J48" s="770">
        <v>3</v>
      </c>
      <c r="K48" s="3602" t="s">
        <v>1251</v>
      </c>
      <c r="L48" s="3602"/>
      <c r="M48" s="3607" t="e">
        <f ca="1">H101</f>
        <v>#REF!</v>
      </c>
      <c r="N48" s="3607"/>
      <c r="O48" s="3607"/>
    </row>
    <row r="49" spans="1:35" ht="25.5" customHeight="1">
      <c r="A49" s="2487" t="s">
        <v>1252</v>
      </c>
      <c r="B49" s="3608" t="s">
        <v>1253</v>
      </c>
      <c r="C49" s="3608"/>
      <c r="D49" s="2491">
        <v>0</v>
      </c>
      <c r="E49" s="2031" t="s">
        <v>1254</v>
      </c>
      <c r="F49" s="2492" t="s">
        <v>124</v>
      </c>
      <c r="G49" s="3667"/>
      <c r="H49" s="2493" t="s">
        <v>1255</v>
      </c>
      <c r="I49" s="2530"/>
      <c r="J49" s="770">
        <v>4</v>
      </c>
      <c r="K49" s="3602" t="str">
        <f>IF(项目基本情况!E8="房地产抵押价值","房地产抵押价值","抵押担保权已注销时的房地产抵押价值")</f>
        <v>房地产抵押价值</v>
      </c>
      <c r="L49" s="3602"/>
      <c r="M49" s="3607" t="str">
        <f ca="1">IF(项目基本情况!E8="房地产抵押价值",H107,H109)</f>
        <v>——</v>
      </c>
      <c r="N49" s="3607"/>
      <c r="O49" s="3607"/>
    </row>
    <row r="50" spans="1:35" ht="25.5" customHeight="1">
      <c r="A50" s="2494"/>
      <c r="B50" s="3608" t="s">
        <v>1256</v>
      </c>
      <c r="C50" s="3608"/>
      <c r="D50" s="2495"/>
      <c r="E50" s="2046"/>
      <c r="F50" s="2492"/>
      <c r="G50" s="3668"/>
      <c r="H50" s="2496" t="s">
        <v>1257</v>
      </c>
      <c r="I50" s="2530"/>
      <c r="J50" s="3598" t="s">
        <v>1258</v>
      </c>
      <c r="K50" s="3598"/>
      <c r="L50" s="3598"/>
      <c r="M50" s="3598"/>
      <c r="N50" s="3598"/>
      <c r="O50" s="3598"/>
    </row>
    <row r="51" spans="1:35" ht="20.45" customHeight="1">
      <c r="A51" s="2497"/>
      <c r="B51" s="3608" t="s">
        <v>1259</v>
      </c>
      <c r="C51" s="3608"/>
      <c r="D51" s="2021"/>
      <c r="E51" s="2035"/>
      <c r="F51" s="2492"/>
      <c r="G51" s="3669"/>
      <c r="H51" s="2496" t="s">
        <v>1260</v>
      </c>
      <c r="I51" s="2530"/>
      <c r="J51" s="2529" t="s">
        <v>1261</v>
      </c>
      <c r="K51" s="3602" t="s">
        <v>1262</v>
      </c>
      <c r="L51" s="3602"/>
      <c r="M51" s="2529" t="s">
        <v>1263</v>
      </c>
      <c r="N51" s="2529" t="s">
        <v>1264</v>
      </c>
      <c r="O51" s="2529" t="s">
        <v>1265</v>
      </c>
    </row>
    <row r="52" spans="1:35" ht="24" customHeight="1">
      <c r="A52" s="2498" t="s">
        <v>1266</v>
      </c>
      <c r="B52" s="3608" t="s">
        <v>1267</v>
      </c>
      <c r="C52" s="3608"/>
      <c r="D52" s="2021" t="e">
        <f ca="1">ROUND(D45*'数据-取费表'!B41/(1+'数据-取费表'!C42),0)</f>
        <v>#REF!</v>
      </c>
      <c r="E52" s="2025" t="s">
        <v>1268</v>
      </c>
      <c r="F52" s="2499">
        <f>'数据-取费表'!B41</f>
        <v>5.5E-2</v>
      </c>
      <c r="G52" s="2500"/>
      <c r="H52" s="2138"/>
      <c r="I52" s="2531"/>
      <c r="J52" s="770">
        <v>1</v>
      </c>
      <c r="K52" s="3609" t="s">
        <v>1269</v>
      </c>
      <c r="L52" s="3609"/>
      <c r="M52" s="2532" t="b">
        <f>D48</f>
        <v>0</v>
      </c>
      <c r="N52" s="770" t="str">
        <f>E48</f>
        <v>销售额×税（费）率</v>
      </c>
      <c r="O52" s="2533">
        <f>F48</f>
        <v>5.5E-2</v>
      </c>
    </row>
    <row r="53" spans="1:35" ht="12" customHeight="1">
      <c r="A53" s="2498" t="s">
        <v>1270</v>
      </c>
      <c r="B53" s="3610" t="s">
        <v>1271</v>
      </c>
      <c r="C53" s="3611"/>
      <c r="D53" s="2021" t="e">
        <f ca="1">ROUND(D45*'数据-取费表'!B41/(1+'数据-取费表'!C42),0)</f>
        <v>#REF!</v>
      </c>
      <c r="E53" s="2025" t="s">
        <v>1268</v>
      </c>
      <c r="F53" s="2499">
        <f>'数据-取费表'!B41</f>
        <v>5.5E-2</v>
      </c>
      <c r="G53" s="2500"/>
      <c r="H53" s="2138"/>
      <c r="I53" s="2531"/>
      <c r="J53" s="770">
        <v>2</v>
      </c>
      <c r="K53" s="3609" t="s">
        <v>1272</v>
      </c>
      <c r="L53" s="3609"/>
      <c r="M53" s="2532" t="e">
        <f t="shared" ref="M53:O54" ca="1" si="0">D55</f>
        <v>#REF!</v>
      </c>
      <c r="N53" s="770" t="str">
        <f t="shared" si="0"/>
        <v>销售额×税（费）率</v>
      </c>
      <c r="O53" s="2533" t="str">
        <f t="shared" si="0"/>
        <v>免征</v>
      </c>
    </row>
    <row r="54" spans="1:35" ht="12" customHeight="1">
      <c r="A54" s="2498" t="s">
        <v>1273</v>
      </c>
      <c r="B54" s="3610" t="s">
        <v>1274</v>
      </c>
      <c r="C54" s="3611"/>
      <c r="D54" s="2021" t="e">
        <f ca="1">C68</f>
        <v>#REF!</v>
      </c>
      <c r="E54" s="2035" t="s">
        <v>1275</v>
      </c>
      <c r="F54" s="2499">
        <f>'数据-取费表'!B41</f>
        <v>5.5E-2</v>
      </c>
      <c r="G54" s="2500"/>
      <c r="H54" s="2501"/>
      <c r="I54" s="2531"/>
      <c r="J54" s="770">
        <v>3</v>
      </c>
      <c r="K54" s="3609" t="s">
        <v>1276</v>
      </c>
      <c r="L54" s="3609"/>
      <c r="M54" s="2532" t="e">
        <f t="shared" ca="1" si="0"/>
        <v>#REF!</v>
      </c>
      <c r="N54" s="770" t="str">
        <f t="shared" si="0"/>
        <v>增值额×税（费）率</v>
      </c>
      <c r="O54" s="2534" t="str">
        <f t="shared" si="0"/>
        <v>免征</v>
      </c>
    </row>
    <row r="55" spans="1:35" ht="24" customHeight="1">
      <c r="A55" s="3612" t="s">
        <v>1277</v>
      </c>
      <c r="B55" s="3606"/>
      <c r="C55" s="3606"/>
      <c r="D55" s="2123" t="e">
        <f ca="1">IF(H55="个人住宅",0,ROUND(D45*I55,0))</f>
        <v>#REF!</v>
      </c>
      <c r="E55" s="2025" t="s">
        <v>1278</v>
      </c>
      <c r="F55" s="2499" t="str">
        <f>IF(H55="正常",I55,"免征")</f>
        <v>免征</v>
      </c>
      <c r="G55" s="2500"/>
      <c r="H55" s="2490"/>
      <c r="I55" s="2535">
        <f>'数据-取费表'!B49</f>
        <v>5.0000000000000001E-4</v>
      </c>
      <c r="J55" s="770">
        <f>IF(H59="非个人房产","",4)</f>
        <v>4</v>
      </c>
      <c r="K55" s="3609" t="str">
        <f>IF(H59="非个人房产","——","个人所得税")</f>
        <v>个人所得税</v>
      </c>
      <c r="L55" s="3609"/>
      <c r="M55" s="2536" t="e">
        <f ca="1">D59</f>
        <v>#REF!</v>
      </c>
      <c r="N55" s="751" t="str">
        <f>E59</f>
        <v>差额计税</v>
      </c>
      <c r="O55" s="2537">
        <f>F59</f>
        <v>0.01</v>
      </c>
    </row>
    <row r="56" spans="1:35" ht="24.75">
      <c r="A56" s="3612" t="s">
        <v>1279</v>
      </c>
      <c r="B56" s="3606"/>
      <c r="C56" s="3606"/>
      <c r="D56" s="2123" t="e">
        <f ca="1">IF(H56="个人住宅",D57,D58)</f>
        <v>#REF!</v>
      </c>
      <c r="E56" s="2025" t="s">
        <v>1280</v>
      </c>
      <c r="F56" s="2499" t="str">
        <f>IF(H56="正常",F58,"免征")</f>
        <v>免征</v>
      </c>
      <c r="G56" s="2502" t="s">
        <v>1281</v>
      </c>
      <c r="H56" s="2503"/>
      <c r="I56" s="2512"/>
      <c r="J56" s="770" t="str">
        <f>IF(项目基本情况!K6="上海银行",IF(J55="",4,J55+1),"")</f>
        <v/>
      </c>
      <c r="K56" s="3613" t="str">
        <f>IF(项目基本情况!K6="上海银行","其他处置费用","")</f>
        <v/>
      </c>
      <c r="L56" s="3614"/>
      <c r="M56" s="2532" t="str">
        <f>IF(项目基本情况!K6="上海银行",M69,"")</f>
        <v/>
      </c>
      <c r="N56" s="3613" t="str">
        <f>IF(项目基本情况!K6="上海银行","包含处置中涉及的律师、诉讼、拍卖、评估等费用","")</f>
        <v/>
      </c>
      <c r="O56" s="3615"/>
    </row>
    <row r="57" spans="1:35" ht="12.75">
      <c r="A57" s="2498" t="s">
        <v>1252</v>
      </c>
      <c r="B57" s="3610" t="s">
        <v>1282</v>
      </c>
      <c r="C57" s="3611"/>
      <c r="D57" s="2491">
        <v>0</v>
      </c>
      <c r="E57" s="2031" t="s">
        <v>1254</v>
      </c>
      <c r="F57" s="1971"/>
      <c r="G57" s="2500"/>
      <c r="H57" s="2504"/>
      <c r="I57" s="2512"/>
      <c r="J57" s="3609">
        <f>IF(AND(J55="",J56=""),4,IF(项目基本情况!K6="上海银行",结果表!J56+1,结果表!J55+1))</f>
        <v>5</v>
      </c>
      <c r="K57" s="3609" t="s">
        <v>1283</v>
      </c>
      <c r="L57" s="2538" t="s">
        <v>1284</v>
      </c>
      <c r="M57" s="2539"/>
      <c r="N57" s="2540">
        <f ca="1">SUMIF(M52:M56,"&lt;9e307")</f>
        <v>0</v>
      </c>
      <c r="O57" s="2541"/>
      <c r="P57" s="2542" t="e">
        <f ca="1">N57/M49</f>
        <v>#VALUE!</v>
      </c>
    </row>
    <row r="58" spans="1:35" ht="24.75">
      <c r="A58" s="2498" t="s">
        <v>1266</v>
      </c>
      <c r="B58" s="3610" t="s">
        <v>1285</v>
      </c>
      <c r="C58" s="3608"/>
      <c r="D58" s="2123" t="e">
        <f ca="1">IF(H58="转让取得",C81,C97)</f>
        <v>#REF!</v>
      </c>
      <c r="E58" s="2025" t="s">
        <v>1280</v>
      </c>
      <c r="F58" s="1971" t="s">
        <v>124</v>
      </c>
      <c r="G58" s="2500"/>
      <c r="H58" s="2503"/>
      <c r="I58" s="2512"/>
      <c r="J58" s="3609"/>
      <c r="K58" s="3609"/>
      <c r="L58" s="2538" t="s">
        <v>1286</v>
      </c>
      <c r="M58" s="2543"/>
      <c r="N58" s="2544" t="str">
        <f ca="1">NUMBERSTRING(INT(N57*10000),2)&amp;"元整"</f>
        <v>零元整</v>
      </c>
      <c r="O58" s="2545"/>
    </row>
    <row r="59" spans="1:35" ht="24">
      <c r="A59" s="3616" t="s">
        <v>1287</v>
      </c>
      <c r="B59" s="3617"/>
      <c r="C59" s="3617"/>
      <c r="D59" s="2505">
        <f ca="1">IF(H59="非个人房产","——",IF(H59="个人住宅（满五唯一有凭证）",0,IF(H59="个人其他（无凭证）",ROUND(D45/(1+'数据-取费表'!C42)*F59,0),ROUND(C67*F59,0))))</f>
        <v>0</v>
      </c>
      <c r="E59" s="2506" t="str">
        <f>IF(H59="非个人房产","——",IF(H59="个人其他（无凭证）","销售额×税（费）率",IF(H59="个人住宅（满五唯一有凭证）","免征","差额计税")))</f>
        <v>差额计税</v>
      </c>
      <c r="F59" s="2507">
        <f>IF(OR(H59="非个人房产",H59="个人住宅（满五唯一有凭证）"),"——",IF(H59="个人其他（有凭证）",20%,1%))</f>
        <v>0.01</v>
      </c>
      <c r="G59" s="2508" t="s">
        <v>1281</v>
      </c>
      <c r="H59" s="2509"/>
      <c r="I59" s="2546" t="s">
        <v>1288</v>
      </c>
      <c r="J59" s="3670">
        <f>J57+1</f>
        <v>6</v>
      </c>
      <c r="K59" s="3609" t="s">
        <v>1289</v>
      </c>
      <c r="L59" s="770" t="s">
        <v>1284</v>
      </c>
      <c r="M59" s="2547"/>
      <c r="N59" s="2548" t="e">
        <f ca="1">M49-N57</f>
        <v>#VALUE!</v>
      </c>
      <c r="O59" s="2549"/>
    </row>
    <row r="60" spans="1:35" ht="12" customHeight="1">
      <c r="A60" s="2510"/>
      <c r="B60" s="2385"/>
      <c r="C60" s="2385"/>
      <c r="D60" s="2385"/>
      <c r="E60" s="2511"/>
      <c r="F60" s="2512"/>
      <c r="G60" s="2512"/>
      <c r="H60" s="2513"/>
      <c r="I60" s="610"/>
      <c r="J60" s="3671"/>
      <c r="K60" s="3609"/>
      <c r="L60" s="2538" t="s">
        <v>1286</v>
      </c>
      <c r="M60" s="2543"/>
      <c r="N60" s="2544" t="e">
        <f ca="1">NUMBERSTRING(INT(N59*10000),2)&amp;"元整"</f>
        <v>#VALUE!</v>
      </c>
      <c r="O60" s="2545"/>
    </row>
    <row r="61" spans="1:35" ht="12.75">
      <c r="A61" s="3618" t="s">
        <v>1290</v>
      </c>
      <c r="B61" s="3618"/>
      <c r="C61" s="3618"/>
      <c r="D61" s="3618"/>
      <c r="E61" s="3618"/>
      <c r="F61" s="2512"/>
      <c r="G61" s="2512"/>
      <c r="H61" s="2513"/>
      <c r="I61" s="610"/>
      <c r="J61" s="770">
        <f>J59+1</f>
        <v>7</v>
      </c>
      <c r="K61" s="3609" t="s">
        <v>1291</v>
      </c>
      <c r="L61" s="3609"/>
      <c r="M61" s="2550"/>
      <c r="N61" s="2551" t="e">
        <f ca="1">ROUND(N59*10000/'数据-汇总表'!E3,0)</f>
        <v>#VALUE!</v>
      </c>
      <c r="O61" s="2552"/>
    </row>
    <row r="62" spans="1:35" ht="12.75">
      <c r="A62" s="3619" t="s">
        <v>1292</v>
      </c>
      <c r="B62" s="3620"/>
      <c r="C62" s="721"/>
      <c r="D62" s="721" t="s">
        <v>1293</v>
      </c>
      <c r="E62" s="2514" t="s">
        <v>1247</v>
      </c>
      <c r="F62" s="2512"/>
      <c r="G62" s="2512"/>
      <c r="H62" s="2513"/>
      <c r="I62" s="610"/>
    </row>
    <row r="63" spans="1:35" ht="12.75">
      <c r="A63" s="2515" t="s">
        <v>1294</v>
      </c>
      <c r="B63" s="780" t="s">
        <v>1295</v>
      </c>
      <c r="C63" s="2516" t="e">
        <f ca="1">ROUND((C64+C65)/(1+'数据-取费表'!C42),0)</f>
        <v>#REF!</v>
      </c>
      <c r="D63" s="780"/>
      <c r="E63" s="2517"/>
      <c r="F63" s="2512"/>
      <c r="G63" s="2512"/>
      <c r="H63" s="2513"/>
      <c r="I63" s="610"/>
      <c r="J63" s="3672" t="s">
        <v>1296</v>
      </c>
      <c r="K63" s="2553" t="s">
        <v>1297</v>
      </c>
      <c r="L63" s="2553" t="e">
        <f ca="1">IF(M49&gt;10000,M49*0.5%,IF(AND(M49&gt;1000,M49&lt;=10000),M49*1%,IF(AND(M49&gt;100,M49&lt;=1000),M49*3%,IF(AND(M49&gt;10,M49&lt;=100),M49*5%,M49*8%))))</f>
        <v>#VALUE!</v>
      </c>
      <c r="M63" s="1971" t="e">
        <f ca="1">ROUND(L63,1)</f>
        <v>#VALUE!</v>
      </c>
      <c r="N63" s="2554"/>
      <c r="Z63" s="2382"/>
      <c r="AI63" s="2383"/>
    </row>
    <row r="64" spans="1:35" ht="14.25" customHeight="1">
      <c r="A64" s="2518" t="s">
        <v>1298</v>
      </c>
      <c r="B64" s="707" t="s">
        <v>1299</v>
      </c>
      <c r="C64" s="2519" t="e">
        <f ca="1">D45</f>
        <v>#REF!</v>
      </c>
      <c r="D64" s="707" t="s">
        <v>124</v>
      </c>
      <c r="E64" s="2520"/>
      <c r="F64" s="2512"/>
      <c r="G64" s="2512"/>
      <c r="H64" s="2513"/>
      <c r="I64" s="610"/>
      <c r="J64" s="3672"/>
      <c r="K64" s="2553" t="s">
        <v>1300</v>
      </c>
      <c r="L64" s="2553" t="e">
        <f ca="1">IF(M49&gt;2000,M49*0.5%,IF(AND(M49&gt;1000,M49&lt;=2000),M49*0.6%,IF(AND(M49&gt;500,M49&lt;=1000),M49*0.7%,IF(AND(M49&gt;200,M49&lt;=500),M49*0.8%,IF(AND(M49&gt;100,M49&lt;=200),M49*0.9%,IF(AND(M49&gt;50,M49&lt;=100),M49*1%,IF(AND(M49&gt;20,M49&lt;=50),M49*1.5%,IF(AND(M49&gt;10,M49&lt;=20),M49*2%,IF(AND(M49&gt;1,M49&lt;=10),M49*2.5%)))))))))</f>
        <v>#VALUE!</v>
      </c>
      <c r="M64" s="1971" t="e">
        <f t="shared" ref="M64:M65" ca="1" si="1">ROUND(L64,1)</f>
        <v>#VALUE!</v>
      </c>
      <c r="N64" s="2138" t="s">
        <v>1301</v>
      </c>
      <c r="Z64" s="2382"/>
      <c r="AI64" s="2383"/>
    </row>
    <row r="65" spans="1:35" ht="14.25" customHeight="1">
      <c r="A65" s="2518" t="s">
        <v>1302</v>
      </c>
      <c r="B65" s="707" t="s">
        <v>1303</v>
      </c>
      <c r="C65" s="2556"/>
      <c r="D65" s="707"/>
      <c r="E65" s="2520"/>
      <c r="F65" s="2512"/>
      <c r="G65" s="2512"/>
      <c r="H65" s="2513"/>
      <c r="I65" s="610"/>
      <c r="J65" s="3672"/>
      <c r="K65" s="2553" t="s">
        <v>1304</v>
      </c>
      <c r="L65" s="2553" t="e">
        <f ca="1">IF(M49&gt;1000,M49*0.1%,IF(AND(M49&gt;500,M49&lt;=1000),M49*0.5%,IF(AND(M49&gt;50,M49&lt;=500),M49*1%,IF(AND(M49&gt;1,M49&lt;=50),M49*1.5%))))</f>
        <v>#VALUE!</v>
      </c>
      <c r="M65" s="1971" t="e">
        <f t="shared" ca="1" si="1"/>
        <v>#VALUE!</v>
      </c>
      <c r="N65" s="2138" t="s">
        <v>1301</v>
      </c>
      <c r="Z65" s="2382"/>
      <c r="AI65" s="2383"/>
    </row>
    <row r="66" spans="1:35" ht="14.25" customHeight="1">
      <c r="A66" s="2515" t="s">
        <v>1305</v>
      </c>
      <c r="B66" s="2557" t="s">
        <v>1306</v>
      </c>
      <c r="C66" s="2558"/>
      <c r="D66" s="2557" t="s">
        <v>124</v>
      </c>
      <c r="E66" s="2559" t="s">
        <v>1307</v>
      </c>
      <c r="F66" s="2512"/>
      <c r="G66" s="2512"/>
      <c r="H66" s="2513"/>
      <c r="I66" s="610"/>
      <c r="J66" s="3672"/>
      <c r="K66" s="2553" t="s">
        <v>1308</v>
      </c>
      <c r="L66" s="2553" t="e">
        <f ca="1">M49*0.5%</f>
        <v>#VALUE!</v>
      </c>
      <c r="M66" s="1971" t="e">
        <f ca="1">IF(L66&gt;0.5,0.5,ROUND(L66,0))</f>
        <v>#VALUE!</v>
      </c>
      <c r="N66" s="2138" t="s">
        <v>1309</v>
      </c>
      <c r="Z66" s="2382"/>
      <c r="AI66" s="2383"/>
    </row>
    <row r="67" spans="1:35" ht="14.25" customHeight="1">
      <c r="A67" s="2515" t="s">
        <v>1310</v>
      </c>
      <c r="B67" s="2557" t="s">
        <v>1311</v>
      </c>
      <c r="C67" s="2560" t="e">
        <f ca="1">C63-C66</f>
        <v>#REF!</v>
      </c>
      <c r="D67" s="707" t="s">
        <v>124</v>
      </c>
      <c r="E67" s="2520"/>
      <c r="F67" s="2512"/>
      <c r="G67" s="2512"/>
      <c r="H67" s="2513"/>
      <c r="I67" s="610"/>
      <c r="J67" s="3672"/>
      <c r="K67" s="2553" t="s">
        <v>1312</v>
      </c>
      <c r="L67" s="2553" t="e">
        <f ca="1">IF(M49&gt;=10000,(8.25+(M49-10000)*0.01%),IF(AND(M49&gt;=8000,M49&lt;10000),(7.85+(M49-8000)*0.02%),IF(AND(M49&gt;=5000,M49&lt;8000),(6.65+(M49-5000)*0.04%),IF(AND(M49&gt;=2000,M49&lt;5000),(4.25+(PM49-2000)*0.08%),IF(AND(M49&gt;=1000,M49&lt;2000),(2.75+(M49-1000)*0.15%),IF(AND(M49&gt;=100,M49&lt;1000),(0.5+(M49-100)*0.25%),IF(AND(M49&gt;0,M49&lt;100),M49*0.5%)))))))</f>
        <v>#VALUE!</v>
      </c>
      <c r="M67" s="1971" t="e">
        <f ca="1">ROUND(L67*0.9,1)</f>
        <v>#VALUE!</v>
      </c>
      <c r="N67" s="2554"/>
      <c r="Z67" s="2382"/>
      <c r="AI67" s="2383"/>
    </row>
    <row r="68" spans="1:35" ht="14.25" customHeight="1">
      <c r="A68" s="2561" t="s">
        <v>1313</v>
      </c>
      <c r="B68" s="2562" t="s">
        <v>1314</v>
      </c>
      <c r="C68" s="2563" t="e">
        <f ca="1">IF(C67&lt;=0,0,ROUND(C67*D68,0))</f>
        <v>#REF!</v>
      </c>
      <c r="D68" s="972">
        <f>'数据-取费表'!B41</f>
        <v>5.5E-2</v>
      </c>
      <c r="E68" s="2564"/>
      <c r="F68" s="2512"/>
      <c r="G68" s="2512"/>
      <c r="H68" s="2513"/>
      <c r="I68" s="610"/>
      <c r="J68" s="3672"/>
      <c r="K68" s="2553" t="s">
        <v>1315</v>
      </c>
      <c r="L68" s="2553" t="e">
        <f ca="1">IF(M49&gt;10000,M49*0.5%,IF(AND(M49&gt;5000,M49&lt;=10000),M49*1%,IF(AND(M49&gt;1000,M49&lt;=5000),M49*2%,IF(AND(M49&gt;200,M49&lt;=1000),M49*3%,M49*5%))))</f>
        <v>#VALUE!</v>
      </c>
      <c r="M68" s="1971" t="e">
        <f ca="1">ROUND(L68,1)</f>
        <v>#VALUE!</v>
      </c>
      <c r="N68" s="2554"/>
      <c r="Z68" s="2382"/>
      <c r="AI68" s="2383"/>
    </row>
    <row r="69" spans="1:35" s="2380" customFormat="1" ht="16.5" customHeight="1">
      <c r="A69" s="2565"/>
      <c r="B69" s="2566"/>
      <c r="C69" s="2567"/>
      <c r="D69" s="890"/>
      <c r="E69" s="2568"/>
      <c r="F69" s="2511"/>
      <c r="G69" s="2511"/>
      <c r="H69" s="2471"/>
      <c r="I69" s="2385"/>
      <c r="J69" s="3672"/>
      <c r="K69" s="2553" t="s">
        <v>1316</v>
      </c>
      <c r="L69" s="2553"/>
      <c r="M69" s="1971" t="e">
        <f ca="1">ROUND(SUM(M63:M68),0)</f>
        <v>#VALUE!</v>
      </c>
      <c r="N69" s="2631" t="e">
        <f ca="1">M69/M49</f>
        <v>#VALUE!</v>
      </c>
      <c r="O69" s="565"/>
      <c r="P69" s="565"/>
      <c r="Q69" s="565"/>
      <c r="R69" s="565"/>
      <c r="S69" s="565"/>
      <c r="T69" s="565"/>
      <c r="U69" s="565"/>
      <c r="V69" s="565"/>
      <c r="W69" s="565"/>
      <c r="X69" s="565"/>
      <c r="Y69" s="565"/>
      <c r="Z69" s="2382"/>
      <c r="AA69" s="2382"/>
      <c r="AB69" s="2382"/>
      <c r="AC69" s="2382"/>
      <c r="AD69" s="2382"/>
      <c r="AE69" s="2382"/>
      <c r="AF69" s="2382"/>
      <c r="AG69" s="2382"/>
      <c r="AH69" s="2382"/>
    </row>
    <row r="70" spans="1:35" s="2381" customFormat="1" ht="14.25">
      <c r="A70" s="3621" t="s">
        <v>1317</v>
      </c>
      <c r="B70" s="3622"/>
      <c r="C70" s="3622"/>
      <c r="D70" s="3622"/>
      <c r="E70" s="3622"/>
      <c r="F70" s="3622"/>
      <c r="G70" s="3622"/>
      <c r="H70" s="3622"/>
      <c r="I70" s="2632"/>
      <c r="J70" s="2633"/>
      <c r="K70" s="2633"/>
      <c r="L70" s="2633"/>
      <c r="M70" s="2633"/>
      <c r="N70" s="2634"/>
      <c r="O70" s="2634"/>
      <c r="P70" s="2634"/>
      <c r="Q70" s="2634"/>
      <c r="R70" s="2634"/>
      <c r="S70" s="2634"/>
      <c r="T70" s="2634"/>
      <c r="U70" s="2634"/>
      <c r="V70" s="2634"/>
      <c r="W70" s="2634"/>
      <c r="X70" s="2634"/>
      <c r="Y70" s="2634"/>
      <c r="Z70" s="2634"/>
      <c r="AA70" s="2640"/>
      <c r="AB70" s="2640"/>
      <c r="AC70" s="2640"/>
      <c r="AD70" s="2640"/>
      <c r="AE70" s="2640"/>
      <c r="AF70" s="2640"/>
      <c r="AG70" s="2640"/>
      <c r="AH70" s="2640"/>
      <c r="AI70" s="2640"/>
    </row>
    <row r="71" spans="1:35" s="2381" customFormat="1" ht="14.25">
      <c r="A71" s="3619" t="s">
        <v>1292</v>
      </c>
      <c r="B71" s="3620"/>
      <c r="C71" s="721"/>
      <c r="D71" s="721" t="s">
        <v>1293</v>
      </c>
      <c r="E71" s="2569" t="s">
        <v>1247</v>
      </c>
      <c r="F71" s="2570"/>
      <c r="G71" s="2570"/>
      <c r="H71" s="2571"/>
      <c r="I71" s="2635"/>
      <c r="J71" s="2633"/>
      <c r="K71" s="2633"/>
      <c r="L71" s="2633"/>
      <c r="M71" s="2633"/>
      <c r="N71" s="2634"/>
      <c r="O71" s="2634"/>
      <c r="P71" s="2634"/>
      <c r="Q71" s="2634"/>
      <c r="R71" s="2634"/>
      <c r="S71" s="2634"/>
      <c r="T71" s="2634"/>
      <c r="U71" s="2634"/>
      <c r="V71" s="2634"/>
      <c r="W71" s="2634"/>
      <c r="X71" s="2634"/>
      <c r="Y71" s="2634"/>
      <c r="Z71" s="2634"/>
      <c r="AA71" s="2640"/>
      <c r="AB71" s="2640"/>
      <c r="AC71" s="2640"/>
      <c r="AD71" s="2640"/>
      <c r="AE71" s="2640"/>
      <c r="AF71" s="2640"/>
      <c r="AG71" s="2640"/>
      <c r="AH71" s="2640"/>
      <c r="AI71" s="2640"/>
    </row>
    <row r="72" spans="1:35" s="2381" customFormat="1" ht="14.25">
      <c r="A72" s="2515" t="s">
        <v>1294</v>
      </c>
      <c r="B72" s="2557" t="s">
        <v>1318</v>
      </c>
      <c r="C72" s="2560" t="e">
        <f ca="1">ROUND(D45/(1+'数据-取费表'!C42),0)</f>
        <v>#REF!</v>
      </c>
      <c r="D72" s="707" t="s">
        <v>124</v>
      </c>
      <c r="E72" s="2002"/>
      <c r="F72" s="2003"/>
      <c r="G72" s="2003"/>
      <c r="H72" s="2572"/>
      <c r="I72" s="2635"/>
      <c r="J72" s="2633"/>
      <c r="K72" s="2633"/>
      <c r="L72" s="2633"/>
      <c r="M72" s="2633"/>
      <c r="N72" s="2634"/>
      <c r="O72" s="2634"/>
      <c r="P72" s="2634"/>
      <c r="Q72" s="2634"/>
      <c r="R72" s="2634"/>
      <c r="S72" s="2634"/>
      <c r="T72" s="2634"/>
      <c r="U72" s="2634"/>
      <c r="V72" s="2634"/>
      <c r="W72" s="2634"/>
      <c r="X72" s="2634"/>
      <c r="Y72" s="2634"/>
      <c r="Z72" s="2634"/>
      <c r="AA72" s="2640"/>
      <c r="AB72" s="2640"/>
      <c r="AC72" s="2640"/>
      <c r="AD72" s="2640"/>
      <c r="AE72" s="2640"/>
      <c r="AF72" s="2640"/>
      <c r="AG72" s="2640"/>
      <c r="AH72" s="2640"/>
      <c r="AI72" s="2640"/>
    </row>
    <row r="73" spans="1:35" s="2381" customFormat="1" ht="14.25">
      <c r="A73" s="2515" t="s">
        <v>1305</v>
      </c>
      <c r="B73" s="2484" t="s">
        <v>1319</v>
      </c>
      <c r="C73" s="2560" t="e">
        <f ca="1">C74+C78</f>
        <v>#REF!</v>
      </c>
      <c r="D73" s="707" t="s">
        <v>124</v>
      </c>
      <c r="E73" s="2002"/>
      <c r="F73" s="2003"/>
      <c r="G73" s="2003"/>
      <c r="H73" s="2572"/>
      <c r="I73" s="2635"/>
      <c r="J73" s="2634"/>
      <c r="K73" s="2634"/>
      <c r="L73" s="2634"/>
      <c r="M73" s="2634"/>
      <c r="N73" s="2634"/>
      <c r="O73" s="2634"/>
      <c r="P73" s="2634"/>
      <c r="Q73" s="2634"/>
      <c r="R73" s="2634"/>
      <c r="S73" s="2634"/>
      <c r="T73" s="2634"/>
      <c r="U73" s="2634"/>
      <c r="V73" s="2634"/>
      <c r="W73" s="2634"/>
      <c r="X73" s="2634"/>
      <c r="Y73" s="2634"/>
      <c r="Z73" s="2634"/>
      <c r="AA73" s="2640"/>
      <c r="AB73" s="2640"/>
      <c r="AC73" s="2640"/>
      <c r="AD73" s="2640"/>
      <c r="AE73" s="2640"/>
      <c r="AF73" s="2640"/>
      <c r="AG73" s="2640"/>
      <c r="AH73" s="2640"/>
      <c r="AI73" s="2640"/>
    </row>
    <row r="74" spans="1:35" s="2381" customFormat="1" ht="24">
      <c r="A74" s="2518" t="s">
        <v>1298</v>
      </c>
      <c r="B74" s="707" t="s">
        <v>1320</v>
      </c>
      <c r="C74" s="707">
        <f>ROUND(IF(G77="2016年5月1日后购买",C75/(1+'数据-取费表'!C42)+C76+C77,C75+C76+C77),0)</f>
        <v>0</v>
      </c>
      <c r="D74" s="707" t="s">
        <v>124</v>
      </c>
      <c r="E74" s="2002"/>
      <c r="F74" s="2003"/>
      <c r="G74" s="2003"/>
      <c r="H74" s="2572"/>
      <c r="I74" s="2635"/>
      <c r="J74" s="2634"/>
      <c r="K74" s="2634"/>
      <c r="L74" s="2634"/>
      <c r="M74" s="2634"/>
      <c r="N74" s="2634"/>
      <c r="O74" s="2634"/>
      <c r="P74" s="2634"/>
      <c r="Q74" s="2634"/>
      <c r="R74" s="2634"/>
      <c r="S74" s="2634"/>
      <c r="T74" s="2634"/>
      <c r="U74" s="2634"/>
      <c r="V74" s="2634"/>
      <c r="W74" s="2634"/>
      <c r="X74" s="2634"/>
      <c r="Y74" s="2634"/>
      <c r="Z74" s="2634"/>
      <c r="AA74" s="2640"/>
      <c r="AB74" s="2640"/>
      <c r="AC74" s="2640"/>
      <c r="AD74" s="2640"/>
      <c r="AE74" s="2640"/>
      <c r="AF74" s="2640"/>
      <c r="AG74" s="2640"/>
      <c r="AH74" s="2640"/>
      <c r="AI74" s="2640"/>
    </row>
    <row r="75" spans="1:35" s="2381" customFormat="1" ht="14.25">
      <c r="A75" s="2518" t="s">
        <v>1321</v>
      </c>
      <c r="B75" s="707" t="s">
        <v>1322</v>
      </c>
      <c r="C75" s="2573"/>
      <c r="D75" s="707" t="s">
        <v>124</v>
      </c>
      <c r="E75" s="2574" t="s">
        <v>1323</v>
      </c>
      <c r="F75" s="2575"/>
      <c r="G75" s="2574" t="s">
        <v>1324</v>
      </c>
      <c r="H75" s="2576"/>
      <c r="I75" s="991"/>
      <c r="J75" s="2634"/>
      <c r="K75" s="2634"/>
      <c r="L75" s="2634"/>
      <c r="M75" s="2634"/>
      <c r="N75" s="2634"/>
      <c r="O75" s="2634"/>
      <c r="P75" s="2634"/>
      <c r="Q75" s="2634"/>
      <c r="R75" s="2634"/>
      <c r="S75" s="2634"/>
      <c r="T75" s="2634"/>
      <c r="U75" s="2634"/>
      <c r="V75" s="2634"/>
      <c r="W75" s="2634"/>
      <c r="X75" s="2634"/>
      <c r="Y75" s="2634"/>
      <c r="Z75" s="2634"/>
      <c r="AA75" s="2640"/>
      <c r="AB75" s="2640"/>
      <c r="AC75" s="2640"/>
      <c r="AD75" s="2640"/>
      <c r="AE75" s="2640"/>
      <c r="AF75" s="2640"/>
      <c r="AG75" s="2640"/>
      <c r="AH75" s="2640"/>
      <c r="AI75" s="2640"/>
    </row>
    <row r="76" spans="1:35" s="2381" customFormat="1" ht="24.75" customHeight="1">
      <c r="A76" s="2518" t="s">
        <v>1325</v>
      </c>
      <c r="B76" s="2577" t="s">
        <v>1326</v>
      </c>
      <c r="C76" s="707">
        <f>IF(F75="购房发票",ROUND(C75*H75*D76,0),0)</f>
        <v>0</v>
      </c>
      <c r="D76" s="2578">
        <v>0.05</v>
      </c>
      <c r="E76" s="3610" t="s">
        <v>1327</v>
      </c>
      <c r="F76" s="3608"/>
      <c r="G76" s="3608"/>
      <c r="H76" s="3623"/>
      <c r="I76" s="2635"/>
      <c r="J76" s="2634"/>
      <c r="K76" s="2634"/>
      <c r="L76" s="2634"/>
      <c r="M76" s="2634"/>
      <c r="N76" s="2634"/>
      <c r="O76" s="2634"/>
      <c r="P76" s="2634"/>
      <c r="Q76" s="2634"/>
      <c r="R76" s="2634"/>
      <c r="S76" s="2634"/>
      <c r="T76" s="2634"/>
      <c r="U76" s="2634"/>
      <c r="V76" s="2634"/>
      <c r="W76" s="2634"/>
      <c r="X76" s="2634"/>
      <c r="Y76" s="2634"/>
      <c r="Z76" s="2634"/>
      <c r="AA76" s="2640"/>
      <c r="AB76" s="2640"/>
      <c r="AC76" s="2640"/>
      <c r="AD76" s="2640"/>
      <c r="AE76" s="2640"/>
      <c r="AF76" s="2640"/>
      <c r="AG76" s="2640"/>
      <c r="AH76" s="2640"/>
      <c r="AI76" s="2640"/>
    </row>
    <row r="77" spans="1:35" s="2381" customFormat="1" ht="24.75" customHeight="1">
      <c r="A77" s="2518" t="s">
        <v>1328</v>
      </c>
      <c r="B77" s="707" t="s">
        <v>1329</v>
      </c>
      <c r="C77" s="707">
        <f>ROUND(IF(G77="个人住宅",0,IF(G77="2016年5月1日前购买",C75*D77,C75*D77/(1+'数据-取费表'!C42))),0)</f>
        <v>0</v>
      </c>
      <c r="D77" s="2580">
        <f>'数据-取费表'!B48+'数据-取费表'!B49</f>
        <v>3.0499999999999999E-2</v>
      </c>
      <c r="E77" s="2123" t="s">
        <v>1330</v>
      </c>
      <c r="F77" s="2581"/>
      <c r="G77" s="2582"/>
      <c r="H77" s="2579" t="str">
        <f>IF(G77="个人买卖住房","免征印花税"," ")</f>
        <v/>
      </c>
      <c r="I77" s="2635"/>
      <c r="J77" s="2634"/>
      <c r="K77" s="2634"/>
      <c r="L77" s="2634"/>
      <c r="M77" s="2634"/>
      <c r="N77" s="2634"/>
      <c r="O77" s="2634"/>
      <c r="P77" s="2634"/>
      <c r="Q77" s="2634"/>
      <c r="R77" s="2634"/>
      <c r="S77" s="2634"/>
      <c r="T77" s="2634"/>
      <c r="U77" s="2634"/>
      <c r="V77" s="2634"/>
      <c r="W77" s="2634"/>
      <c r="X77" s="2634"/>
      <c r="Y77" s="2634"/>
      <c r="Z77" s="2634"/>
      <c r="AA77" s="2640"/>
      <c r="AB77" s="2640"/>
      <c r="AC77" s="2640"/>
      <c r="AD77" s="2640"/>
      <c r="AE77" s="2640"/>
      <c r="AF77" s="2640"/>
      <c r="AG77" s="2640"/>
      <c r="AH77" s="2640"/>
      <c r="AI77" s="2640"/>
    </row>
    <row r="78" spans="1:35" s="2381" customFormat="1" ht="24.75" customHeight="1">
      <c r="A78" s="2518" t="s">
        <v>1302</v>
      </c>
      <c r="B78" s="707" t="s">
        <v>1331</v>
      </c>
      <c r="C78" s="2583" t="e">
        <f ca="1">ROUND(D45*D78/(1+'数据-取费表'!C42),0)</f>
        <v>#REF!</v>
      </c>
      <c r="D78" s="2584">
        <f>'数据-取费表'!B43</f>
        <v>5.0000000000000001E-3</v>
      </c>
      <c r="E78" s="3624" t="s">
        <v>1332</v>
      </c>
      <c r="F78" s="3625"/>
      <c r="G78" s="3625"/>
      <c r="H78" s="3626"/>
      <c r="I78" s="2636"/>
      <c r="J78" s="2634"/>
      <c r="K78" s="2634"/>
      <c r="L78" s="2634"/>
      <c r="M78" s="2634"/>
      <c r="N78" s="2634"/>
      <c r="O78" s="2634"/>
      <c r="P78" s="2634"/>
      <c r="Q78" s="2634"/>
      <c r="R78" s="2634"/>
      <c r="S78" s="2634"/>
      <c r="T78" s="2634"/>
      <c r="U78" s="2634"/>
      <c r="V78" s="2634"/>
      <c r="W78" s="2634"/>
      <c r="X78" s="2634"/>
      <c r="Y78" s="2634"/>
      <c r="Z78" s="2634"/>
      <c r="AA78" s="2640"/>
      <c r="AB78" s="2640"/>
      <c r="AC78" s="2640"/>
      <c r="AD78" s="2640"/>
      <c r="AE78" s="2640"/>
      <c r="AF78" s="2640"/>
      <c r="AG78" s="2640"/>
      <c r="AH78" s="2640"/>
      <c r="AI78" s="2640"/>
    </row>
    <row r="79" spans="1:35" s="2381" customFormat="1" ht="14.25">
      <c r="A79" s="2515" t="s">
        <v>1310</v>
      </c>
      <c r="B79" s="2557" t="s">
        <v>1333</v>
      </c>
      <c r="C79" s="2560" t="e">
        <f ca="1">C72-C73</f>
        <v>#REF!</v>
      </c>
      <c r="D79" s="707" t="s">
        <v>124</v>
      </c>
      <c r="E79" s="2002"/>
      <c r="F79" s="2003"/>
      <c r="G79" s="2003"/>
      <c r="H79" s="2572"/>
      <c r="I79" s="2635"/>
      <c r="J79" s="2634"/>
      <c r="K79" s="2634"/>
      <c r="L79" s="2634"/>
      <c r="M79" s="2634"/>
      <c r="N79" s="2634"/>
      <c r="O79" s="2634"/>
      <c r="P79" s="2634"/>
      <c r="Q79" s="2634"/>
      <c r="R79" s="2634"/>
      <c r="S79" s="2634"/>
      <c r="T79" s="2634"/>
      <c r="U79" s="2634"/>
      <c r="V79" s="2634"/>
      <c r="W79" s="2634"/>
      <c r="X79" s="2634"/>
      <c r="Y79" s="2634"/>
      <c r="Z79" s="2634"/>
      <c r="AA79" s="2640"/>
      <c r="AB79" s="2640"/>
      <c r="AC79" s="2640"/>
      <c r="AD79" s="2640"/>
      <c r="AE79" s="2640"/>
      <c r="AF79" s="2640"/>
      <c r="AG79" s="2640"/>
      <c r="AH79" s="2640"/>
      <c r="AI79" s="2640"/>
    </row>
    <row r="80" spans="1:35" s="2381" customFormat="1" ht="24">
      <c r="A80" s="2515" t="s">
        <v>1313</v>
      </c>
      <c r="B80" s="2557" t="s">
        <v>1334</v>
      </c>
      <c r="C80" s="2588" t="e">
        <f ca="1">IF(C79&lt;=0,0,C79/C73)</f>
        <v>#REF!</v>
      </c>
      <c r="D80" s="707" t="s">
        <v>124</v>
      </c>
      <c r="E80" s="2123" t="e">
        <f ca="1">IF(C80&gt;=200%,"增值额超过扣除项目金额200%",IF(C80&gt;=100%,"增值额超过扣除项目金额100%，未超过200%",IF(C80&gt;=50%,"增值额超过扣除项目金额50%，未超过100%",IF(C80&lt;50%,"增值额未超过扣除项目金额50%"))))</f>
        <v>#REF!</v>
      </c>
      <c r="F80" s="2003"/>
      <c r="G80" s="2003"/>
      <c r="H80" s="2572"/>
      <c r="I80" s="2635"/>
      <c r="J80" s="2634"/>
      <c r="K80" s="2634"/>
      <c r="L80" s="2634"/>
      <c r="M80" s="2634"/>
      <c r="N80" s="2634"/>
      <c r="O80" s="2634"/>
      <c r="P80" s="2634"/>
      <c r="Q80" s="2634"/>
      <c r="R80" s="2634"/>
      <c r="S80" s="2634"/>
      <c r="T80" s="2634"/>
      <c r="U80" s="2634"/>
      <c r="V80" s="2634"/>
      <c r="W80" s="2634"/>
      <c r="X80" s="2634"/>
      <c r="Y80" s="2634"/>
      <c r="Z80" s="2634"/>
      <c r="AA80" s="2640"/>
      <c r="AB80" s="2640"/>
      <c r="AC80" s="2640"/>
      <c r="AD80" s="2640"/>
      <c r="AE80" s="2640"/>
      <c r="AF80" s="2640"/>
      <c r="AG80" s="2640"/>
      <c r="AH80" s="2640"/>
      <c r="AI80" s="2640"/>
    </row>
    <row r="81" spans="1:35" s="2381" customFormat="1" ht="24">
      <c r="A81" s="2561" t="s">
        <v>1335</v>
      </c>
      <c r="B81" s="2562" t="s">
        <v>1336</v>
      </c>
      <c r="C81" s="2589" t="e">
        <f ca="1">ROUND(IF(C79&lt;=0,0,IF(C80&gt;=200%,C79*60%-C73*35%,IF(C80&gt;=100%,C79*50%-C73*15%,IF(C80&gt;=50%,C79*40%-C73*5%,IF(C80&lt;50%,C79*30%,0))))),0)</f>
        <v>#REF!</v>
      </c>
      <c r="D81" s="2590" t="s">
        <v>124</v>
      </c>
      <c r="E81" s="259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2"/>
      <c r="G81" s="2592"/>
      <c r="H81" s="2593"/>
      <c r="I81" s="2635"/>
      <c r="J81" s="2634"/>
      <c r="K81" s="2634"/>
      <c r="L81" s="2634"/>
      <c r="M81" s="2634"/>
      <c r="N81" s="2634"/>
      <c r="O81" s="2634"/>
      <c r="P81" s="2634"/>
      <c r="Q81" s="2634"/>
      <c r="R81" s="2634"/>
      <c r="S81" s="2634"/>
      <c r="T81" s="2634"/>
      <c r="U81" s="2634"/>
      <c r="V81" s="2634"/>
      <c r="W81" s="2634"/>
      <c r="X81" s="2634"/>
      <c r="Y81" s="2634"/>
      <c r="Z81" s="2634"/>
      <c r="AA81" s="2640"/>
      <c r="AB81" s="2640"/>
      <c r="AC81" s="2640"/>
      <c r="AD81" s="2640"/>
      <c r="AE81" s="2640"/>
      <c r="AF81" s="2640"/>
      <c r="AG81" s="2640"/>
      <c r="AH81" s="2640"/>
      <c r="AI81" s="2640"/>
    </row>
    <row r="82" spans="1:35" s="2381" customFormat="1" ht="7.5" customHeight="1">
      <c r="A82" s="2594"/>
      <c r="B82" s="2595"/>
      <c r="C82" s="874"/>
      <c r="D82" s="874"/>
      <c r="E82" s="2595"/>
      <c r="F82" s="2595"/>
      <c r="G82" s="2595"/>
      <c r="H82" s="2596"/>
      <c r="I82" s="2636"/>
      <c r="J82" s="2634"/>
      <c r="K82" s="2634"/>
      <c r="L82" s="2634"/>
      <c r="M82" s="2634"/>
      <c r="N82" s="2634"/>
      <c r="O82" s="2634"/>
      <c r="P82" s="2634"/>
      <c r="Q82" s="2634"/>
      <c r="R82" s="2634"/>
      <c r="S82" s="2634"/>
      <c r="T82" s="2634"/>
      <c r="U82" s="2634"/>
      <c r="V82" s="2634"/>
      <c r="W82" s="2634"/>
      <c r="X82" s="2634"/>
      <c r="Y82" s="2634"/>
      <c r="Z82" s="2634"/>
      <c r="AA82" s="2640"/>
      <c r="AB82" s="2640"/>
      <c r="AC82" s="2640"/>
      <c r="AD82" s="2640"/>
      <c r="AE82" s="2640"/>
      <c r="AF82" s="2640"/>
      <c r="AG82" s="2640"/>
      <c r="AH82" s="2640"/>
      <c r="AI82" s="2640"/>
    </row>
    <row r="83" spans="1:35" s="2381" customFormat="1" ht="14.25">
      <c r="A83" s="3621" t="s">
        <v>1337</v>
      </c>
      <c r="B83" s="3622"/>
      <c r="C83" s="3622"/>
      <c r="D83" s="3622"/>
      <c r="E83" s="3622"/>
      <c r="F83" s="3622"/>
      <c r="G83" s="3622"/>
      <c r="H83" s="3622"/>
      <c r="I83" s="991"/>
      <c r="J83" s="2634"/>
      <c r="K83" s="2634"/>
      <c r="L83" s="2634"/>
      <c r="M83" s="2634"/>
      <c r="N83" s="2634"/>
      <c r="O83" s="2634"/>
      <c r="P83" s="2634"/>
      <c r="Q83" s="2634"/>
      <c r="R83" s="2634"/>
      <c r="S83" s="2634"/>
      <c r="T83" s="2634"/>
      <c r="U83" s="2634"/>
      <c r="V83" s="2634"/>
      <c r="W83" s="2634"/>
      <c r="X83" s="2634"/>
      <c r="Y83" s="2634"/>
      <c r="Z83" s="2634"/>
      <c r="AA83" s="2640"/>
      <c r="AB83" s="2640"/>
      <c r="AC83" s="2640"/>
      <c r="AD83" s="2640"/>
      <c r="AE83" s="2640"/>
      <c r="AF83" s="2640"/>
      <c r="AG83" s="2640"/>
      <c r="AH83" s="2640"/>
      <c r="AI83" s="2640"/>
    </row>
    <row r="84" spans="1:35" s="2381" customFormat="1" ht="14.25">
      <c r="A84" s="3619" t="s">
        <v>1292</v>
      </c>
      <c r="B84" s="3620"/>
      <c r="C84" s="721"/>
      <c r="D84" s="721" t="s">
        <v>1293</v>
      </c>
      <c r="E84" s="2569" t="s">
        <v>1247</v>
      </c>
      <c r="F84" s="2570"/>
      <c r="G84" s="2570"/>
      <c r="H84" s="2597"/>
      <c r="I84" s="991"/>
      <c r="J84" s="2634"/>
      <c r="K84" s="2634"/>
      <c r="L84" s="2634"/>
      <c r="M84" s="2634"/>
      <c r="N84" s="2634"/>
      <c r="O84" s="2634"/>
      <c r="P84" s="2634"/>
      <c r="Q84" s="2634"/>
      <c r="R84" s="2634"/>
      <c r="S84" s="2634"/>
      <c r="T84" s="2634"/>
      <c r="U84" s="2634"/>
      <c r="V84" s="2634"/>
      <c r="W84" s="2634"/>
      <c r="X84" s="2634"/>
      <c r="Y84" s="2634"/>
      <c r="Z84" s="2634"/>
      <c r="AA84" s="2640"/>
      <c r="AB84" s="2640"/>
      <c r="AC84" s="2640"/>
      <c r="AD84" s="2640"/>
      <c r="AE84" s="2640"/>
      <c r="AF84" s="2640"/>
      <c r="AG84" s="2640"/>
      <c r="AH84" s="2640"/>
      <c r="AI84" s="2640"/>
    </row>
    <row r="85" spans="1:35" s="2381" customFormat="1" ht="14.25">
      <c r="A85" s="2515" t="s">
        <v>1294</v>
      </c>
      <c r="B85" s="2557" t="s">
        <v>1318</v>
      </c>
      <c r="C85" s="2560" t="e">
        <f ca="1">ROUND(D45/(1+'数据-取费表'!C42),0)</f>
        <v>#REF!</v>
      </c>
      <c r="D85" s="707" t="s">
        <v>124</v>
      </c>
      <c r="E85" s="2002"/>
      <c r="F85" s="2003"/>
      <c r="G85" s="2003"/>
      <c r="H85" s="2598"/>
      <c r="I85" s="991"/>
      <c r="J85" s="2634"/>
      <c r="K85" s="2634"/>
      <c r="L85" s="2634"/>
      <c r="M85" s="2634"/>
      <c r="N85" s="2634"/>
      <c r="O85" s="2634"/>
      <c r="P85" s="2634"/>
      <c r="Q85" s="2634"/>
      <c r="R85" s="2634"/>
      <c r="S85" s="2634"/>
      <c r="T85" s="2634"/>
      <c r="U85" s="2634"/>
      <c r="V85" s="2634"/>
      <c r="W85" s="2634"/>
      <c r="X85" s="2634"/>
      <c r="Y85" s="2634"/>
      <c r="Z85" s="2634"/>
      <c r="AA85" s="2640"/>
      <c r="AB85" s="2640"/>
      <c r="AC85" s="2640"/>
      <c r="AD85" s="2640"/>
      <c r="AE85" s="2640"/>
      <c r="AF85" s="2640"/>
      <c r="AG85" s="2640"/>
      <c r="AH85" s="2640"/>
      <c r="AI85" s="2640"/>
    </row>
    <row r="86" spans="1:35" s="2381" customFormat="1" ht="14.25">
      <c r="A86" s="2515" t="s">
        <v>1305</v>
      </c>
      <c r="B86" s="2484" t="s">
        <v>1319</v>
      </c>
      <c r="C86" s="2560" t="e">
        <f ca="1">IF(H88="仅含出让金",C87+C90+C91+C92+C93+C94,C87+C91+C92+C93+C94)</f>
        <v>#REF!</v>
      </c>
      <c r="D86" s="2599"/>
      <c r="E86" s="2002"/>
      <c r="F86" s="2003"/>
      <c r="G86" s="2003"/>
      <c r="H86" s="2598"/>
      <c r="I86" s="991"/>
      <c r="J86" s="2634"/>
      <c r="K86" s="2634"/>
      <c r="L86" s="2634"/>
      <c r="M86" s="2634"/>
      <c r="N86" s="2634"/>
      <c r="O86" s="2634"/>
      <c r="P86" s="2634"/>
      <c r="Q86" s="2634"/>
      <c r="R86" s="2634"/>
      <c r="S86" s="2634"/>
      <c r="T86" s="2634"/>
      <c r="U86" s="2634"/>
      <c r="V86" s="2634"/>
      <c r="W86" s="2634"/>
      <c r="X86" s="2634"/>
      <c r="Y86" s="2634"/>
      <c r="Z86" s="2634"/>
      <c r="AA86" s="2640"/>
      <c r="AB86" s="2640"/>
      <c r="AC86" s="2640"/>
      <c r="AD86" s="2640"/>
      <c r="AE86" s="2640"/>
      <c r="AF86" s="2640"/>
      <c r="AG86" s="2640"/>
      <c r="AH86" s="2640"/>
      <c r="AI86" s="2640"/>
    </row>
    <row r="87" spans="1:35" s="2381" customFormat="1" ht="14.25">
      <c r="A87" s="2518" t="s">
        <v>1298</v>
      </c>
      <c r="B87" s="707" t="s">
        <v>1338</v>
      </c>
      <c r="C87" s="2583">
        <f>C88+C89</f>
        <v>0</v>
      </c>
      <c r="D87" s="2584"/>
      <c r="E87" s="2585"/>
      <c r="F87" s="2586"/>
      <c r="G87" s="2586"/>
      <c r="H87" s="2587"/>
      <c r="I87" s="991"/>
      <c r="J87" s="2634"/>
      <c r="K87" s="2634"/>
      <c r="L87" s="2634"/>
      <c r="M87" s="2634"/>
      <c r="N87" s="2634"/>
      <c r="O87" s="2634"/>
      <c r="P87" s="2634"/>
      <c r="Q87" s="2634"/>
      <c r="R87" s="2634"/>
      <c r="S87" s="2634"/>
      <c r="T87" s="2634"/>
      <c r="U87" s="2634"/>
      <c r="V87" s="2634"/>
      <c r="W87" s="2634"/>
      <c r="X87" s="2634"/>
      <c r="Y87" s="2634"/>
      <c r="Z87" s="2634"/>
      <c r="AA87" s="2640"/>
      <c r="AB87" s="2640"/>
      <c r="AC87" s="2640"/>
      <c r="AD87" s="2640"/>
      <c r="AE87" s="2640"/>
      <c r="AF87" s="2640"/>
      <c r="AG87" s="2640"/>
      <c r="AH87" s="2640"/>
      <c r="AI87" s="2640"/>
    </row>
    <row r="88" spans="1:35" s="2381" customFormat="1" ht="14.25">
      <c r="A88" s="2518" t="s">
        <v>1321</v>
      </c>
      <c r="B88" s="707" t="s">
        <v>1339</v>
      </c>
      <c r="C88" s="2600"/>
      <c r="D88" s="2584"/>
      <c r="E88" s="2601" t="s">
        <v>1340</v>
      </c>
      <c r="F88" s="2586"/>
      <c r="G88" s="2602" t="s">
        <v>1341</v>
      </c>
      <c r="H88" s="2603"/>
      <c r="I88" s="991"/>
      <c r="J88" s="2637" t="s">
        <v>1342</v>
      </c>
      <c r="K88" s="2634"/>
      <c r="L88" s="2634"/>
      <c r="M88" s="2634"/>
      <c r="N88" s="2634"/>
      <c r="O88" s="2634"/>
      <c r="P88" s="2634"/>
      <c r="Q88" s="2634"/>
      <c r="R88" s="2634"/>
      <c r="S88" s="2634"/>
      <c r="T88" s="2634"/>
      <c r="U88" s="2634"/>
      <c r="V88" s="2634"/>
      <c r="W88" s="2634"/>
      <c r="X88" s="2634"/>
      <c r="Y88" s="2634"/>
      <c r="Z88" s="2634"/>
      <c r="AA88" s="2640"/>
      <c r="AB88" s="2640"/>
      <c r="AC88" s="2640"/>
      <c r="AD88" s="2640"/>
      <c r="AE88" s="2640"/>
      <c r="AF88" s="2640"/>
      <c r="AG88" s="2640"/>
      <c r="AH88" s="2640"/>
      <c r="AI88" s="2640"/>
    </row>
    <row r="89" spans="1:35" s="2381" customFormat="1" ht="14.25">
      <c r="A89" s="2518" t="s">
        <v>1325</v>
      </c>
      <c r="B89" s="707" t="s">
        <v>1329</v>
      </c>
      <c r="C89" s="2583">
        <f>ROUND(C88*D89,0)</f>
        <v>0</v>
      </c>
      <c r="D89" s="2584">
        <f>'数据-取费表'!B48+'数据-取费表'!B49</f>
        <v>3.0499999999999999E-2</v>
      </c>
      <c r="E89" s="2601" t="s">
        <v>1343</v>
      </c>
      <c r="F89" s="2586"/>
      <c r="G89" s="2586"/>
      <c r="H89" s="2587"/>
      <c r="I89" s="991"/>
      <c r="J89" s="2634"/>
      <c r="K89" s="2634"/>
      <c r="L89" s="2634"/>
      <c r="M89" s="2634"/>
      <c r="N89" s="2634"/>
      <c r="O89" s="2634"/>
      <c r="P89" s="2634"/>
      <c r="Q89" s="2634"/>
      <c r="R89" s="2634"/>
      <c r="S89" s="2634"/>
      <c r="T89" s="2634"/>
      <c r="U89" s="2634"/>
      <c r="V89" s="2634"/>
      <c r="W89" s="2634"/>
      <c r="X89" s="2634"/>
      <c r="Y89" s="2634"/>
      <c r="Z89" s="2634"/>
      <c r="AA89" s="2640"/>
      <c r="AB89" s="2640"/>
      <c r="AC89" s="2640"/>
      <c r="AD89" s="2640"/>
      <c r="AE89" s="2640"/>
      <c r="AF89" s="2640"/>
      <c r="AG89" s="2640"/>
      <c r="AH89" s="2640"/>
      <c r="AI89" s="2640"/>
    </row>
    <row r="90" spans="1:35" s="2381" customFormat="1" ht="14.25">
      <c r="A90" s="2518" t="s">
        <v>1302</v>
      </c>
      <c r="B90" s="707" t="s">
        <v>1344</v>
      </c>
      <c r="C90" s="2600"/>
      <c r="D90" s="2584"/>
      <c r="E90" s="2601" t="str">
        <f>IF(H88="-","土地取得成本中已包含该笔费用"," ")</f>
        <v/>
      </c>
      <c r="F90" s="2586"/>
      <c r="G90" s="3627" t="s">
        <v>1345</v>
      </c>
      <c r="H90" s="3628"/>
      <c r="I90" s="991"/>
      <c r="J90" s="2637" t="s">
        <v>1346</v>
      </c>
      <c r="K90" s="2634"/>
      <c r="L90" s="2634"/>
      <c r="M90" s="2634"/>
      <c r="N90" s="2634"/>
      <c r="O90" s="2634"/>
      <c r="P90" s="2634"/>
      <c r="Q90" s="2634"/>
      <c r="R90" s="2634"/>
      <c r="S90" s="2634"/>
      <c r="T90" s="2634"/>
      <c r="U90" s="2634"/>
      <c r="V90" s="2634"/>
      <c r="W90" s="2634"/>
      <c r="X90" s="2634"/>
      <c r="Y90" s="2634"/>
      <c r="Z90" s="2634"/>
      <c r="AA90" s="2640"/>
      <c r="AB90" s="2640"/>
      <c r="AC90" s="2640"/>
      <c r="AD90" s="2640"/>
      <c r="AE90" s="2640"/>
      <c r="AF90" s="2640"/>
      <c r="AG90" s="2640"/>
      <c r="AH90" s="2640"/>
      <c r="AI90" s="2640"/>
    </row>
    <row r="91" spans="1:35" s="2381" customFormat="1" ht="27.75" customHeight="1">
      <c r="A91" s="2518" t="s">
        <v>1347</v>
      </c>
      <c r="B91" s="707" t="s">
        <v>1348</v>
      </c>
      <c r="C91" s="2583">
        <f>IF(H91="——",成本法!C33,I91)</f>
        <v>0</v>
      </c>
      <c r="D91" s="2584"/>
      <c r="E91" s="3624" t="s">
        <v>1349</v>
      </c>
      <c r="F91" s="3625"/>
      <c r="G91" s="3625"/>
      <c r="H91" s="2604"/>
      <c r="I91" s="2638"/>
      <c r="J91" s="2634"/>
      <c r="K91" s="2634"/>
      <c r="L91" s="2634"/>
      <c r="M91" s="2634"/>
      <c r="N91" s="2634"/>
      <c r="O91" s="2634"/>
      <c r="P91" s="2634"/>
      <c r="Q91" s="2634"/>
      <c r="R91" s="2634"/>
      <c r="S91" s="2634"/>
      <c r="T91" s="2634"/>
      <c r="U91" s="2634"/>
      <c r="V91" s="2634"/>
      <c r="W91" s="2634"/>
      <c r="X91" s="2634"/>
      <c r="Y91" s="2634"/>
      <c r="Z91" s="2634"/>
      <c r="AA91" s="2640"/>
      <c r="AB91" s="2640"/>
      <c r="AC91" s="2640"/>
      <c r="AD91" s="2640"/>
      <c r="AE91" s="2640"/>
      <c r="AF91" s="2640"/>
      <c r="AG91" s="2640"/>
      <c r="AH91" s="2640"/>
      <c r="AI91" s="2640"/>
    </row>
    <row r="92" spans="1:35" s="2381" customFormat="1" ht="25.5" customHeight="1">
      <c r="A92" s="2518" t="s">
        <v>1350</v>
      </c>
      <c r="B92" s="707" t="s">
        <v>1351</v>
      </c>
      <c r="C92" s="2583">
        <f>ROUND((C87+C90+C91)*D92,0)</f>
        <v>0</v>
      </c>
      <c r="D92" s="2605"/>
      <c r="E92" s="3624" t="s">
        <v>1352</v>
      </c>
      <c r="F92" s="3625"/>
      <c r="G92" s="3625"/>
      <c r="H92" s="3626"/>
      <c r="I92" s="991"/>
      <c r="J92" s="2639" t="s">
        <v>1353</v>
      </c>
      <c r="K92" s="2634"/>
      <c r="L92" s="2634"/>
      <c r="M92" s="2634"/>
      <c r="N92" s="2634"/>
      <c r="O92" s="2634"/>
      <c r="P92" s="2634"/>
      <c r="Q92" s="2634"/>
      <c r="R92" s="2634"/>
      <c r="S92" s="2634"/>
      <c r="T92" s="2634"/>
      <c r="U92" s="2634"/>
      <c r="V92" s="2634"/>
      <c r="W92" s="2634"/>
      <c r="X92" s="2634"/>
      <c r="Y92" s="2634"/>
      <c r="Z92" s="2634"/>
      <c r="AA92" s="2640"/>
      <c r="AB92" s="2640"/>
      <c r="AC92" s="2640"/>
      <c r="AD92" s="2640"/>
      <c r="AE92" s="2640"/>
      <c r="AF92" s="2640"/>
      <c r="AG92" s="2640"/>
      <c r="AH92" s="2640"/>
      <c r="AI92" s="2640"/>
    </row>
    <row r="93" spans="1:35" s="2381" customFormat="1" ht="25.5" customHeight="1">
      <c r="A93" s="2518" t="s">
        <v>1354</v>
      </c>
      <c r="B93" s="707" t="s">
        <v>1331</v>
      </c>
      <c r="C93" s="2583" t="e">
        <f ca="1">ROUND(D45*D93/(1+'数据-取费表'!C42),0)</f>
        <v>#REF!</v>
      </c>
      <c r="D93" s="2584">
        <f>'数据-取费表'!B43</f>
        <v>5.0000000000000001E-3</v>
      </c>
      <c r="E93" s="3624" t="s">
        <v>1332</v>
      </c>
      <c r="F93" s="3625"/>
      <c r="G93" s="3625"/>
      <c r="H93" s="3626"/>
      <c r="I93" s="991"/>
      <c r="J93" s="2634"/>
      <c r="K93" s="2634"/>
      <c r="L93" s="2634"/>
      <c r="M93" s="2634"/>
      <c r="N93" s="2634"/>
      <c r="O93" s="2634"/>
      <c r="P93" s="2634"/>
      <c r="Q93" s="2634"/>
      <c r="R93" s="2634"/>
      <c r="S93" s="2634"/>
      <c r="T93" s="2634"/>
      <c r="U93" s="2634"/>
      <c r="V93" s="2634"/>
      <c r="W93" s="2634"/>
      <c r="X93" s="2634"/>
      <c r="Y93" s="2634"/>
      <c r="Z93" s="2634"/>
      <c r="AA93" s="2640"/>
      <c r="AB93" s="2640"/>
      <c r="AC93" s="2640"/>
      <c r="AD93" s="2640"/>
      <c r="AE93" s="2640"/>
      <c r="AF93" s="2640"/>
      <c r="AG93" s="2640"/>
      <c r="AH93" s="2640"/>
      <c r="AI93" s="2640"/>
    </row>
    <row r="94" spans="1:35" s="2381" customFormat="1" ht="36.75" customHeight="1">
      <c r="A94" s="2518" t="s">
        <v>1355</v>
      </c>
      <c r="B94" s="707" t="s">
        <v>1356</v>
      </c>
      <c r="C94" s="2600">
        <f>ROUND((C87+C90+C91)*D94,0)</f>
        <v>0</v>
      </c>
      <c r="D94" s="2584">
        <v>0.2</v>
      </c>
      <c r="E94" s="3629" t="s">
        <v>1357</v>
      </c>
      <c r="F94" s="3630"/>
      <c r="G94" s="3630"/>
      <c r="H94" s="3631"/>
      <c r="I94" s="991"/>
      <c r="J94" s="2634"/>
      <c r="K94" s="2634"/>
      <c r="L94" s="2634"/>
      <c r="M94" s="2634"/>
      <c r="N94" s="2634"/>
      <c r="O94" s="2634"/>
      <c r="P94" s="2634"/>
      <c r="Q94" s="2634"/>
      <c r="R94" s="2634"/>
      <c r="S94" s="2634"/>
      <c r="T94" s="2634"/>
      <c r="U94" s="2634"/>
      <c r="V94" s="2634"/>
      <c r="W94" s="2634"/>
      <c r="X94" s="2634"/>
      <c r="Y94" s="2634"/>
      <c r="Z94" s="2634"/>
      <c r="AA94" s="2640"/>
      <c r="AB94" s="2640"/>
      <c r="AC94" s="2640"/>
      <c r="AD94" s="2640"/>
      <c r="AE94" s="2640"/>
      <c r="AF94" s="2640"/>
      <c r="AG94" s="2640"/>
      <c r="AH94" s="2640"/>
      <c r="AI94" s="2640"/>
    </row>
    <row r="95" spans="1:35" s="2381" customFormat="1" ht="14.25">
      <c r="A95" s="2515" t="s">
        <v>1310</v>
      </c>
      <c r="B95" s="2557" t="s">
        <v>1333</v>
      </c>
      <c r="C95" s="2560" t="e">
        <f ca="1">ROUND(C85-C86,0)</f>
        <v>#REF!</v>
      </c>
      <c r="D95" s="707" t="s">
        <v>124</v>
      </c>
      <c r="E95" s="2002"/>
      <c r="F95" s="2003"/>
      <c r="G95" s="2003"/>
      <c r="H95" s="2598"/>
      <c r="I95" s="991"/>
      <c r="J95" s="2634"/>
      <c r="K95" s="2634"/>
      <c r="L95" s="2634"/>
      <c r="M95" s="2634"/>
      <c r="N95" s="2634"/>
      <c r="O95" s="2634"/>
      <c r="P95" s="2634"/>
      <c r="Q95" s="2634"/>
      <c r="R95" s="2634"/>
      <c r="S95" s="2634"/>
      <c r="T95" s="2634"/>
      <c r="U95" s="2634"/>
      <c r="V95" s="2634"/>
      <c r="W95" s="2634"/>
      <c r="X95" s="2634"/>
      <c r="Y95" s="2634"/>
      <c r="Z95" s="2634"/>
      <c r="AA95" s="2640"/>
      <c r="AB95" s="2640"/>
      <c r="AC95" s="2640"/>
      <c r="AD95" s="2640"/>
      <c r="AE95" s="2640"/>
      <c r="AF95" s="2640"/>
      <c r="AG95" s="2640"/>
      <c r="AH95" s="2640"/>
      <c r="AI95" s="2640"/>
    </row>
    <row r="96" spans="1:35" s="2381" customFormat="1" ht="24">
      <c r="A96" s="2515" t="s">
        <v>1313</v>
      </c>
      <c r="B96" s="2557" t="s">
        <v>1334</v>
      </c>
      <c r="C96" s="2588" t="e">
        <f ca="1">IF(C95&lt;=0,0,C95/C86)</f>
        <v>#REF!</v>
      </c>
      <c r="D96" s="707" t="s">
        <v>124</v>
      </c>
      <c r="E96" s="2123" t="e">
        <f ca="1">IF(C96&gt;=200%,"增值额超过扣除项目金额200%",IF(C96&gt;=100%,"增值额超过扣除项目金额100%，未超过200%",IF(C96&gt;=50%,"增值额超过扣除项目金额50%，未超过100%",IF(C96&lt;50%,"增值额未超过扣除项目金额50%"))))</f>
        <v>#REF!</v>
      </c>
      <c r="F96" s="2003"/>
      <c r="G96" s="2003"/>
      <c r="H96" s="2598"/>
      <c r="I96" s="991"/>
      <c r="J96" s="2634"/>
      <c r="K96" s="2634"/>
      <c r="L96" s="2634"/>
      <c r="M96" s="2634"/>
      <c r="N96" s="2634"/>
      <c r="O96" s="2634"/>
      <c r="P96" s="2634"/>
      <c r="Q96" s="2634"/>
      <c r="R96" s="2634"/>
      <c r="S96" s="2634"/>
      <c r="T96" s="2634"/>
      <c r="U96" s="2634"/>
      <c r="V96" s="2634"/>
      <c r="W96" s="2634"/>
      <c r="X96" s="2634"/>
      <c r="Y96" s="2634"/>
      <c r="Z96" s="2634"/>
      <c r="AA96" s="2640"/>
      <c r="AB96" s="2640"/>
      <c r="AC96" s="2640"/>
      <c r="AD96" s="2640"/>
      <c r="AE96" s="2640"/>
      <c r="AF96" s="2640"/>
      <c r="AG96" s="2640"/>
      <c r="AH96" s="2640"/>
      <c r="AI96" s="2640"/>
    </row>
    <row r="97" spans="1:35" s="2381" customFormat="1" ht="24">
      <c r="A97" s="2561" t="s">
        <v>1335</v>
      </c>
      <c r="B97" s="2562" t="s">
        <v>1336</v>
      </c>
      <c r="C97" s="2589" t="e">
        <f ca="1">ROUND(IF(C95&lt;=0,0,IF(C96&gt;=200%,C95*60%-C86*35%,IF(C96&gt;=100%,C95*50%-C86*15%,IF(C96&gt;=50%,C95*40%-C86*5%,IF(C96&lt;50%,C95*30%,0))))),0)</f>
        <v>#REF!</v>
      </c>
      <c r="D97" s="2590" t="s">
        <v>124</v>
      </c>
      <c r="E97" s="259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2"/>
      <c r="G97" s="2592"/>
      <c r="H97" s="2606"/>
      <c r="I97" s="991"/>
      <c r="J97" s="2634"/>
      <c r="K97" s="2634"/>
      <c r="L97" s="2634"/>
      <c r="M97" s="2634"/>
      <c r="N97" s="2634"/>
      <c r="O97" s="2634"/>
      <c r="P97" s="2634"/>
      <c r="Q97" s="2634"/>
      <c r="R97" s="2634"/>
      <c r="S97" s="2634"/>
      <c r="T97" s="2634"/>
      <c r="U97" s="2634"/>
      <c r="V97" s="2634"/>
      <c r="W97" s="2634"/>
      <c r="X97" s="2634"/>
      <c r="Y97" s="2634"/>
      <c r="Z97" s="2634"/>
      <c r="AA97" s="2640"/>
      <c r="AB97" s="2640"/>
      <c r="AC97" s="2640"/>
      <c r="AD97" s="2640"/>
      <c r="AE97" s="2640"/>
      <c r="AF97" s="2640"/>
      <c r="AG97" s="2640"/>
      <c r="AH97" s="2640"/>
      <c r="AI97" s="2640"/>
    </row>
    <row r="98" spans="1:35" ht="21.75" customHeight="1">
      <c r="A98" s="2510"/>
      <c r="B98" s="2385"/>
      <c r="C98" s="2385"/>
      <c r="D98" s="2385"/>
      <c r="E98" s="2511"/>
      <c r="F98" s="2511"/>
      <c r="G98" s="2511"/>
      <c r="H98" s="2471"/>
      <c r="I98" s="610"/>
    </row>
    <row r="99" spans="1:35" ht="21.75" customHeight="1">
      <c r="A99" s="2473" t="s">
        <v>1358</v>
      </c>
      <c r="B99" s="2385"/>
      <c r="C99" s="2385"/>
      <c r="D99" s="2385"/>
      <c r="E99" s="2511"/>
      <c r="F99" s="2511"/>
      <c r="G99" s="2511"/>
      <c r="H99" s="2471"/>
      <c r="I99" s="610"/>
    </row>
    <row r="100" spans="1:35" ht="18.75" customHeight="1">
      <c r="A100" s="3565" t="s">
        <v>1359</v>
      </c>
      <c r="B100" s="3566"/>
      <c r="C100" s="3566"/>
      <c r="D100" s="3632"/>
      <c r="E100" s="3566" t="s">
        <v>1360</v>
      </c>
      <c r="F100" s="3566"/>
      <c r="G100" s="3566"/>
      <c r="H100" s="3632"/>
      <c r="I100" s="610"/>
    </row>
    <row r="101" spans="1:35" ht="18.75" customHeight="1">
      <c r="A101" s="3633" t="s">
        <v>1361</v>
      </c>
      <c r="B101" s="3634"/>
      <c r="C101" s="2608" t="str">
        <f>C4</f>
        <v>比较法-车位</v>
      </c>
      <c r="D101" s="2609" t="str">
        <f>D4</f>
        <v>收益法 (元)</v>
      </c>
      <c r="E101" s="3673" t="s">
        <v>1362</v>
      </c>
      <c r="F101" s="3674"/>
      <c r="G101" s="2611" t="s">
        <v>1363</v>
      </c>
      <c r="H101" s="2612" t="e">
        <f ca="1">H118</f>
        <v>#REF!</v>
      </c>
      <c r="I101" s="610"/>
    </row>
    <row r="102" spans="1:35" ht="18.75" customHeight="1">
      <c r="A102" s="3658" t="s">
        <v>1364</v>
      </c>
      <c r="B102" s="2613" t="s">
        <v>1363</v>
      </c>
      <c r="C102" s="2608">
        <f ca="1">IF(D32="楼面单价",ROUND(C19,0),C19)</f>
        <v>14.8714</v>
      </c>
      <c r="D102" s="2609">
        <f ca="1">IF(D32="楼面单价",ROUND(D19,0),D19)</f>
        <v>4.9730999999999996</v>
      </c>
      <c r="E102" s="3673"/>
      <c r="F102" s="3674"/>
      <c r="G102" s="2611" t="s">
        <v>99</v>
      </c>
      <c r="H102" s="2500" t="e">
        <f ca="1">I118</f>
        <v>#REF!</v>
      </c>
      <c r="I102" s="610"/>
    </row>
    <row r="103" spans="1:35" ht="42.75" customHeight="1">
      <c r="A103" s="3658"/>
      <c r="B103" s="2613" t="s">
        <v>99</v>
      </c>
      <c r="C103" s="2614">
        <f ca="1">C20</f>
        <v>4860</v>
      </c>
      <c r="D103" s="2615">
        <f ca="1">D20</f>
        <v>1625</v>
      </c>
      <c r="E103" s="3635" t="s">
        <v>1365</v>
      </c>
      <c r="F103" s="3636"/>
      <c r="G103" s="2616" t="s">
        <v>102</v>
      </c>
      <c r="H103" s="2612">
        <f>IF(D36="正常操作",H104+H105+H106,H105+H106)</f>
        <v>0</v>
      </c>
      <c r="I103" s="610"/>
    </row>
    <row r="104" spans="1:35" ht="18.75" customHeight="1">
      <c r="A104" s="3658" t="s">
        <v>1366</v>
      </c>
      <c r="B104" s="2617" t="s">
        <v>1363</v>
      </c>
      <c r="C104" s="2618" t="e">
        <f ca="1">H118</f>
        <v>#REF!</v>
      </c>
      <c r="D104" s="2619"/>
      <c r="E104" s="2456" t="s">
        <v>1367</v>
      </c>
      <c r="F104" s="2620"/>
      <c r="G104" s="2616" t="s">
        <v>102</v>
      </c>
      <c r="H104" s="2621">
        <f>IF(D36="同一抵押权人同一抵押物续贷",C36&amp;"（续贷，未扣减，详见特别提示）",C36)</f>
        <v>0</v>
      </c>
      <c r="I104" s="610"/>
    </row>
    <row r="105" spans="1:35" ht="18.75" customHeight="1">
      <c r="A105" s="3659"/>
      <c r="B105" s="2622" t="s">
        <v>99</v>
      </c>
      <c r="C105" s="2623" t="e">
        <f ca="1">I118</f>
        <v>#REF!</v>
      </c>
      <c r="D105" s="2624"/>
      <c r="E105" s="2456" t="s">
        <v>1368</v>
      </c>
      <c r="F105" s="2620"/>
      <c r="G105" s="2616" t="s">
        <v>102</v>
      </c>
      <c r="H105" s="2625">
        <f>C37</f>
        <v>0</v>
      </c>
      <c r="I105" s="610"/>
    </row>
    <row r="106" spans="1:35" ht="18.75" customHeight="1">
      <c r="A106" s="2385" t="s">
        <v>1369</v>
      </c>
      <c r="B106" s="2385"/>
      <c r="C106" s="2385"/>
      <c r="D106" s="2385"/>
      <c r="E106" s="2626" t="s">
        <v>1370</v>
      </c>
      <c r="F106" s="2620"/>
      <c r="G106" s="2616" t="s">
        <v>102</v>
      </c>
      <c r="H106" s="2625">
        <f>C38</f>
        <v>0</v>
      </c>
      <c r="I106" s="610"/>
    </row>
    <row r="107" spans="1:35" ht="18.75" customHeight="1">
      <c r="A107" s="610"/>
      <c r="B107" s="610"/>
      <c r="C107" s="610"/>
      <c r="D107" s="610"/>
      <c r="E107" s="3675" t="str">
        <f>IF(项目基本情况!E8="已注销","——","3.房地产抵押价值")</f>
        <v>3.房地产抵押价值</v>
      </c>
      <c r="F107" s="3674"/>
      <c r="G107" s="2611" t="s">
        <v>1363</v>
      </c>
      <c r="H107" s="2612" t="e">
        <f ca="1">IF(E107="——","——",H101-H103)</f>
        <v>#REF!</v>
      </c>
      <c r="I107" s="610"/>
    </row>
    <row r="108" spans="1:35" ht="18.75" customHeight="1">
      <c r="A108" s="610"/>
      <c r="B108" s="610"/>
      <c r="C108" s="610"/>
      <c r="D108" s="610"/>
      <c r="E108" s="3675"/>
      <c r="F108" s="3674"/>
      <c r="G108" s="2611" t="s">
        <v>99</v>
      </c>
      <c r="H108" s="2500">
        <f ca="1">IF(H107=H101,H102,ROUND(H107*10000/'数据-汇总表'!E3,0))</f>
        <v>0</v>
      </c>
      <c r="I108" s="610"/>
    </row>
    <row r="109" spans="1:35" ht="18.75" customHeight="1">
      <c r="A109" s="610"/>
      <c r="B109" s="610"/>
      <c r="C109" s="610"/>
      <c r="D109" s="610"/>
      <c r="E109" s="3675" t="str">
        <f>IF(项目基本情况!E8="已注销及未注销","4.抵押担保权已注销时的房地产抵押价值",IF(项目基本情况!E8="已注销","3.抵押担保权已注销时的房地产抵押价值","——"))</f>
        <v>——</v>
      </c>
      <c r="F109" s="3674"/>
      <c r="G109" s="2611" t="s">
        <v>1363</v>
      </c>
      <c r="H109" s="2627" t="str">
        <f>IF(E109="——","——",H101-H105-H106)</f>
        <v>——</v>
      </c>
      <c r="I109" s="610"/>
    </row>
    <row r="110" spans="1:35" ht="18.75" customHeight="1">
      <c r="A110" s="610"/>
      <c r="B110" s="610"/>
      <c r="C110" s="610"/>
      <c r="D110" s="610"/>
      <c r="E110" s="3675"/>
      <c r="F110" s="3674"/>
      <c r="G110" s="2611" t="s">
        <v>99</v>
      </c>
      <c r="H110" s="2500" t="str">
        <f>IF(H109="——","——",ROUND(H109*10000/'数据-汇总表'!E3,0))</f>
        <v>——</v>
      </c>
      <c r="I110" s="610"/>
    </row>
    <row r="111" spans="1:35" ht="18.75" customHeight="1">
      <c r="A111" s="610"/>
      <c r="B111" s="610"/>
      <c r="C111" s="610"/>
      <c r="D111" s="610"/>
      <c r="E111" s="3676" t="str">
        <f>IF(项目基本情况!E9="抵押净值",IF(OR(项目基本情况!E8="已注销",项目基本情况!E8="房地产抵押价值"),"4.抵押净值","5.抵押净值"),"——")</f>
        <v>——</v>
      </c>
      <c r="F111" s="3651"/>
      <c r="G111" s="2611" t="s">
        <v>1363</v>
      </c>
      <c r="H111" s="2612" t="str">
        <f>IF(E111="——","——",N59)</f>
        <v>——</v>
      </c>
      <c r="I111" s="610"/>
    </row>
    <row r="112" spans="1:35" ht="18.75" customHeight="1">
      <c r="A112" s="610"/>
      <c r="B112" s="610"/>
      <c r="C112" s="610"/>
      <c r="D112" s="610"/>
      <c r="E112" s="3677"/>
      <c r="F112" s="3678"/>
      <c r="G112" s="2628" t="s">
        <v>99</v>
      </c>
      <c r="H112" s="2629" t="str">
        <f>IF(E111="——","——",N61)</f>
        <v>——</v>
      </c>
      <c r="I112" s="610"/>
    </row>
    <row r="113" spans="1:27" ht="18.75" customHeight="1">
      <c r="A113" s="610"/>
      <c r="B113" s="610"/>
      <c r="C113" s="610"/>
      <c r="D113" s="610"/>
      <c r="E113" s="3637" t="s">
        <v>1369</v>
      </c>
      <c r="F113" s="3637"/>
      <c r="G113" s="3637"/>
      <c r="H113" s="3637"/>
      <c r="I113" s="610"/>
    </row>
    <row r="114" spans="1:27" ht="3.75" customHeight="1">
      <c r="A114" s="2385"/>
      <c r="B114" s="2385"/>
      <c r="C114" s="2385"/>
      <c r="D114" s="2385"/>
      <c r="E114" s="2510"/>
      <c r="F114" s="2510"/>
      <c r="G114" s="2510"/>
      <c r="H114" s="2510"/>
      <c r="I114" s="2385"/>
    </row>
    <row r="115" spans="1:27" ht="18.75" customHeight="1">
      <c r="A115" s="3638" t="s">
        <v>1371</v>
      </c>
      <c r="B115" s="3639"/>
      <c r="C115" s="3639"/>
      <c r="D115" s="3639"/>
      <c r="E115" s="3639"/>
      <c r="F115" s="3639"/>
      <c r="G115" s="3639"/>
      <c r="H115" s="3639"/>
      <c r="I115" s="3640"/>
    </row>
    <row r="116" spans="1:27" ht="27" customHeight="1">
      <c r="A116" s="3644" t="s">
        <v>1372</v>
      </c>
      <c r="B116" s="3661" t="s">
        <v>1373</v>
      </c>
      <c r="C116" s="3661" t="s">
        <v>1374</v>
      </c>
      <c r="D116" s="3641" t="s">
        <v>1375</v>
      </c>
      <c r="E116" s="3642"/>
      <c r="F116" s="3643" t="s">
        <v>1376</v>
      </c>
      <c r="G116" s="3643"/>
      <c r="H116" s="3644" t="s">
        <v>1377</v>
      </c>
      <c r="I116" s="3644"/>
    </row>
    <row r="117" spans="1:27" ht="18.75" customHeight="1">
      <c r="A117" s="3644"/>
      <c r="B117" s="3662"/>
      <c r="C117" s="3662"/>
      <c r="D117" s="2395" t="s">
        <v>1378</v>
      </c>
      <c r="E117" s="2395" t="s">
        <v>1207</v>
      </c>
      <c r="F117" s="2395" t="s">
        <v>1378</v>
      </c>
      <c r="G117" s="2395" t="s">
        <v>1207</v>
      </c>
      <c r="H117" s="2395" t="s">
        <v>1378</v>
      </c>
      <c r="I117" s="2395" t="s">
        <v>1207</v>
      </c>
    </row>
    <row r="118" spans="1:27" ht="24.75" customHeight="1">
      <c r="A118" s="2630" t="str">
        <f>项目基本情况!S2</f>
        <v>北京市房地产</v>
      </c>
      <c r="B118" s="2395">
        <f>M18</f>
        <v>30.6</v>
      </c>
      <c r="C118" s="2395">
        <f>M19</f>
        <v>0</v>
      </c>
      <c r="D118" s="2395" t="e">
        <f ca="1">ROUND(IF(D32="总价",C34,E118*B118/10000),0)</f>
        <v>#REF!</v>
      </c>
      <c r="E118" s="2395" t="e">
        <f ca="1">ROUND(IF(C33="自定义",IF(D32="楼面单价",C34,D118*10000/B118),I118-G118),0)</f>
        <v>#REF!</v>
      </c>
      <c r="F118" s="2395" t="e">
        <f ca="1">ROUND(IF(D32="总价",C35,G118*B118/10000),0)</f>
        <v>#REF!</v>
      </c>
      <c r="G118" s="2395" t="e">
        <f ca="1">ROUND(IF(D32="楼面单价",C35,F118*10000/B118),0)</f>
        <v>#REF!</v>
      </c>
      <c r="H118" s="2395" t="e">
        <f ca="1">ROUND(IF(D32="总价",C32,I118*B118/10000),0)</f>
        <v>#REF!</v>
      </c>
      <c r="I118" s="2395" t="e">
        <f ca="1">ROUND(IF(D32="楼面单价",C32,H118*10000/B118),0)</f>
        <v>#REF!</v>
      </c>
    </row>
    <row r="119" spans="1:27" ht="18.75" customHeight="1">
      <c r="A119" s="3644" t="s">
        <v>1379</v>
      </c>
      <c r="B119" s="3644"/>
      <c r="C119" s="3644"/>
      <c r="D119" s="3645" t="e">
        <f ca="1">NUMBERSTRING(INT(D118*10000),2)&amp;"元整"</f>
        <v>#REF!</v>
      </c>
      <c r="E119" s="3646"/>
      <c r="F119" s="3645" t="e">
        <f ca="1">NUMBERSTRING(INT(F118*10000),2)&amp;"元整"</f>
        <v>#REF!</v>
      </c>
      <c r="G119" s="3646"/>
      <c r="H119" s="3645" t="e">
        <f ca="1">NUMBERSTRING(INT(H118*10000),2)&amp;"元整"</f>
        <v>#REF!</v>
      </c>
      <c r="I119" s="3646"/>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2382"/>
      <c r="K120" s="2382" t="str">
        <f>IF(D120=0,"故，本次评估不存在"&amp;A120,"故，本次评估"&amp;A120&amp;"为人民币"&amp;D120&amp;"万元整。")</f>
        <v>故，本次评估不存在估价师知悉的法定优先受偿款</v>
      </c>
      <c r="L120" s="2382"/>
      <c r="M120" s="2382"/>
      <c r="N120" s="2382"/>
      <c r="O120" s="2382"/>
      <c r="P120" s="2382"/>
      <c r="Q120" s="2382"/>
      <c r="R120" s="2382"/>
      <c r="S120" s="2382"/>
    </row>
    <row r="121" spans="1:27" ht="18.75" customHeight="1">
      <c r="A121" s="3645" t="s">
        <v>1379</v>
      </c>
      <c r="B121" s="3650"/>
      <c r="C121" s="3646"/>
      <c r="D121" s="3645" t="str">
        <f>IF(D120=0,"零元整",NUMBERSTRING(INT(D120*10000),2)&amp;"元整")</f>
        <v>零元整</v>
      </c>
      <c r="E121" s="3650"/>
      <c r="F121" s="3650"/>
      <c r="G121" s="3650"/>
      <c r="H121" s="3650"/>
      <c r="I121" s="3646"/>
      <c r="AA121" s="565"/>
    </row>
    <row r="122" spans="1:27" ht="18.75" customHeight="1">
      <c r="A122" s="3651" t="str">
        <f>IF(项目基本情况!B9="房地产市场价值","",MID(E107,3,LEN(E107)-2))</f>
        <v>房地产抵押价值</v>
      </c>
      <c r="B122" s="3651"/>
      <c r="C122" s="3651"/>
      <c r="D122" s="3647" t="e">
        <f ca="1">H107</f>
        <v>#REF!</v>
      </c>
      <c r="E122" s="3648"/>
      <c r="F122" s="3648"/>
      <c r="G122" s="3648"/>
      <c r="H122" s="3648"/>
      <c r="I122" s="3649"/>
      <c r="AA122" s="565"/>
    </row>
    <row r="123" spans="1:27" ht="18.75" customHeight="1">
      <c r="A123" s="3644" t="s">
        <v>1379</v>
      </c>
      <c r="B123" s="3644"/>
      <c r="C123" s="3644"/>
      <c r="D123" s="3645" t="e">
        <f ca="1">NUMBERSTRING(INT(D122*10000),2)&amp;"元整"</f>
        <v>#REF!</v>
      </c>
      <c r="E123" s="3650"/>
      <c r="F123" s="3650"/>
      <c r="G123" s="3650"/>
      <c r="H123" s="3650"/>
      <c r="I123" s="3646"/>
      <c r="AA123" s="565"/>
    </row>
    <row r="124" spans="1:27" ht="18.75" customHeight="1">
      <c r="A124" s="3651" t="str">
        <f>IF(项目基本情况!B9="房地产市场价值","",MID(E109,3,LEN(E109)-2))</f>
        <v/>
      </c>
      <c r="B124" s="3651"/>
      <c r="C124" s="3651"/>
      <c r="D124" s="3647" t="str">
        <f>H109</f>
        <v>——</v>
      </c>
      <c r="E124" s="3648"/>
      <c r="F124" s="3648"/>
      <c r="G124" s="3648"/>
      <c r="H124" s="3648"/>
      <c r="I124" s="3649"/>
      <c r="AA124" s="565"/>
    </row>
    <row r="125" spans="1:27" ht="18.75" customHeight="1">
      <c r="A125" s="3644" t="s">
        <v>1379</v>
      </c>
      <c r="B125" s="3644"/>
      <c r="C125" s="3644"/>
      <c r="D125" s="3645" t="e">
        <f>NUMBERSTRING(INT(D124*10000),2)&amp;"元整"</f>
        <v>#VALUE!</v>
      </c>
      <c r="E125" s="3650"/>
      <c r="F125" s="3650"/>
      <c r="G125" s="3650"/>
      <c r="H125" s="3650"/>
      <c r="I125" s="3646"/>
      <c r="AA125" s="565"/>
    </row>
    <row r="126" spans="1:27" ht="18.75" customHeight="1">
      <c r="A126" s="3651" t="str">
        <f>IF(项目基本情况!B9="房地产市场价值","",MID(E111,3,LEN(E111)-2))</f>
        <v/>
      </c>
      <c r="B126" s="3651"/>
      <c r="C126" s="3651"/>
      <c r="D126" s="3647" t="str">
        <f>H111</f>
        <v>——</v>
      </c>
      <c r="E126" s="3648"/>
      <c r="F126" s="3648"/>
      <c r="G126" s="3648"/>
      <c r="H126" s="3648"/>
      <c r="I126" s="3649"/>
      <c r="AA126" s="565"/>
    </row>
    <row r="127" spans="1:27" ht="18.75" customHeight="1">
      <c r="A127" s="3644" t="s">
        <v>1379</v>
      </c>
      <c r="B127" s="3644"/>
      <c r="C127" s="3644"/>
      <c r="D127" s="3645" t="e">
        <f>NUMBERSTRING(INT(D126*10000),2)&amp;"元整"</f>
        <v>#VALUE!</v>
      </c>
      <c r="E127" s="3650"/>
      <c r="F127" s="3650"/>
      <c r="G127" s="3650"/>
      <c r="H127" s="3650"/>
      <c r="I127" s="3646"/>
      <c r="AA127" s="565"/>
    </row>
    <row r="128" spans="1:27" ht="21.75" customHeight="1">
      <c r="A128" s="3652" t="s">
        <v>113</v>
      </c>
      <c r="B128" s="3652"/>
      <c r="C128" s="3652"/>
      <c r="D128" s="3652"/>
      <c r="E128" s="3652"/>
      <c r="F128" s="3652"/>
      <c r="G128" s="3652"/>
      <c r="H128" s="3652"/>
      <c r="I128" s="3652"/>
      <c r="AA128" s="565"/>
    </row>
    <row r="129" spans="1:35" ht="21.75" customHeight="1">
      <c r="A129" s="2641" t="s">
        <v>1380</v>
      </c>
      <c r="B129" s="2642"/>
      <c r="C129" s="2643" t="s">
        <v>1381</v>
      </c>
      <c r="D129" s="2644"/>
      <c r="E129" s="2644"/>
      <c r="F129" s="2644"/>
      <c r="G129" s="2644"/>
      <c r="H129" s="2645"/>
      <c r="I129" s="2660"/>
      <c r="AA129" s="565"/>
    </row>
    <row r="130" spans="1:35" ht="21.75" customHeight="1">
      <c r="A130" s="2646">
        <v>1</v>
      </c>
      <c r="B130" s="2647"/>
      <c r="C130" s="2647"/>
      <c r="D130" s="2648"/>
      <c r="E130" s="2648"/>
      <c r="F130" s="2648"/>
      <c r="G130" s="2648"/>
      <c r="H130" s="2649"/>
      <c r="I130" s="2661"/>
      <c r="AA130" s="565"/>
    </row>
    <row r="131" spans="1:35" ht="21.75" customHeight="1">
      <c r="A131" s="2646">
        <v>2</v>
      </c>
      <c r="B131" s="2647"/>
      <c r="C131" s="2647"/>
      <c r="D131" s="2648"/>
      <c r="E131" s="2648"/>
      <c r="F131" s="2648"/>
      <c r="G131" s="2648"/>
      <c r="H131" s="2649"/>
      <c r="I131" s="2661"/>
      <c r="AA131" s="565"/>
    </row>
    <row r="132" spans="1:35" ht="21.75" customHeight="1">
      <c r="A132" s="2646">
        <v>3</v>
      </c>
      <c r="B132" s="2647"/>
      <c r="C132" s="2647"/>
      <c r="D132" s="2648"/>
      <c r="E132" s="2648"/>
      <c r="F132" s="2648"/>
      <c r="G132" s="2648"/>
      <c r="H132" s="2649"/>
      <c r="I132" s="2661"/>
      <c r="AA132" s="565"/>
    </row>
    <row r="133" spans="1:35" ht="21.75" customHeight="1">
      <c r="A133" s="2650"/>
      <c r="B133" s="2651"/>
      <c r="C133" s="2651"/>
      <c r="D133" s="2652"/>
      <c r="E133" s="2652"/>
      <c r="F133" s="2652"/>
      <c r="G133" s="2652"/>
      <c r="H133" s="2653"/>
      <c r="I133" s="2662"/>
    </row>
    <row r="134" spans="1:35" ht="21.75" customHeight="1">
      <c r="A134" s="2647"/>
      <c r="B134" s="2647"/>
      <c r="C134" s="2647"/>
      <c r="D134" s="2648"/>
      <c r="E134" s="2648"/>
      <c r="F134" s="2648"/>
      <c r="G134" s="2648"/>
      <c r="H134" s="2649"/>
      <c r="I134" s="565"/>
    </row>
    <row r="135" spans="1:35" ht="21.75" customHeight="1">
      <c r="A135" s="565"/>
      <c r="B135" s="565"/>
      <c r="C135" s="565"/>
      <c r="D135" s="565"/>
      <c r="E135" s="565"/>
      <c r="F135" s="2654" t="s">
        <v>1382</v>
      </c>
      <c r="G135" s="2655"/>
      <c r="H135" s="2655"/>
      <c r="I135" s="2663" t="s">
        <v>1383</v>
      </c>
    </row>
    <row r="136" spans="1:35" ht="21.75" customHeight="1">
      <c r="A136" s="565"/>
      <c r="B136" s="2656" t="s">
        <v>1384</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2655"/>
      <c r="C138" s="2655"/>
      <c r="D138" s="2655"/>
      <c r="E138" s="2655"/>
      <c r="F138" s="2655"/>
      <c r="G138" s="2655"/>
      <c r="H138" s="2655"/>
      <c r="I138" s="2663" t="s">
        <v>1385</v>
      </c>
    </row>
    <row r="139" spans="1:35" ht="21.75" customHeight="1">
      <c r="A139" s="565"/>
      <c r="B139" s="2656" t="s">
        <v>1386</v>
      </c>
      <c r="C139" s="565"/>
      <c r="D139" s="565"/>
      <c r="E139" s="565"/>
      <c r="F139" s="565"/>
      <c r="G139" s="565"/>
      <c r="H139" s="565"/>
      <c r="I139" s="565"/>
    </row>
    <row r="140" spans="1:35" ht="21.75" customHeight="1">
      <c r="A140" s="565"/>
      <c r="B140" s="2656"/>
      <c r="C140" s="565"/>
      <c r="D140" s="565"/>
      <c r="E140" s="565"/>
      <c r="F140" s="565"/>
      <c r="G140" s="565"/>
      <c r="H140" s="565"/>
      <c r="I140" s="565"/>
    </row>
    <row r="141" spans="1:35" ht="21.75" customHeight="1">
      <c r="A141" s="565"/>
      <c r="B141" s="2655"/>
      <c r="C141" s="2655"/>
      <c r="D141" s="2655"/>
      <c r="E141" s="2655"/>
      <c r="F141" s="2655"/>
      <c r="G141" s="2655"/>
      <c r="H141" s="2655"/>
      <c r="I141" s="2663" t="s">
        <v>1385</v>
      </c>
    </row>
    <row r="142" spans="1:35" ht="21.75" customHeight="1">
      <c r="A142" s="565"/>
      <c r="B142" s="2656"/>
      <c r="C142" s="2657"/>
      <c r="D142" s="2658"/>
      <c r="E142" s="2658"/>
      <c r="F142" s="2659"/>
      <c r="G142" s="565"/>
      <c r="H142" s="565"/>
      <c r="I142" s="565"/>
    </row>
    <row r="143" spans="1:35" s="562" customFormat="1" ht="21.75" customHeight="1">
      <c r="A143" s="565"/>
      <c r="B143" s="2656"/>
      <c r="C143" s="2657"/>
      <c r="D143" s="2658"/>
      <c r="E143" s="2658"/>
      <c r="F143" s="2659"/>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562"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562"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2382"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2382"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2382"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2382"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2382"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2382"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2382"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2382"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2382"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2382"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2382"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2382"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2382"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2382"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2382"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2382"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2382"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2382"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2382"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2382"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2382"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2382"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2382"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2382"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2382"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2382"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2382"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2382"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2382"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2382"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2382"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2382"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2382"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2382"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2382"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2382"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2382"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2382"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2382"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2382"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2382"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2382"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2382"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2382"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2382"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2382"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2382"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2382"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2382"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2382"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2382"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2382"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2382"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2382"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2382"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2382"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2382"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2382"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2382"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2382"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2382"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2382"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2382"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2382"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2382"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2382"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2382"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2382"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2382"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2382"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2382"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2382"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2382"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2382"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2382"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2382"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2382"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2382"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2382"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2382"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2382"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2382"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2382"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2382"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2382"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2382"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2382"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2382"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2382"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2382"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2382"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2382"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2382"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2382"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2382"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2382"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2382"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2382"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2382"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2382"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2382"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2382"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2382"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2382"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algorithmName="SHA-512" hashValue="aiOvJIDribVfASCpV2NIHGd0GTc9mHEEYD2lxVUCNBG00ZrZctwiAakvn97BFZ8snNBvBiLKR6IuSv5FxynFhw==" saltValue="gTtdlF5VuvEkEn1Ep9EVMA==" spinCount="100000" sheet="1" object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9" priority="1" stopIfTrue="1">
      <formula>$D$36="同一抵押权人同一抵押物续贷"</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D14:D16">
    <cfRule type="cellIs" dxfId="171" priority="6" stopIfTrue="1" operator="equal">
      <formula>30</formula>
    </cfRule>
  </conditionalFormatting>
  <conditionalFormatting sqref="C10:D13">
    <cfRule type="cellIs" dxfId="170"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3" customWidth="1"/>
    <col min="2" max="9" width="10" style="3463" customWidth="1"/>
    <col min="10" max="16384" width="9" style="3463"/>
  </cols>
  <sheetData>
    <row r="36" spans="1:9">
      <c r="A36" s="3462" t="s">
        <v>75</v>
      </c>
      <c r="B36" s="3462" t="s">
        <v>76</v>
      </c>
    </row>
    <row r="37" spans="1:9" ht="27.75" customHeight="1">
      <c r="A37" s="3462"/>
      <c r="B37" s="3491" t="str">
        <f>项目基本情况!B1</f>
        <v>北京市房地产抵押价值预评估</v>
      </c>
      <c r="C37" s="3491"/>
      <c r="D37" s="3491"/>
      <c r="E37" s="3491"/>
      <c r="F37" s="3491"/>
      <c r="G37" s="3491"/>
      <c r="H37" s="3491"/>
      <c r="I37" s="3491"/>
    </row>
    <row r="38" spans="1:9">
      <c r="A38" s="3464"/>
      <c r="B38" s="3464"/>
    </row>
    <row r="39" spans="1:9">
      <c r="A39" s="3462" t="s">
        <v>75</v>
      </c>
      <c r="B39" s="3462" t="s">
        <v>77</v>
      </c>
    </row>
    <row r="40" spans="1:9">
      <c r="A40" s="3462"/>
      <c r="B40" s="3465">
        <f>项目基本情况!B5</f>
        <v>0</v>
      </c>
    </row>
    <row r="41" spans="1:9">
      <c r="A41" s="3462"/>
      <c r="B41" s="3462"/>
    </row>
    <row r="42" spans="1:9">
      <c r="A42" s="3462" t="s">
        <v>75</v>
      </c>
      <c r="B42" s="3462" t="s">
        <v>78</v>
      </c>
    </row>
    <row r="43" spans="1:9">
      <c r="A43" s="3462"/>
      <c r="B43" s="3465" t="s">
        <v>79</v>
      </c>
    </row>
    <row r="44" spans="1:9">
      <c r="A44" s="3462"/>
      <c r="B44" s="3462"/>
    </row>
    <row r="45" spans="1:9">
      <c r="A45" s="3462" t="s">
        <v>75</v>
      </c>
      <c r="B45" s="3462" t="s">
        <v>80</v>
      </c>
    </row>
    <row r="46" spans="1:9" s="3462" customFormat="1" ht="12.75">
      <c r="B46" s="3465" t="str">
        <f ca="1">项目基本情况!K4</f>
        <v>吴薇（注册号：1419970001)、郑燚（注册号：1120070131)</v>
      </c>
    </row>
    <row r="47" spans="1:9">
      <c r="A47" s="3462"/>
      <c r="B47" s="3462" t="str">
        <f>项目基本情况!K5</f>
        <v>（注册号：0)、（注册号：0)</v>
      </c>
    </row>
    <row r="48" spans="1:9">
      <c r="A48" s="3462" t="s">
        <v>75</v>
      </c>
      <c r="B48" s="3462" t="s">
        <v>81</v>
      </c>
    </row>
    <row r="49" spans="2:2">
      <c r="B49" s="3465"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0" zoomScaleNormal="60" workbookViewId="0">
      <selection activeCell="E37" sqref="E37"/>
    </sheetView>
  </sheetViews>
  <sheetFormatPr defaultColWidth="9" defaultRowHeight="14.25"/>
  <cols>
    <col min="1" max="1" width="10.5" style="1099" customWidth="1"/>
    <col min="2" max="2" width="15.75" style="1099" customWidth="1"/>
    <col min="3" max="3" width="14.37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5.5" style="1099" customWidth="1"/>
    <col min="10" max="10" width="12.25" style="1099" customWidth="1"/>
    <col min="11" max="11" width="12.25" style="1100" customWidth="1"/>
    <col min="12" max="12" width="12.25" style="1101" customWidth="1"/>
    <col min="13" max="15" width="12.25" style="1099" customWidth="1"/>
    <col min="16" max="16" width="4.75" style="15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471" customFormat="1" ht="28.5" customHeight="1">
      <c r="A1" s="1472" t="s">
        <v>1387</v>
      </c>
      <c r="B1" s="1473" t="s">
        <v>232</v>
      </c>
      <c r="C1" s="1474" t="s">
        <v>1388</v>
      </c>
      <c r="D1" s="1475" t="s">
        <v>648</v>
      </c>
      <c r="E1" s="1476" t="s">
        <v>1389</v>
      </c>
      <c r="F1" s="1477" t="s">
        <v>1390</v>
      </c>
      <c r="G1" s="2338" t="s">
        <v>1391</v>
      </c>
      <c r="H1" s="2339"/>
      <c r="I1" s="2339"/>
      <c r="J1" s="2339"/>
      <c r="K1" s="2366"/>
      <c r="L1" s="2367"/>
      <c r="M1" s="2368"/>
      <c r="N1" s="2368"/>
      <c r="O1" s="2368"/>
      <c r="P1" s="2369"/>
      <c r="Q1" s="1474"/>
      <c r="R1" s="1474"/>
      <c r="S1" s="1474"/>
      <c r="T1" s="1474"/>
      <c r="U1" s="1474"/>
      <c r="V1" s="1474"/>
      <c r="W1" s="1474"/>
      <c r="X1" s="1474"/>
      <c r="Y1" s="1474"/>
      <c r="Z1" s="1474"/>
      <c r="AA1" s="1474"/>
      <c r="AB1" s="1474"/>
      <c r="AC1" s="1538"/>
    </row>
    <row r="2" spans="1:29" s="1092" customFormat="1" ht="28.5" customHeight="1">
      <c r="A2" s="1480" t="s">
        <v>1392</v>
      </c>
      <c r="B2" s="1481">
        <f>IF(E1="项目模式",IF(C2="——",IF(B37="元/平方米",ROUND(C39*D3/10000,0),ROUND(F3*C39/10000,0)),IF(B37="元/平方米",ROUND(C39*D3/10000,0),ROUND(F3*C39/10000,0))-D2),IF(E1="单套模式",IF(C2="——",IF(B37="元/平方米",ROUND(C39*D3/10000,4),ROUND(F3*C39/10000,4)),IF(B37="元/平方米",ROUND(C39*D3/10000,0),ROUND(F3*C39/10000,0))-D2)))</f>
        <v>14.8714</v>
      </c>
      <c r="C2" s="1482" t="s">
        <v>124</v>
      </c>
      <c r="D2" s="1438" t="e">
        <f ca="1">IF(E1="项目模式",SUMIF(INDIRECT("'"&amp;F2&amp;"'"&amp;"!A:A"),"承租人权益价值",INDIRECT("'"&amp;F2&amp;"'"&amp;"!c:c")),SUMIF(INDIRECT("'"&amp;F2&amp;"'"&amp;"!A:A"),"承租人权益价值（单套）",INDIRECT("'"&amp;F2&amp;"'"&amp;"!c:c")))</f>
        <v>#REF!</v>
      </c>
      <c r="E2" s="1483" t="s">
        <v>1393</v>
      </c>
      <c r="F2" s="1484"/>
      <c r="G2" s="1108"/>
      <c r="H2" s="1108"/>
      <c r="I2" s="1108"/>
      <c r="J2" s="1108"/>
      <c r="K2" s="1256"/>
      <c r="L2" s="1257"/>
      <c r="M2" s="1258"/>
      <c r="N2" s="1258"/>
      <c r="O2" s="1258"/>
      <c r="P2" s="2370"/>
      <c r="Q2" s="1255"/>
      <c r="R2" s="1255"/>
      <c r="S2" s="1255"/>
      <c r="T2" s="1255"/>
      <c r="U2" s="1255"/>
      <c r="V2" s="1255"/>
      <c r="W2" s="1255"/>
      <c r="X2" s="1255"/>
      <c r="Y2" s="1255"/>
      <c r="Z2" s="1255"/>
      <c r="AA2" s="1255"/>
      <c r="AB2" s="1255"/>
      <c r="AC2" s="1315"/>
    </row>
    <row r="3" spans="1:29" s="1092" customFormat="1" ht="28.5" customHeight="1">
      <c r="A3" s="389" t="s">
        <v>1394</v>
      </c>
      <c r="B3" s="1110">
        <f>IF(AND(C2="——",B37="元/平方米"),C39,ROUND(B2*10000/D3,0))</f>
        <v>4860</v>
      </c>
      <c r="C3" s="1485" t="s">
        <v>1395</v>
      </c>
      <c r="D3" s="1486">
        <f>SUMIF('数据-汇总表'!$C19:$C33,D1,'数据-汇总表'!$E19:$E33)</f>
        <v>30.6</v>
      </c>
      <c r="E3" s="1485" t="s">
        <v>1396</v>
      </c>
      <c r="F3" s="1486">
        <f>SUMIF('数据-取费表'!A5:A15,D1,'数据-取费表'!AH5:AH15)</f>
        <v>1</v>
      </c>
      <c r="G3" s="1108"/>
      <c r="H3" s="1108"/>
      <c r="I3" s="1108"/>
      <c r="J3" s="1108"/>
      <c r="K3" s="1256"/>
      <c r="L3" s="1257"/>
      <c r="M3" s="1258">
        <f>IF(C2="——",IF(B37="元/平方米",ROUND(C39*D3/10000,0),ROUND(F3*C39/10000,0)),IF(B37="元/平方米",ROUND(C39*D3/10000,0),ROUND(F3*C39/10000,0))-D2)</f>
        <v>15</v>
      </c>
      <c r="N3" s="1258"/>
      <c r="O3" s="1258"/>
      <c r="P3" s="2370"/>
      <c r="Q3" s="1255"/>
      <c r="R3" s="1255"/>
      <c r="S3" s="1255"/>
      <c r="T3" s="1255"/>
      <c r="U3" s="1255"/>
      <c r="V3" s="1255"/>
      <c r="W3" s="1255"/>
      <c r="X3" s="1255"/>
      <c r="Y3" s="1255"/>
      <c r="Z3" s="1255"/>
      <c r="AA3" s="1255"/>
      <c r="AB3" s="1316"/>
      <c r="AC3" s="1317"/>
    </row>
    <row r="4" spans="1:29" ht="15">
      <c r="A4" s="1112" t="s">
        <v>1397</v>
      </c>
      <c r="B4" s="1113"/>
      <c r="C4" s="3679" t="s">
        <v>1398</v>
      </c>
      <c r="D4" s="3680"/>
      <c r="E4" s="3681" t="s">
        <v>1399</v>
      </c>
      <c r="F4" s="3682"/>
      <c r="G4" s="3679" t="s">
        <v>1400</v>
      </c>
      <c r="H4" s="3680"/>
      <c r="I4" s="3679" t="s">
        <v>1401</v>
      </c>
      <c r="J4" s="3680"/>
      <c r="K4" s="1259" t="s">
        <v>1402</v>
      </c>
      <c r="L4" s="1260"/>
      <c r="M4" s="1261"/>
      <c r="N4" s="1261"/>
      <c r="O4" s="1261"/>
      <c r="P4" s="3707" t="s">
        <v>1403</v>
      </c>
      <c r="Q4" s="3708"/>
      <c r="R4" s="3713" t="s">
        <v>1399</v>
      </c>
      <c r="S4" s="3714"/>
      <c r="T4" s="3713" t="s">
        <v>1400</v>
      </c>
      <c r="U4" s="3714"/>
      <c r="V4" s="3719" t="s">
        <v>1401</v>
      </c>
      <c r="W4" s="3719"/>
      <c r="X4" s="1303"/>
      <c r="Y4" s="3713" t="s">
        <v>1403</v>
      </c>
      <c r="Z4" s="3714"/>
      <c r="AA4" s="3704" t="s">
        <v>1399</v>
      </c>
      <c r="AB4" s="3705" t="s">
        <v>1400</v>
      </c>
      <c r="AC4" s="3704" t="s">
        <v>1401</v>
      </c>
    </row>
    <row r="5" spans="1:29" ht="15">
      <c r="A5" s="1114"/>
      <c r="B5" s="1115"/>
      <c r="C5" s="3683" t="s">
        <v>1404</v>
      </c>
      <c r="D5" s="3684"/>
      <c r="E5" s="3685" t="s">
        <v>1405</v>
      </c>
      <c r="F5" s="3686"/>
      <c r="G5" s="3687" t="s">
        <v>1406</v>
      </c>
      <c r="H5" s="3684"/>
      <c r="I5" s="3687" t="s">
        <v>1407</v>
      </c>
      <c r="J5" s="3684"/>
      <c r="K5" s="1259"/>
      <c r="L5" s="1260"/>
      <c r="M5" s="1261"/>
      <c r="N5" s="1261"/>
      <c r="O5" s="1261"/>
      <c r="P5" s="3709"/>
      <c r="Q5" s="3710"/>
      <c r="R5" s="3715"/>
      <c r="S5" s="3716"/>
      <c r="T5" s="3715"/>
      <c r="U5" s="3716"/>
      <c r="V5" s="3719"/>
      <c r="W5" s="3719"/>
      <c r="X5" s="1303"/>
      <c r="Y5" s="3715"/>
      <c r="Z5" s="3716"/>
      <c r="AA5" s="3705"/>
      <c r="AB5" s="3705"/>
      <c r="AC5" s="3705"/>
    </row>
    <row r="6" spans="1:29" ht="15">
      <c r="A6" s="1116"/>
      <c r="B6" s="1117"/>
      <c r="C6" s="3688" t="s">
        <v>1408</v>
      </c>
      <c r="D6" s="3689"/>
      <c r="E6" s="3690" t="s">
        <v>1408</v>
      </c>
      <c r="F6" s="3691"/>
      <c r="G6" s="3688" t="s">
        <v>1408</v>
      </c>
      <c r="H6" s="3689"/>
      <c r="I6" s="3688" t="s">
        <v>1408</v>
      </c>
      <c r="J6" s="3689"/>
      <c r="K6" s="1259" t="s">
        <v>1409</v>
      </c>
      <c r="L6" s="1260"/>
      <c r="M6" s="1261"/>
      <c r="N6" s="1261"/>
      <c r="O6" s="1261"/>
      <c r="P6" s="3711"/>
      <c r="Q6" s="3712"/>
      <c r="R6" s="3715"/>
      <c r="S6" s="3716"/>
      <c r="T6" s="3717"/>
      <c r="U6" s="3718"/>
      <c r="V6" s="3719"/>
      <c r="W6" s="3719"/>
      <c r="X6" s="1303"/>
      <c r="Y6" s="3717"/>
      <c r="Z6" s="3718"/>
      <c r="AA6" s="3706"/>
      <c r="AB6" s="3706"/>
      <c r="AC6" s="3706"/>
    </row>
    <row r="7" spans="1:29" s="1093" customFormat="1" ht="15">
      <c r="A7" s="1118" t="s">
        <v>1410</v>
      </c>
      <c r="B7" s="1119"/>
      <c r="C7" s="1120">
        <f>'数据-取费表'!B2</f>
        <v>45911</v>
      </c>
      <c r="D7" s="1121">
        <v>100</v>
      </c>
      <c r="E7" s="1122">
        <v>45865</v>
      </c>
      <c r="F7" s="1123">
        <f>SUMIF(48:48,YEAR(E7)&amp;"-"&amp;MONTH(E7),49:49)</f>
        <v>100</v>
      </c>
      <c r="G7" s="1122">
        <v>45902</v>
      </c>
      <c r="H7" s="1121">
        <f>SUMIF(48:48,YEAR(G7)&amp;"-"&amp;MONTH(G7),49:49)</f>
        <v>100</v>
      </c>
      <c r="I7" s="1122">
        <v>45814</v>
      </c>
      <c r="J7" s="1121">
        <f>SUMIF(48:48,YEAR(I7)&amp;"-"&amp;MONTH(I7),49:49)</f>
        <v>100</v>
      </c>
      <c r="K7" s="1262"/>
      <c r="L7" s="1263"/>
      <c r="M7" s="1264"/>
      <c r="N7" s="1264"/>
      <c r="O7" s="1264"/>
      <c r="P7" s="3692" t="s">
        <v>1411</v>
      </c>
      <c r="Q7" s="3693"/>
      <c r="R7" s="1304" t="s">
        <v>1412</v>
      </c>
      <c r="S7" s="1305">
        <f t="shared" ref="S7:S14" si="0">F7</f>
        <v>100</v>
      </c>
      <c r="T7" s="1304" t="s">
        <v>1412</v>
      </c>
      <c r="U7" s="1305">
        <f t="shared" ref="U7:U14" si="1">H7</f>
        <v>100</v>
      </c>
      <c r="V7" s="1304" t="s">
        <v>1412</v>
      </c>
      <c r="W7" s="1305">
        <f t="shared" ref="W7:W14" si="2">J7</f>
        <v>100</v>
      </c>
      <c r="X7" s="1306"/>
      <c r="Y7" s="3692" t="s">
        <v>1411</v>
      </c>
      <c r="Z7" s="3694"/>
      <c r="AA7" s="1318">
        <f>D7/F7</f>
        <v>1</v>
      </c>
      <c r="AB7" s="1318">
        <f>D7/H7</f>
        <v>1</v>
      </c>
      <c r="AC7" s="1318">
        <f>D7/J7</f>
        <v>1</v>
      </c>
    </row>
    <row r="8" spans="1:29" s="1093" customFormat="1" ht="15">
      <c r="A8" s="1118" t="s">
        <v>1413</v>
      </c>
      <c r="B8" s="1119"/>
      <c r="C8" s="1125" t="s">
        <v>1414</v>
      </c>
      <c r="D8" s="1121">
        <v>100</v>
      </c>
      <c r="E8" s="1125" t="s">
        <v>1414</v>
      </c>
      <c r="F8" s="1123">
        <f>SUMIF(51:51,E8,52:52)-SUMIF(51:51,C8,52:52)+100</f>
        <v>100</v>
      </c>
      <c r="G8" s="1125" t="s">
        <v>1414</v>
      </c>
      <c r="H8" s="1121">
        <f>SUMIF(51:51,G8,52:52)-SUMIF(51:51,C8,52:52)+100</f>
        <v>100</v>
      </c>
      <c r="I8" s="1125" t="s">
        <v>1414</v>
      </c>
      <c r="J8" s="1121">
        <f>SUMIF(51:51,I8,52:52)-SUMIF(51:51,C8,52:52)+100</f>
        <v>100</v>
      </c>
      <c r="K8" s="1262"/>
      <c r="L8" s="1263"/>
      <c r="M8" s="1264"/>
      <c r="N8" s="1264"/>
      <c r="O8" s="1264"/>
      <c r="P8" s="3692" t="s">
        <v>1415</v>
      </c>
      <c r="Q8" s="3694"/>
      <c r="R8" s="1304" t="s">
        <v>1412</v>
      </c>
      <c r="S8" s="1305">
        <f t="shared" si="0"/>
        <v>100</v>
      </c>
      <c r="T8" s="1304" t="s">
        <v>1412</v>
      </c>
      <c r="U8" s="1305">
        <f t="shared" si="1"/>
        <v>100</v>
      </c>
      <c r="V8" s="1304" t="s">
        <v>1412</v>
      </c>
      <c r="W8" s="1305">
        <f t="shared" si="2"/>
        <v>100</v>
      </c>
      <c r="X8" s="1306"/>
      <c r="Y8" s="3692" t="s">
        <v>1415</v>
      </c>
      <c r="Z8" s="3694"/>
      <c r="AA8" s="1318">
        <f t="shared" ref="AA8:AA36" si="3">D8/F8</f>
        <v>1</v>
      </c>
      <c r="AB8" s="1318">
        <f t="shared" ref="AB8:AB36" si="4">D8/H8</f>
        <v>1</v>
      </c>
      <c r="AC8" s="1318">
        <f t="shared" ref="AC8:AC36" si="5">D8/J8</f>
        <v>1</v>
      </c>
    </row>
    <row r="9" spans="1:29" s="1093" customFormat="1">
      <c r="A9" s="2340" t="s">
        <v>1416</v>
      </c>
      <c r="B9" s="2341" t="s">
        <v>1417</v>
      </c>
      <c r="C9" s="2342" t="s">
        <v>595</v>
      </c>
      <c r="D9" s="1129">
        <v>100</v>
      </c>
      <c r="E9" s="1488" t="s">
        <v>595</v>
      </c>
      <c r="F9" s="1129">
        <f>SUMIF(53:53,E9,54:54)-SUMIF(53:53,C9,54:54)+100</f>
        <v>100</v>
      </c>
      <c r="G9" s="1488" t="s">
        <v>595</v>
      </c>
      <c r="H9" s="1129">
        <f>SUMIF(53:53,G9,54:54)-SUMIF(53:53,C9,54:54)+100</f>
        <v>100</v>
      </c>
      <c r="I9" s="1488" t="s">
        <v>595</v>
      </c>
      <c r="J9" s="1129">
        <f>SUMIF(53:53,I9,54:54)-SUMIF(53:53,C9,54:54)+100</f>
        <v>100</v>
      </c>
      <c r="K9" s="1262"/>
      <c r="L9" s="1263"/>
      <c r="M9" s="1264"/>
      <c r="N9" s="1264"/>
      <c r="O9" s="1264"/>
      <c r="P9" s="3695" t="s">
        <v>1418</v>
      </c>
      <c r="Q9" s="1308" t="str">
        <f t="shared" ref="Q9:Q14" si="6">B9</f>
        <v>用途</v>
      </c>
      <c r="R9" s="1304" t="s">
        <v>1412</v>
      </c>
      <c r="S9" s="1305">
        <f t="shared" si="0"/>
        <v>100</v>
      </c>
      <c r="T9" s="1304" t="s">
        <v>1412</v>
      </c>
      <c r="U9" s="1305">
        <f t="shared" si="1"/>
        <v>100</v>
      </c>
      <c r="V9" s="1304" t="s">
        <v>1412</v>
      </c>
      <c r="W9" s="1305">
        <f t="shared" si="2"/>
        <v>100</v>
      </c>
      <c r="X9" s="1306"/>
      <c r="Y9" s="3660" t="s">
        <v>1419</v>
      </c>
      <c r="Z9" s="1319" t="str">
        <f t="shared" ref="Z9:Z14" si="7">Q9</f>
        <v>用途</v>
      </c>
      <c r="AA9" s="1318">
        <f t="shared" si="3"/>
        <v>1</v>
      </c>
      <c r="AB9" s="1318">
        <f t="shared" si="4"/>
        <v>1</v>
      </c>
      <c r="AC9" s="1318">
        <f t="shared" si="5"/>
        <v>1</v>
      </c>
    </row>
    <row r="10" spans="1:29" s="1094" customFormat="1" ht="27">
      <c r="A10" s="2343"/>
      <c r="B10" s="2344" t="s">
        <v>1420</v>
      </c>
      <c r="C10" s="2345" t="s">
        <v>1421</v>
      </c>
      <c r="D10" s="1133">
        <v>100</v>
      </c>
      <c r="E10" s="2345" t="s">
        <v>1422</v>
      </c>
      <c r="F10" s="1133">
        <f>SUMIF(55:55,E10,56:56)-SUMIF(55:55,C10,56:56)+100</f>
        <v>102</v>
      </c>
      <c r="G10" s="2345" t="s">
        <v>1422</v>
      </c>
      <c r="H10" s="1133">
        <f>SUMIF(55:55,G10,56:56)-SUMIF(55:55,C10,56:56)+100</f>
        <v>102</v>
      </c>
      <c r="I10" s="2345" t="s">
        <v>1422</v>
      </c>
      <c r="J10" s="1133">
        <f>SUMIF(55:55,I10,56:56)-SUMIF(55:55,C10,56:56)+100</f>
        <v>102</v>
      </c>
      <c r="K10" s="1262"/>
      <c r="L10" s="1267"/>
      <c r="M10" s="1268"/>
      <c r="N10" s="1268"/>
      <c r="O10" s="1268"/>
      <c r="P10" s="3695"/>
      <c r="Q10" s="1308" t="str">
        <f t="shared" si="6"/>
        <v>土地使用年限（年）</v>
      </c>
      <c r="R10" s="1304" t="s">
        <v>1412</v>
      </c>
      <c r="S10" s="1305">
        <f t="shared" si="0"/>
        <v>102</v>
      </c>
      <c r="T10" s="1304" t="s">
        <v>1412</v>
      </c>
      <c r="U10" s="1305">
        <f t="shared" si="1"/>
        <v>102</v>
      </c>
      <c r="V10" s="1304" t="s">
        <v>1412</v>
      </c>
      <c r="W10" s="1305">
        <f t="shared" si="2"/>
        <v>102</v>
      </c>
      <c r="X10" s="1306"/>
      <c r="Y10" s="3660"/>
      <c r="Z10" s="1319" t="str">
        <f t="shared" si="7"/>
        <v>土地使用年限（年）</v>
      </c>
      <c r="AA10" s="1318">
        <f t="shared" si="3"/>
        <v>0.98039215686274506</v>
      </c>
      <c r="AB10" s="1318">
        <f t="shared" si="4"/>
        <v>0.98039215686274506</v>
      </c>
      <c r="AC10" s="1318">
        <f t="shared" si="5"/>
        <v>0.98039215686274506</v>
      </c>
    </row>
    <row r="11" spans="1:29" ht="15">
      <c r="A11" s="2346"/>
      <c r="B11" s="2347">
        <v>111</v>
      </c>
      <c r="C11" s="1132"/>
      <c r="D11" s="1133">
        <v>100</v>
      </c>
      <c r="E11" s="1132"/>
      <c r="F11" s="1133">
        <f>SUMIF(57:57,E11,58:58)-SUMIF(57:57,C11,58:58)+100</f>
        <v>100</v>
      </c>
      <c r="G11" s="1132"/>
      <c r="H11" s="1133">
        <f>SUMIF(57:57,G11,58:58)-SUMIF(57:57,C11,58:58)+100</f>
        <v>100</v>
      </c>
      <c r="I11" s="1132"/>
      <c r="J11" s="1133">
        <f>SUMIF(57:57,I11,58:58)-SUMIF(57:57,C11,58:58)+100</f>
        <v>100</v>
      </c>
      <c r="K11" s="1278"/>
      <c r="L11" s="1271"/>
      <c r="M11" s="1261"/>
      <c r="N11" s="1261"/>
      <c r="O11" s="1261"/>
      <c r="P11" s="3695"/>
      <c r="Q11" s="1308">
        <f t="shared" si="6"/>
        <v>111</v>
      </c>
      <c r="R11" s="1304" t="s">
        <v>1412</v>
      </c>
      <c r="S11" s="1305">
        <f t="shared" si="0"/>
        <v>100</v>
      </c>
      <c r="T11" s="1304" t="s">
        <v>1412</v>
      </c>
      <c r="U11" s="1305">
        <f t="shared" si="1"/>
        <v>100</v>
      </c>
      <c r="V11" s="1304" t="s">
        <v>1412</v>
      </c>
      <c r="W11" s="1305">
        <f t="shared" si="2"/>
        <v>100</v>
      </c>
      <c r="X11" s="1306"/>
      <c r="Y11" s="3660"/>
      <c r="Z11" s="1319">
        <f t="shared" si="7"/>
        <v>111</v>
      </c>
      <c r="AA11" s="1318">
        <f t="shared" si="3"/>
        <v>1</v>
      </c>
      <c r="AB11" s="1318">
        <f t="shared" si="4"/>
        <v>1</v>
      </c>
      <c r="AC11" s="1318">
        <f t="shared" si="5"/>
        <v>1</v>
      </c>
    </row>
    <row r="12" spans="1:29" s="1093" customFormat="1" ht="15">
      <c r="A12" s="2348"/>
      <c r="B12" s="2347">
        <v>111</v>
      </c>
      <c r="C12" s="1132"/>
      <c r="D12" s="1139">
        <v>100</v>
      </c>
      <c r="E12" s="1132"/>
      <c r="F12" s="1133">
        <f>SUMIF(59:59,E12,60:60)-SUMIF(59:59,C12,60:60)+100</f>
        <v>100</v>
      </c>
      <c r="G12" s="1132"/>
      <c r="H12" s="1133">
        <f>SUMIF(59:59,G12,60:60)-SUMIF(59:59,C12,60:60)+100</f>
        <v>100</v>
      </c>
      <c r="I12" s="1132"/>
      <c r="J12" s="1133">
        <f>SUMIF(59:59,I12,60:60)-SUMIF(59:59,C12,60:60)+100</f>
        <v>100</v>
      </c>
      <c r="K12" s="1278"/>
      <c r="L12" s="1263"/>
      <c r="M12" s="1264"/>
      <c r="N12" s="1264"/>
      <c r="O12" s="1264"/>
      <c r="P12" s="3695"/>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318">
        <f t="shared" si="5"/>
        <v>1</v>
      </c>
    </row>
    <row r="13" spans="1:29" ht="15">
      <c r="A13" s="2349"/>
      <c r="B13" s="2347">
        <v>111</v>
      </c>
      <c r="C13" s="1142"/>
      <c r="D13" s="1143">
        <v>100</v>
      </c>
      <c r="E13" s="1132"/>
      <c r="F13" s="1133">
        <f>SUMIF(61:61,E13,62:62)-SUMIF(61:61,C13,62:62)+100</f>
        <v>100</v>
      </c>
      <c r="G13" s="1132"/>
      <c r="H13" s="1143">
        <f>SUMIF(61:61,G13,62:62)-SUMIF(61:61,C13,62:62)+100</f>
        <v>100</v>
      </c>
      <c r="I13" s="1132"/>
      <c r="J13" s="1143">
        <f>SUMIF(61:61,I13,62:62)-SUMIF(61:61,C13,62:62)+100</f>
        <v>100</v>
      </c>
      <c r="K13" s="1278"/>
      <c r="L13" s="1273"/>
      <c r="M13" s="1261"/>
      <c r="N13" s="1261"/>
      <c r="O13" s="1261"/>
      <c r="P13" s="3695"/>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29" ht="85.5">
      <c r="A14" s="1112" t="s">
        <v>1423</v>
      </c>
      <c r="B14" s="1149" t="s">
        <v>1424</v>
      </c>
      <c r="C14" s="1150" t="str">
        <f>IF(B1="工业",估价对象房地状况!G4,估价对象房地状况!C6)</f>
        <v>估价对象周边道路状况、公共交通通达情况、停车便捷程度，综合评价交通便捷度较好</v>
      </c>
      <c r="D14" s="1151">
        <v>100</v>
      </c>
      <c r="E14" s="1152"/>
      <c r="F14" s="1494">
        <f>SUMIF(63:63,E15,64:64)-SUMIF(63:63,C15,64:64)+100</f>
        <v>100</v>
      </c>
      <c r="G14" s="1274"/>
      <c r="H14" s="1151">
        <f>SUMIF(63:63,G15,64:64)-SUMIF(63:63,C15,64:64)+100</f>
        <v>100</v>
      </c>
      <c r="I14" s="1152"/>
      <c r="J14" s="1151">
        <f>SUMIF(63:63,I15,64:64)-SUMIF(63:63,C15,64:64)+100</f>
        <v>100</v>
      </c>
      <c r="K14" s="1533">
        <v>2</v>
      </c>
      <c r="L14" s="1273"/>
      <c r="M14" s="1261"/>
      <c r="N14" s="1261"/>
      <c r="O14" s="1261"/>
      <c r="P14" s="3700" t="s">
        <v>1425</v>
      </c>
      <c r="Q14" s="816" t="str">
        <f t="shared" si="6"/>
        <v>交通便捷度</v>
      </c>
      <c r="R14" s="1309" t="s">
        <v>1412</v>
      </c>
      <c r="S14" s="1310">
        <f t="shared" si="0"/>
        <v>100</v>
      </c>
      <c r="T14" s="1309" t="s">
        <v>1412</v>
      </c>
      <c r="U14" s="1310">
        <f t="shared" si="1"/>
        <v>100</v>
      </c>
      <c r="V14" s="1309" t="s">
        <v>1412</v>
      </c>
      <c r="W14" s="1310">
        <f t="shared" si="2"/>
        <v>100</v>
      </c>
      <c r="X14" s="1303"/>
      <c r="Y14" s="3700" t="s">
        <v>1425</v>
      </c>
      <c r="Z14" s="1293" t="str">
        <f t="shared" si="7"/>
        <v>交通便捷度</v>
      </c>
      <c r="AA14" s="1320">
        <f t="shared" si="3"/>
        <v>1</v>
      </c>
      <c r="AB14" s="1320">
        <f t="shared" si="4"/>
        <v>1</v>
      </c>
      <c r="AC14" s="1320">
        <f t="shared" si="5"/>
        <v>1</v>
      </c>
    </row>
    <row r="15" spans="1:29" ht="15">
      <c r="A15" s="1114"/>
      <c r="B15" s="1622"/>
      <c r="C15" s="1154" t="s">
        <v>1426</v>
      </c>
      <c r="D15" s="1155"/>
      <c r="E15" s="1154" t="s">
        <v>1426</v>
      </c>
      <c r="F15" s="1495"/>
      <c r="G15" s="1154" t="s">
        <v>1426</v>
      </c>
      <c r="H15" s="1157"/>
      <c r="I15" s="1154" t="s">
        <v>1426</v>
      </c>
      <c r="J15" s="1155"/>
      <c r="K15" s="1534"/>
      <c r="L15" s="1273"/>
      <c r="M15" s="1261"/>
      <c r="N15" s="1261"/>
      <c r="O15" s="1261"/>
      <c r="P15" s="3701"/>
      <c r="Q15" s="816"/>
      <c r="R15" s="1309"/>
      <c r="S15" s="1310"/>
      <c r="T15" s="1309"/>
      <c r="U15" s="1310"/>
      <c r="V15" s="1309"/>
      <c r="W15" s="1310"/>
      <c r="X15" s="1303"/>
      <c r="Y15" s="3701"/>
      <c r="Z15" s="1293"/>
      <c r="AA15" s="1320">
        <v>1</v>
      </c>
      <c r="AB15" s="1320">
        <v>1</v>
      </c>
      <c r="AC15" s="1320">
        <v>1</v>
      </c>
    </row>
    <row r="16" spans="1:29" ht="42.75">
      <c r="A16" s="1114"/>
      <c r="B16" s="1158" t="s">
        <v>1427</v>
      </c>
      <c r="C16" s="1159" t="str">
        <f>IF(B1="工业",估价对象房地状况!G5,估价对象房地状况!C7)</f>
        <v>估价对象所在区域公共配套设施齐备情况</v>
      </c>
      <c r="D16" s="1161">
        <v>100</v>
      </c>
      <c r="E16" s="1447"/>
      <c r="F16" s="1496">
        <f>SUMIF(65:65,E17,66:66)-SUMIF(65:65,C17,66:66)+100</f>
        <v>100</v>
      </c>
      <c r="G16" s="1455"/>
      <c r="H16" s="1161">
        <f>SUMIF(65:65,G17,66:66)-SUMIF(65:65,C17,66:66)+100</f>
        <v>100</v>
      </c>
      <c r="I16" s="1447"/>
      <c r="J16" s="1161">
        <f>SUMIF(65:65,I17,66:66)-SUMIF(65:65,C17,66:66)+100</f>
        <v>100</v>
      </c>
      <c r="K16" s="1533">
        <v>2</v>
      </c>
      <c r="L16" s="1273"/>
      <c r="M16" s="1261"/>
      <c r="N16" s="1261"/>
      <c r="O16" s="1261"/>
      <c r="P16" s="3701"/>
      <c r="Q16" s="816" t="str">
        <f>B16</f>
        <v>公共配套设施</v>
      </c>
      <c r="R16" s="1309" t="s">
        <v>1412</v>
      </c>
      <c r="S16" s="1310">
        <f>F16</f>
        <v>100</v>
      </c>
      <c r="T16" s="1309" t="s">
        <v>1412</v>
      </c>
      <c r="U16" s="1310">
        <f>H16</f>
        <v>100</v>
      </c>
      <c r="V16" s="1309" t="s">
        <v>1412</v>
      </c>
      <c r="W16" s="1310">
        <f>J16</f>
        <v>100</v>
      </c>
      <c r="X16" s="1303"/>
      <c r="Y16" s="3701"/>
      <c r="Z16" s="1293" t="str">
        <f>Q16</f>
        <v>公共配套设施</v>
      </c>
      <c r="AA16" s="1320">
        <f t="shared" si="3"/>
        <v>1</v>
      </c>
      <c r="AB16" s="1320">
        <f t="shared" si="4"/>
        <v>1</v>
      </c>
      <c r="AC16" s="1320">
        <f t="shared" si="5"/>
        <v>1</v>
      </c>
    </row>
    <row r="17" spans="1:29" ht="15">
      <c r="A17" s="1114"/>
      <c r="B17" s="1162"/>
      <c r="C17" s="1445" t="s">
        <v>1428</v>
      </c>
      <c r="D17" s="1155"/>
      <c r="E17" s="1445" t="s">
        <v>1428</v>
      </c>
      <c r="F17" s="1495"/>
      <c r="G17" s="1445" t="s">
        <v>1428</v>
      </c>
      <c r="H17" s="1155"/>
      <c r="I17" s="1154" t="s">
        <v>1428</v>
      </c>
      <c r="J17" s="1155"/>
      <c r="K17" s="1534"/>
      <c r="L17" s="1273"/>
      <c r="M17" s="1261"/>
      <c r="N17" s="1261"/>
      <c r="O17" s="1261"/>
      <c r="P17" s="3701"/>
      <c r="Q17" s="816"/>
      <c r="R17" s="1309"/>
      <c r="S17" s="1310"/>
      <c r="T17" s="1309"/>
      <c r="U17" s="1310"/>
      <c r="V17" s="1309"/>
      <c r="W17" s="1310"/>
      <c r="X17" s="1303"/>
      <c r="Y17" s="3701"/>
      <c r="Z17" s="1293"/>
      <c r="AA17" s="1320">
        <v>1</v>
      </c>
      <c r="AB17" s="1320">
        <v>1</v>
      </c>
      <c r="AC17" s="1320">
        <v>1</v>
      </c>
    </row>
    <row r="18" spans="1:29" ht="28.5">
      <c r="A18" s="1114"/>
      <c r="B18" s="1165" t="s">
        <v>1429</v>
      </c>
      <c r="C18" s="1159" t="str">
        <f>IF(B1="工业",估价对象房地状况!G6,估价对象房地状况!C8)</f>
        <v>估价对象所在区域基础设施水平</v>
      </c>
      <c r="D18" s="1157">
        <v>100</v>
      </c>
      <c r="E18" s="1160"/>
      <c r="F18" s="1496">
        <f>SUMIF(67:67,E19,68:68)-SUMIF(67:67,C19,68:68)+100</f>
        <v>100</v>
      </c>
      <c r="G18" s="1275"/>
      <c r="H18" s="1161">
        <f>SUMIF(67:67,G19,68:68)-SUMIF(67:67,C19,68:68)+100</f>
        <v>100</v>
      </c>
      <c r="I18" s="1160"/>
      <c r="J18" s="1161">
        <f>SUMIF(67:67,I19,68:68)-SUMIF(67:67,C19,68:68)+100</f>
        <v>100</v>
      </c>
      <c r="K18" s="1533">
        <v>1</v>
      </c>
      <c r="L18" s="1273"/>
      <c r="M18" s="1261"/>
      <c r="N18" s="1261"/>
      <c r="O18" s="1261"/>
      <c r="P18" s="3701"/>
      <c r="Q18" s="816" t="str">
        <f>B18</f>
        <v>基础设施水平</v>
      </c>
      <c r="R18" s="1309" t="s">
        <v>1412</v>
      </c>
      <c r="S18" s="1310">
        <f>F18</f>
        <v>100</v>
      </c>
      <c r="T18" s="1309" t="s">
        <v>1412</v>
      </c>
      <c r="U18" s="1310">
        <f>H18</f>
        <v>100</v>
      </c>
      <c r="V18" s="1309" t="s">
        <v>1412</v>
      </c>
      <c r="W18" s="1310">
        <f>J18</f>
        <v>100</v>
      </c>
      <c r="X18" s="1303"/>
      <c r="Y18" s="3701"/>
      <c r="Z18" s="1293" t="str">
        <f>Q18</f>
        <v>基础设施水平</v>
      </c>
      <c r="AA18" s="1320">
        <f t="shared" ref="AA18" si="8">D18/F18</f>
        <v>1</v>
      </c>
      <c r="AB18" s="1320">
        <f t="shared" ref="AB18" si="9">D18/H18</f>
        <v>1</v>
      </c>
      <c r="AC18" s="1320">
        <f t="shared" ref="AC18" si="10">D18/J18</f>
        <v>1</v>
      </c>
    </row>
    <row r="19" spans="1:29" ht="15">
      <c r="A19" s="1114"/>
      <c r="B19" s="1165"/>
      <c r="C19" s="1445" t="s">
        <v>241</v>
      </c>
      <c r="D19" s="1157"/>
      <c r="E19" s="1445" t="s">
        <v>241</v>
      </c>
      <c r="F19" s="1497"/>
      <c r="G19" s="1445" t="s">
        <v>241</v>
      </c>
      <c r="H19" s="1155"/>
      <c r="I19" s="1445" t="s">
        <v>241</v>
      </c>
      <c r="J19" s="1155"/>
      <c r="K19" s="1535"/>
      <c r="L19" s="1273"/>
      <c r="M19" s="1261"/>
      <c r="N19" s="1261"/>
      <c r="O19" s="1261"/>
      <c r="P19" s="3701"/>
      <c r="Q19" s="816"/>
      <c r="R19" s="1309"/>
      <c r="S19" s="1310"/>
      <c r="T19" s="1309"/>
      <c r="U19" s="1310"/>
      <c r="V19" s="1309"/>
      <c r="W19" s="1310"/>
      <c r="X19" s="1303"/>
      <c r="Y19" s="3701"/>
      <c r="Z19" s="1293"/>
      <c r="AA19" s="1320">
        <v>1</v>
      </c>
      <c r="AB19" s="1320">
        <v>1</v>
      </c>
      <c r="AC19" s="1320">
        <v>1</v>
      </c>
    </row>
    <row r="20" spans="1:29" ht="57">
      <c r="A20" s="1114"/>
      <c r="B20" s="1158" t="s">
        <v>1430</v>
      </c>
      <c r="C20" s="1159" t="str">
        <f>IF(B1="工业",估价对象房地状况!G7,估价对象房地状况!C9)</f>
        <v>区域自然环境：；人文环境；综合评价环境状况一般</v>
      </c>
      <c r="D20" s="1161">
        <v>100</v>
      </c>
      <c r="E20" s="1447"/>
      <c r="F20" s="1496">
        <f>SUMIF(69:69,E21,70:70)-SUMIF(69:69,C21,70:70)+100</f>
        <v>100</v>
      </c>
      <c r="G20" s="1455"/>
      <c r="H20" s="1157">
        <f>SUMIF(69:69,G21,70:70)-SUMIF(69:69,C21,70:70)+100</f>
        <v>100</v>
      </c>
      <c r="I20" s="1160"/>
      <c r="J20" s="1157">
        <f>SUMIF(69:69,I21,70:70)-SUMIF(69:69,C21,70:70)+100</f>
        <v>102</v>
      </c>
      <c r="K20" s="1533">
        <v>2</v>
      </c>
      <c r="L20" s="1273"/>
      <c r="M20" s="1261"/>
      <c r="N20" s="1261"/>
      <c r="O20" s="1261"/>
      <c r="P20" s="3701"/>
      <c r="Q20" s="816" t="str">
        <f>B20</f>
        <v>自然及人文环境</v>
      </c>
      <c r="R20" s="1309" t="s">
        <v>1412</v>
      </c>
      <c r="S20" s="1310">
        <f>F20</f>
        <v>100</v>
      </c>
      <c r="T20" s="1309" t="s">
        <v>1412</v>
      </c>
      <c r="U20" s="1310">
        <f>H20</f>
        <v>100</v>
      </c>
      <c r="V20" s="1309" t="s">
        <v>1412</v>
      </c>
      <c r="W20" s="1310">
        <f>J20</f>
        <v>102</v>
      </c>
      <c r="X20" s="1303"/>
      <c r="Y20" s="3701"/>
      <c r="Z20" s="1293" t="str">
        <f>Q20</f>
        <v>自然及人文环境</v>
      </c>
      <c r="AA20" s="1320">
        <f t="shared" si="3"/>
        <v>1</v>
      </c>
      <c r="AB20" s="1320">
        <f t="shared" si="4"/>
        <v>1</v>
      </c>
      <c r="AC20" s="1320">
        <f t="shared" si="5"/>
        <v>0.98039215686274495</v>
      </c>
    </row>
    <row r="21" spans="1:29" ht="15">
      <c r="A21" s="1114"/>
      <c r="B21" s="1162"/>
      <c r="C21" s="1154" t="s">
        <v>1428</v>
      </c>
      <c r="D21" s="1155"/>
      <c r="E21" s="1154" t="s">
        <v>1428</v>
      </c>
      <c r="F21" s="1495"/>
      <c r="G21" s="1154" t="s">
        <v>1428</v>
      </c>
      <c r="H21" s="1155"/>
      <c r="I21" s="1154" t="s">
        <v>1426</v>
      </c>
      <c r="J21" s="1155"/>
      <c r="K21" s="1534"/>
      <c r="L21" s="1273"/>
      <c r="M21" s="1261"/>
      <c r="N21" s="1261"/>
      <c r="O21" s="1261"/>
      <c r="P21" s="3701"/>
      <c r="Q21" s="816"/>
      <c r="R21" s="1309"/>
      <c r="S21" s="1310"/>
      <c r="T21" s="1309"/>
      <c r="U21" s="1310"/>
      <c r="V21" s="1309"/>
      <c r="W21" s="1310"/>
      <c r="X21" s="1303"/>
      <c r="Y21" s="3701"/>
      <c r="Z21" s="1293"/>
      <c r="AA21" s="1320">
        <v>1</v>
      </c>
      <c r="AB21" s="1320">
        <v>1</v>
      </c>
      <c r="AC21" s="1320">
        <v>1</v>
      </c>
    </row>
    <row r="22" spans="1:29" ht="15">
      <c r="A22" s="1114"/>
      <c r="B22" s="1158" t="s">
        <v>1431</v>
      </c>
      <c r="C22" s="3485" t="s">
        <v>1432</v>
      </c>
      <c r="D22" s="1157">
        <v>100</v>
      </c>
      <c r="E22" s="3485" t="s">
        <v>1432</v>
      </c>
      <c r="F22" s="1498">
        <f>SUMIF(71:71,E22,72:72)-SUMIF(71:71,C22,72:72)+100</f>
        <v>100</v>
      </c>
      <c r="G22" s="3485" t="s">
        <v>1432</v>
      </c>
      <c r="H22" s="1143">
        <f>SUMIF(71:71,G22,72:72)-SUMIF(71:71,C22,72:72)+100</f>
        <v>100</v>
      </c>
      <c r="I22" s="3485" t="s">
        <v>1433</v>
      </c>
      <c r="J22" s="1143">
        <f>SUMIF(71:71,I22,72:72)-SUMIF(71:71,C22,72:72)+100</f>
        <v>95</v>
      </c>
      <c r="K22" s="1279">
        <v>5</v>
      </c>
      <c r="L22" s="1273"/>
      <c r="M22" s="1261"/>
      <c r="N22" s="1261"/>
      <c r="O22" s="1261"/>
      <c r="P22" s="3701"/>
      <c r="Q22" s="816" t="str">
        <f>B22</f>
        <v>楼层</v>
      </c>
      <c r="R22" s="1309" t="s">
        <v>1412</v>
      </c>
      <c r="S22" s="1310">
        <f>F22</f>
        <v>100</v>
      </c>
      <c r="T22" s="1309" t="s">
        <v>1412</v>
      </c>
      <c r="U22" s="1310">
        <f>H22</f>
        <v>100</v>
      </c>
      <c r="V22" s="1309" t="s">
        <v>1412</v>
      </c>
      <c r="W22" s="1310">
        <f>J22</f>
        <v>95</v>
      </c>
      <c r="X22" s="1303"/>
      <c r="Y22" s="3701"/>
      <c r="Z22" s="1293" t="str">
        <f>Q22</f>
        <v>楼层</v>
      </c>
      <c r="AA22" s="1320">
        <f t="shared" si="3"/>
        <v>1</v>
      </c>
      <c r="AB22" s="1320">
        <f t="shared" si="4"/>
        <v>1</v>
      </c>
      <c r="AC22" s="1320">
        <f t="shared" si="5"/>
        <v>1.0526315789473684</v>
      </c>
    </row>
    <row r="23" spans="1:29" ht="15">
      <c r="A23" s="1114"/>
      <c r="B23" s="2350">
        <v>111</v>
      </c>
      <c r="C23" s="1132"/>
      <c r="D23" s="1143">
        <v>100</v>
      </c>
      <c r="E23" s="1132"/>
      <c r="F23" s="1498">
        <f>SUMIF(73:73,E23,74:74)-SUMIF(73:73,C23,74:74)+100</f>
        <v>100</v>
      </c>
      <c r="G23" s="1132"/>
      <c r="H23" s="1143">
        <f>SUMIF(73:73,G23,74:74)-SUMIF(73:73,C23,74:74)+100</f>
        <v>100</v>
      </c>
      <c r="I23" s="1132"/>
      <c r="J23" s="1143">
        <f>SUMIF(73:73,I23,74:74)-SUMIF(73:73,C23,74:74)+100</f>
        <v>100</v>
      </c>
      <c r="K23" s="1278"/>
      <c r="L23" s="1273"/>
      <c r="M23" s="1261"/>
      <c r="N23" s="1261"/>
      <c r="O23" s="1261"/>
      <c r="P23" s="3701"/>
      <c r="Q23" s="816">
        <f>B23</f>
        <v>111</v>
      </c>
      <c r="R23" s="1309" t="s">
        <v>1412</v>
      </c>
      <c r="S23" s="1310">
        <f>F23</f>
        <v>100</v>
      </c>
      <c r="T23" s="1309" t="s">
        <v>1412</v>
      </c>
      <c r="U23" s="1310">
        <f>H23</f>
        <v>100</v>
      </c>
      <c r="V23" s="1309" t="s">
        <v>1412</v>
      </c>
      <c r="W23" s="1310">
        <f>J23</f>
        <v>100</v>
      </c>
      <c r="X23" s="1303"/>
      <c r="Y23" s="3701"/>
      <c r="Z23" s="1293">
        <f>Q23</f>
        <v>111</v>
      </c>
      <c r="AA23" s="1320">
        <f t="shared" si="3"/>
        <v>1</v>
      </c>
      <c r="AB23" s="1320">
        <f t="shared" si="4"/>
        <v>1</v>
      </c>
      <c r="AC23" s="1320">
        <f t="shared" si="5"/>
        <v>1</v>
      </c>
    </row>
    <row r="24" spans="1:29" ht="15">
      <c r="A24" s="1114"/>
      <c r="B24" s="2350">
        <v>111</v>
      </c>
      <c r="C24" s="1132"/>
      <c r="D24" s="1143">
        <v>100</v>
      </c>
      <c r="E24" s="1132"/>
      <c r="F24" s="1498">
        <f>SUMIF(75:75,E24,76:76)-SUMIF(75:75,C24,76:76)+100</f>
        <v>100</v>
      </c>
      <c r="G24" s="1132"/>
      <c r="H24" s="1143">
        <f>SUMIF(75:75,G24,76:76)-SUMIF(75:75,C24,76:76)+100</f>
        <v>100</v>
      </c>
      <c r="I24" s="1132"/>
      <c r="J24" s="1143">
        <f>SUMIF(75:75,I24,76:76)-SUMIF(75:75,C24,76:76)+100</f>
        <v>100</v>
      </c>
      <c r="K24" s="1278"/>
      <c r="L24" s="1273"/>
      <c r="M24" s="1261"/>
      <c r="N24" s="1261"/>
      <c r="O24" s="1261"/>
      <c r="P24" s="3701"/>
      <c r="Q24" s="816">
        <f t="shared" ref="Q24:Q36" si="11">B24</f>
        <v>111</v>
      </c>
      <c r="R24" s="1309" t="s">
        <v>1412</v>
      </c>
      <c r="S24" s="1310">
        <f>F24</f>
        <v>100</v>
      </c>
      <c r="T24" s="1309" t="s">
        <v>1412</v>
      </c>
      <c r="U24" s="1310">
        <f>H24</f>
        <v>100</v>
      </c>
      <c r="V24" s="1309" t="s">
        <v>1412</v>
      </c>
      <c r="W24" s="1310">
        <f>J24</f>
        <v>100</v>
      </c>
      <c r="X24" s="1303"/>
      <c r="Y24" s="3701"/>
      <c r="Z24" s="1293">
        <f>Q24</f>
        <v>111</v>
      </c>
      <c r="AA24" s="1320">
        <f t="shared" si="3"/>
        <v>1</v>
      </c>
      <c r="AB24" s="1320">
        <f t="shared" si="4"/>
        <v>1</v>
      </c>
      <c r="AC24" s="1320">
        <f t="shared" si="5"/>
        <v>1</v>
      </c>
    </row>
    <row r="25" spans="1:29" s="1093" customFormat="1" ht="15">
      <c r="A25" s="1164"/>
      <c r="B25" s="1610">
        <v>111</v>
      </c>
      <c r="C25" s="1146"/>
      <c r="D25" s="2351">
        <v>100</v>
      </c>
      <c r="E25" s="1603"/>
      <c r="F25" s="2352">
        <f>SUMIF(77:77,E25,78:78)-SUMIF(77:77,C25,78:78)+100</f>
        <v>100</v>
      </c>
      <c r="G25" s="1603"/>
      <c r="H25" s="2351">
        <f>SUMIF(77:77,G25,78:78)-SUMIF(77:77,C25,78:78)+100</f>
        <v>100</v>
      </c>
      <c r="I25" s="1603"/>
      <c r="J25" s="2351">
        <f>SUMIF(77:77,I25,78:78)-SUMIF(77:77,C25,78:78)+100</f>
        <v>100</v>
      </c>
      <c r="K25" s="1278"/>
      <c r="L25" s="1263"/>
      <c r="M25" s="1264"/>
      <c r="N25" s="1264"/>
      <c r="O25" s="1264"/>
      <c r="P25" s="3701"/>
      <c r="Q25" s="1308">
        <f t="shared" si="11"/>
        <v>111</v>
      </c>
      <c r="R25" s="1304" t="s">
        <v>1412</v>
      </c>
      <c r="S25" s="1305">
        <f>F25</f>
        <v>100</v>
      </c>
      <c r="T25" s="1304" t="s">
        <v>1412</v>
      </c>
      <c r="U25" s="1305">
        <f>H25</f>
        <v>100</v>
      </c>
      <c r="V25" s="1304" t="s">
        <v>1412</v>
      </c>
      <c r="W25" s="1305">
        <f>J25</f>
        <v>100</v>
      </c>
      <c r="X25" s="1306"/>
      <c r="Y25" s="3701"/>
      <c r="Z25" s="1319">
        <f>Q25</f>
        <v>111</v>
      </c>
      <c r="AA25" s="1320">
        <f t="shared" si="3"/>
        <v>1</v>
      </c>
      <c r="AB25" s="1320">
        <f t="shared" si="4"/>
        <v>1</v>
      </c>
      <c r="AC25" s="1320">
        <f t="shared" si="5"/>
        <v>1</v>
      </c>
    </row>
    <row r="26" spans="1:29" ht="28.5">
      <c r="A26" s="2353" t="s">
        <v>1434</v>
      </c>
      <c r="B26" s="2354" t="s">
        <v>1435</v>
      </c>
      <c r="C26" s="2355" t="str">
        <f>B1</f>
        <v>住宅</v>
      </c>
      <c r="D26" s="1155">
        <v>100</v>
      </c>
      <c r="E26" s="1154" t="s">
        <v>232</v>
      </c>
      <c r="F26" s="1495">
        <f>SUMIF(79:79,E26,80:80)-SUMIF(79:79,C26,80:80)+100</f>
        <v>100</v>
      </c>
      <c r="G26" s="1154" t="s">
        <v>232</v>
      </c>
      <c r="H26" s="1155">
        <f>SUMIF(79:79,G26,80:80)-SUMIF(79:79,C26,80:80)+100</f>
        <v>100</v>
      </c>
      <c r="I26" s="1154" t="s">
        <v>232</v>
      </c>
      <c r="J26" s="1155">
        <f>SUMIF(79:79,I26,80:80)-SUMIF(79:79,C26,80:80)+100</f>
        <v>100</v>
      </c>
      <c r="K26" s="1279">
        <v>2</v>
      </c>
      <c r="L26" s="1273"/>
      <c r="M26" s="1261"/>
      <c r="N26" s="1261"/>
      <c r="O26" s="1261"/>
      <c r="P26" s="3702" t="s">
        <v>1436</v>
      </c>
      <c r="Q26" s="816" t="str">
        <f t="shared" si="11"/>
        <v>配套类型</v>
      </c>
      <c r="R26" s="1309" t="s">
        <v>1412</v>
      </c>
      <c r="S26" s="1310">
        <f t="shared" ref="S26:S36" si="12">F26</f>
        <v>100</v>
      </c>
      <c r="T26" s="1309" t="s">
        <v>1412</v>
      </c>
      <c r="U26" s="1310">
        <f t="shared" ref="U26:U36" si="13">H26</f>
        <v>100</v>
      </c>
      <c r="V26" s="1309" t="s">
        <v>1412</v>
      </c>
      <c r="W26" s="1310">
        <f t="shared" ref="W26:W36" si="14">J26</f>
        <v>100</v>
      </c>
      <c r="X26" s="1303"/>
      <c r="Y26" s="3703" t="s">
        <v>1436</v>
      </c>
      <c r="Z26" s="1293" t="str">
        <f t="shared" ref="Z26:Z36" si="15">Q26</f>
        <v>配套类型</v>
      </c>
      <c r="AA26" s="1320">
        <f t="shared" si="3"/>
        <v>1</v>
      </c>
      <c r="AB26" s="1320">
        <f t="shared" si="4"/>
        <v>1</v>
      </c>
      <c r="AC26" s="1320">
        <f t="shared" si="5"/>
        <v>1</v>
      </c>
    </row>
    <row r="27" spans="1:29" s="1095" customFormat="1" ht="15">
      <c r="A27" s="2356"/>
      <c r="B27" s="1171" t="s">
        <v>1437</v>
      </c>
      <c r="C27" s="2357" t="s">
        <v>1438</v>
      </c>
      <c r="D27" s="1133">
        <v>100</v>
      </c>
      <c r="E27" s="2357" t="s">
        <v>1438</v>
      </c>
      <c r="F27" s="1498">
        <f>SUMIF(81:81,E27,82:82)-SUMIF(81:81,C27,82:82)+100</f>
        <v>100</v>
      </c>
      <c r="G27" s="2357" t="s">
        <v>1439</v>
      </c>
      <c r="H27" s="1143">
        <f>SUMIF(81:81,G27,82:82)-SUMIF(81:81,C27,82:82)+100</f>
        <v>100</v>
      </c>
      <c r="I27" s="2371" t="s">
        <v>1440</v>
      </c>
      <c r="J27" s="1143">
        <f>SUMIF(81:81,I27,82:82)-SUMIF(81:81,C27,82:82)+100</f>
        <v>99</v>
      </c>
      <c r="K27" s="1278"/>
      <c r="L27" s="1271"/>
      <c r="M27" s="1280"/>
      <c r="N27" s="1280"/>
      <c r="O27" s="1280"/>
      <c r="P27" s="3703"/>
      <c r="Q27" s="1537" t="str">
        <f t="shared" si="11"/>
        <v>项目停车位配比</v>
      </c>
      <c r="R27" s="1311" t="s">
        <v>1412</v>
      </c>
      <c r="S27" s="1312">
        <f t="shared" si="12"/>
        <v>100</v>
      </c>
      <c r="T27" s="1311" t="s">
        <v>1412</v>
      </c>
      <c r="U27" s="1312">
        <f t="shared" si="13"/>
        <v>100</v>
      </c>
      <c r="V27" s="1311" t="s">
        <v>1412</v>
      </c>
      <c r="W27" s="1312">
        <f t="shared" si="14"/>
        <v>99</v>
      </c>
      <c r="X27" s="1313"/>
      <c r="Y27" s="3703"/>
      <c r="Z27" s="1321" t="str">
        <f t="shared" si="15"/>
        <v>项目停车位配比</v>
      </c>
      <c r="AA27" s="1320">
        <f t="shared" si="3"/>
        <v>1</v>
      </c>
      <c r="AB27" s="1320">
        <f t="shared" si="4"/>
        <v>1</v>
      </c>
      <c r="AC27" s="1320">
        <f t="shared" si="5"/>
        <v>1.0101010101010102</v>
      </c>
    </row>
    <row r="28" spans="1:29" ht="15">
      <c r="A28" s="2358"/>
      <c r="B28" s="1171" t="s">
        <v>1441</v>
      </c>
      <c r="C28" s="1508" t="s">
        <v>1442</v>
      </c>
      <c r="D28" s="1143">
        <v>100</v>
      </c>
      <c r="E28" s="1508" t="s">
        <v>1442</v>
      </c>
      <c r="F28" s="1498">
        <f>SUMIF(83:83,E28,84:84)-SUMIF(83:83,C28,84:84)+100</f>
        <v>100</v>
      </c>
      <c r="G28" s="1508" t="s">
        <v>1442</v>
      </c>
      <c r="H28" s="1143">
        <f>SUMIF(83:83,G28,84:84)-SUMIF(83:83,C28,84:84)+100</f>
        <v>100</v>
      </c>
      <c r="I28" s="1508" t="s">
        <v>1442</v>
      </c>
      <c r="J28" s="1143">
        <f>SUMIF(83:83,I28,84:84)-SUMIF(83:83,C28,84:84)+100</f>
        <v>100</v>
      </c>
      <c r="K28" s="1279">
        <v>2</v>
      </c>
      <c r="L28" s="1273"/>
      <c r="M28" s="1261"/>
      <c r="N28" s="1261"/>
      <c r="O28" s="1261"/>
      <c r="P28" s="3703"/>
      <c r="Q28" s="816" t="str">
        <f t="shared" si="11"/>
        <v>公共部分装修</v>
      </c>
      <c r="R28" s="1309" t="s">
        <v>1412</v>
      </c>
      <c r="S28" s="1310">
        <f t="shared" si="12"/>
        <v>100</v>
      </c>
      <c r="T28" s="1309" t="s">
        <v>1412</v>
      </c>
      <c r="U28" s="1310">
        <f t="shared" si="13"/>
        <v>100</v>
      </c>
      <c r="V28" s="1309" t="s">
        <v>1412</v>
      </c>
      <c r="W28" s="1310">
        <f t="shared" si="14"/>
        <v>100</v>
      </c>
      <c r="X28" s="1303"/>
      <c r="Y28" s="3703"/>
      <c r="Z28" s="1293" t="str">
        <f t="shared" si="15"/>
        <v>公共部分装修</v>
      </c>
      <c r="AA28" s="1320">
        <f t="shared" si="3"/>
        <v>1</v>
      </c>
      <c r="AB28" s="1320">
        <f t="shared" si="4"/>
        <v>1</v>
      </c>
      <c r="AC28" s="1320">
        <f t="shared" si="5"/>
        <v>1</v>
      </c>
    </row>
    <row r="29" spans="1:29" ht="15">
      <c r="A29" s="2358"/>
      <c r="B29" s="1171" t="s">
        <v>1443</v>
      </c>
      <c r="C29" s="1505">
        <v>0.8</v>
      </c>
      <c r="D29" s="1143">
        <v>100</v>
      </c>
      <c r="E29" s="1505">
        <f>1-(2025-E40)/60</f>
        <v>0.91666666666666696</v>
      </c>
      <c r="F29" s="1498">
        <f>LOOKUP(E29,86:86,87:87)-LOOKUP(C29,86:86,87:87)+100</f>
        <v>102</v>
      </c>
      <c r="G29" s="1505">
        <f>1-(2025-G40)/60</f>
        <v>0.95</v>
      </c>
      <c r="H29" s="1498">
        <f>LOOKUP(G29,86:86,87:87)-LOOKUP(C29,86:86,87:87)+100</f>
        <v>102</v>
      </c>
      <c r="I29" s="1505">
        <f>1-(2025-I40)/60</f>
        <v>0.88333333333333297</v>
      </c>
      <c r="J29" s="1143">
        <f>LOOKUP(I29,86:86,87:87)-LOOKUP(C29,86:86,87:87)+100</f>
        <v>100</v>
      </c>
      <c r="K29" s="1279">
        <v>2</v>
      </c>
      <c r="L29" s="1273"/>
      <c r="M29" s="1261"/>
      <c r="N29" s="1261"/>
      <c r="O29" s="1261"/>
      <c r="P29" s="3703"/>
      <c r="Q29" s="816" t="str">
        <f t="shared" si="11"/>
        <v>成新率</v>
      </c>
      <c r="R29" s="1309" t="s">
        <v>1412</v>
      </c>
      <c r="S29" s="1310">
        <f t="shared" si="12"/>
        <v>102</v>
      </c>
      <c r="T29" s="1309" t="s">
        <v>1412</v>
      </c>
      <c r="U29" s="1310">
        <f t="shared" si="13"/>
        <v>102</v>
      </c>
      <c r="V29" s="1309" t="s">
        <v>1412</v>
      </c>
      <c r="W29" s="1310">
        <f t="shared" si="14"/>
        <v>100</v>
      </c>
      <c r="X29" s="1303"/>
      <c r="Y29" s="3703"/>
      <c r="Z29" s="1293" t="str">
        <f t="shared" si="15"/>
        <v>成新率</v>
      </c>
      <c r="AA29" s="1320">
        <f t="shared" si="3"/>
        <v>0.98039215686274495</v>
      </c>
      <c r="AB29" s="1320">
        <f t="shared" si="4"/>
        <v>0.98039215686274495</v>
      </c>
      <c r="AC29" s="1320">
        <f t="shared" si="5"/>
        <v>1</v>
      </c>
    </row>
    <row r="30" spans="1:29" ht="15">
      <c r="A30" s="2358"/>
      <c r="B30" s="1171" t="s">
        <v>1444</v>
      </c>
      <c r="C30" s="1509"/>
      <c r="D30" s="1143">
        <v>100</v>
      </c>
      <c r="E30" s="1509"/>
      <c r="F30" s="1498">
        <f>SUMIF(88:88,E30,89:89)-SUMIF(88:88,C30,89:89)+100</f>
        <v>100</v>
      </c>
      <c r="G30" s="1509"/>
      <c r="H30" s="1143">
        <f>SUMIF(88:88,E30,89:89)-SUMIF(88:88,C30,89:89)+100</f>
        <v>100</v>
      </c>
      <c r="I30" s="1509"/>
      <c r="J30" s="1143">
        <f>SUMIF(88:88,E30,89:89)-SUMIF(88:88,C30,89:89)+100</f>
        <v>100</v>
      </c>
      <c r="K30" s="1279"/>
      <c r="L30" s="1273"/>
      <c r="M30" s="1261"/>
      <c r="N30" s="1261"/>
      <c r="O30" s="1261"/>
      <c r="P30" s="3703"/>
      <c r="Q30" s="816" t="str">
        <f t="shared" si="11"/>
        <v>物业等级</v>
      </c>
      <c r="R30" s="1309" t="s">
        <v>1412</v>
      </c>
      <c r="S30" s="1310">
        <f t="shared" si="12"/>
        <v>100</v>
      </c>
      <c r="T30" s="1309" t="s">
        <v>1412</v>
      </c>
      <c r="U30" s="1310">
        <f t="shared" si="13"/>
        <v>100</v>
      </c>
      <c r="V30" s="1309" t="s">
        <v>1412</v>
      </c>
      <c r="W30" s="1310">
        <f t="shared" si="14"/>
        <v>100</v>
      </c>
      <c r="X30" s="1303"/>
      <c r="Y30" s="3703"/>
      <c r="Z30" s="1293" t="str">
        <f t="shared" si="15"/>
        <v>物业等级</v>
      </c>
      <c r="AA30" s="1320">
        <f t="shared" si="3"/>
        <v>1</v>
      </c>
      <c r="AB30" s="1320">
        <f t="shared" si="4"/>
        <v>1</v>
      </c>
      <c r="AC30" s="1320">
        <f t="shared" si="5"/>
        <v>1</v>
      </c>
    </row>
    <row r="31" spans="1:29" s="1093" customFormat="1" ht="15">
      <c r="A31" s="2359"/>
      <c r="B31" s="1171" t="s">
        <v>1445</v>
      </c>
      <c r="C31" s="1492"/>
      <c r="D31" s="1133">
        <v>100</v>
      </c>
      <c r="E31" s="1492"/>
      <c r="F31" s="1498">
        <f>LOOKUP(E31,91:91,92:92)-LOOKUP(C31,91:91,92:92)+100</f>
        <v>100</v>
      </c>
      <c r="G31" s="1492"/>
      <c r="H31" s="1143">
        <f>LOOKUP(G31,91:91,92:92)-LOOKUP(C31,91:91,92:92)+100</f>
        <v>100</v>
      </c>
      <c r="I31" s="1492"/>
      <c r="J31" s="1143">
        <f>LOOKUP(I31,91:91,92:92)-LOOKUP(C31,91:91,92:92)+100</f>
        <v>100</v>
      </c>
      <c r="K31" s="1279"/>
      <c r="L31" s="1263"/>
      <c r="M31" s="1264"/>
      <c r="N31" s="1264"/>
      <c r="O31" s="1264"/>
      <c r="P31" s="3703"/>
      <c r="Q31" s="1308" t="str">
        <f t="shared" si="11"/>
        <v>停车位面积</v>
      </c>
      <c r="R31" s="1304" t="s">
        <v>1412</v>
      </c>
      <c r="S31" s="1305">
        <f t="shared" si="12"/>
        <v>100</v>
      </c>
      <c r="T31" s="1304" t="s">
        <v>1412</v>
      </c>
      <c r="U31" s="1305">
        <f t="shared" si="13"/>
        <v>100</v>
      </c>
      <c r="V31" s="1304" t="s">
        <v>1412</v>
      </c>
      <c r="W31" s="1305">
        <f t="shared" si="14"/>
        <v>100</v>
      </c>
      <c r="X31" s="1306"/>
      <c r="Y31" s="3703"/>
      <c r="Z31" s="1319" t="str">
        <f t="shared" si="15"/>
        <v>停车位面积</v>
      </c>
      <c r="AA31" s="1318">
        <f t="shared" si="3"/>
        <v>1</v>
      </c>
      <c r="AB31" s="1318">
        <f t="shared" si="4"/>
        <v>1</v>
      </c>
      <c r="AC31" s="1318">
        <f t="shared" si="5"/>
        <v>1</v>
      </c>
    </row>
    <row r="32" spans="1:29" ht="15">
      <c r="A32" s="2358"/>
      <c r="B32" s="1171" t="s">
        <v>1446</v>
      </c>
      <c r="C32" s="1508" t="s">
        <v>1447</v>
      </c>
      <c r="D32" s="1143">
        <v>100</v>
      </c>
      <c r="E32" s="1508" t="s">
        <v>1447</v>
      </c>
      <c r="F32" s="1498">
        <f>SUMIF(93:93,E32,94:94)-SUMIF(93:93,C32,94:94)+100</f>
        <v>100</v>
      </c>
      <c r="G32" s="1508" t="s">
        <v>1447</v>
      </c>
      <c r="H32" s="1143">
        <f>SUMIF(93:93,G32,94:94)-SUMIF(93:93,C32,94:94)+100</f>
        <v>100</v>
      </c>
      <c r="I32" s="1508" t="s">
        <v>1447</v>
      </c>
      <c r="J32" s="1143">
        <f>SUMIF(93:93,I32,94:94)-SUMIF(93:93,C32,94:94)+100</f>
        <v>100</v>
      </c>
      <c r="K32" s="1279">
        <v>2</v>
      </c>
      <c r="L32" s="1273"/>
      <c r="M32" s="1261"/>
      <c r="N32" s="1261"/>
      <c r="O32" s="1261"/>
      <c r="P32" s="3703" t="s">
        <v>1436</v>
      </c>
      <c r="Q32" s="816" t="str">
        <f t="shared" si="11"/>
        <v>车位类型</v>
      </c>
      <c r="R32" s="1309" t="s">
        <v>1412</v>
      </c>
      <c r="S32" s="1310">
        <f t="shared" si="12"/>
        <v>100</v>
      </c>
      <c r="T32" s="1309" t="s">
        <v>1412</v>
      </c>
      <c r="U32" s="1310">
        <f t="shared" si="13"/>
        <v>100</v>
      </c>
      <c r="V32" s="1309" t="s">
        <v>1412</v>
      </c>
      <c r="W32" s="1310">
        <f t="shared" si="14"/>
        <v>100</v>
      </c>
      <c r="X32" s="1303"/>
      <c r="Y32" s="3703" t="s">
        <v>1436</v>
      </c>
      <c r="Z32" s="1293" t="str">
        <f t="shared" si="15"/>
        <v>车位类型</v>
      </c>
      <c r="AA32" s="1320">
        <f t="shared" si="3"/>
        <v>1</v>
      </c>
      <c r="AB32" s="1320">
        <f t="shared" si="4"/>
        <v>1</v>
      </c>
      <c r="AC32" s="1320">
        <f t="shared" si="5"/>
        <v>1</v>
      </c>
    </row>
    <row r="33" spans="1:29" ht="15">
      <c r="A33" s="2358"/>
      <c r="B33" s="1171" t="s">
        <v>1448</v>
      </c>
      <c r="C33" s="1508"/>
      <c r="D33" s="1143">
        <v>100</v>
      </c>
      <c r="E33" s="1508"/>
      <c r="F33" s="1498">
        <f>SUMIF(95:95,E33,96:96)-SUMIF(95:95,C33,96:96)+100</f>
        <v>100</v>
      </c>
      <c r="G33" s="1508"/>
      <c r="H33" s="1143">
        <f>SUMIF(95:95,G33,96:96)-SUMIF(95:95,C33,96:96)+100</f>
        <v>100</v>
      </c>
      <c r="I33" s="1508"/>
      <c r="J33" s="1143">
        <f>SUMIF(95:95,I33,96:96)-SUMIF(95:95,C33,96:96)+100</f>
        <v>100</v>
      </c>
      <c r="K33" s="1279"/>
      <c r="L33" s="1273"/>
      <c r="M33" s="1261"/>
      <c r="N33" s="1261"/>
      <c r="O33" s="1261"/>
      <c r="P33" s="3703"/>
      <c r="Q33" s="816" t="str">
        <f t="shared" si="11"/>
        <v>是否直接入户</v>
      </c>
      <c r="R33" s="1309" t="s">
        <v>1412</v>
      </c>
      <c r="S33" s="1310">
        <f t="shared" si="12"/>
        <v>100</v>
      </c>
      <c r="T33" s="1309" t="s">
        <v>1412</v>
      </c>
      <c r="U33" s="1310">
        <f t="shared" si="13"/>
        <v>100</v>
      </c>
      <c r="V33" s="1309" t="s">
        <v>1412</v>
      </c>
      <c r="W33" s="1310">
        <f t="shared" si="14"/>
        <v>100</v>
      </c>
      <c r="X33" s="1303"/>
      <c r="Y33" s="3703"/>
      <c r="Z33" s="1293" t="str">
        <f t="shared" si="15"/>
        <v>是否直接入户</v>
      </c>
      <c r="AA33" s="1320">
        <f t="shared" si="3"/>
        <v>1</v>
      </c>
      <c r="AB33" s="1320">
        <f t="shared" si="4"/>
        <v>1</v>
      </c>
      <c r="AC33" s="1320">
        <f t="shared" si="5"/>
        <v>1</v>
      </c>
    </row>
    <row r="34" spans="1:29" ht="15">
      <c r="A34" s="2358"/>
      <c r="B34" s="2350">
        <v>111</v>
      </c>
      <c r="C34" s="1132"/>
      <c r="D34" s="1143">
        <v>100</v>
      </c>
      <c r="E34" s="1132"/>
      <c r="F34" s="1498">
        <f>SUMIF(97:97,E34,98:98)-SUMIF(97:97,C34,98:98)+100</f>
        <v>100</v>
      </c>
      <c r="G34" s="1132"/>
      <c r="H34" s="1143">
        <f>SUMIF(97:97,G34,98:98)-SUMIF(97:97,C34,98:98)+100</f>
        <v>100</v>
      </c>
      <c r="I34" s="1132"/>
      <c r="J34" s="1143">
        <f>SUMIF(97:97,I34,98:98)-SUMIF(97:97,C34,98:98)+100</f>
        <v>100</v>
      </c>
      <c r="K34" s="1278"/>
      <c r="L34" s="1273"/>
      <c r="M34" s="1261"/>
      <c r="N34" s="1261"/>
      <c r="O34" s="1261"/>
      <c r="P34" s="3703"/>
      <c r="Q34" s="816">
        <f t="shared" si="11"/>
        <v>111</v>
      </c>
      <c r="R34" s="1309" t="s">
        <v>1412</v>
      </c>
      <c r="S34" s="1310">
        <f t="shared" si="12"/>
        <v>100</v>
      </c>
      <c r="T34" s="1309" t="s">
        <v>1412</v>
      </c>
      <c r="U34" s="1310">
        <f t="shared" si="13"/>
        <v>100</v>
      </c>
      <c r="V34" s="1309" t="s">
        <v>1412</v>
      </c>
      <c r="W34" s="1310">
        <f t="shared" si="14"/>
        <v>100</v>
      </c>
      <c r="X34" s="1303"/>
      <c r="Y34" s="3703"/>
      <c r="Z34" s="1293">
        <f t="shared" si="15"/>
        <v>111</v>
      </c>
      <c r="AA34" s="1320">
        <f t="shared" si="3"/>
        <v>1</v>
      </c>
      <c r="AB34" s="1320">
        <f t="shared" si="4"/>
        <v>1</v>
      </c>
      <c r="AC34" s="1320">
        <f t="shared" si="5"/>
        <v>1</v>
      </c>
    </row>
    <row r="35" spans="1:29" s="1095" customFormat="1" ht="15">
      <c r="A35" s="2356"/>
      <c r="B35" s="2350">
        <v>111</v>
      </c>
      <c r="C35" s="1132"/>
      <c r="D35" s="1143">
        <v>100</v>
      </c>
      <c r="E35" s="1132"/>
      <c r="F35" s="1498">
        <f>SUMIF(99:99,E35,100:100)-SUMIF(99:99,C35,100:100)+100</f>
        <v>100</v>
      </c>
      <c r="G35" s="1132"/>
      <c r="H35" s="1143">
        <f>SUMIF(99:99,G35,100:100)-SUMIF(99:99,C35,100:100)+100</f>
        <v>100</v>
      </c>
      <c r="I35" s="1132"/>
      <c r="J35" s="1143">
        <f>SUMIF(99:99,I35,100:100)-SUMIF(99:99,C35,100:100)+100</f>
        <v>100</v>
      </c>
      <c r="K35" s="1278"/>
      <c r="L35" s="1271"/>
      <c r="M35" s="1280"/>
      <c r="N35" s="1280"/>
      <c r="O35" s="1280"/>
      <c r="P35" s="3703"/>
      <c r="Q35" s="1537">
        <f t="shared" si="11"/>
        <v>111</v>
      </c>
      <c r="R35" s="1311" t="s">
        <v>1412</v>
      </c>
      <c r="S35" s="1312">
        <f t="shared" si="12"/>
        <v>100</v>
      </c>
      <c r="T35" s="1311" t="s">
        <v>1412</v>
      </c>
      <c r="U35" s="1312">
        <f t="shared" si="13"/>
        <v>100</v>
      </c>
      <c r="V35" s="1311" t="s">
        <v>1412</v>
      </c>
      <c r="W35" s="1312">
        <f t="shared" si="14"/>
        <v>100</v>
      </c>
      <c r="X35" s="1313"/>
      <c r="Y35" s="3703"/>
      <c r="Z35" s="1321">
        <f t="shared" si="15"/>
        <v>111</v>
      </c>
      <c r="AA35" s="1320">
        <f t="shared" si="3"/>
        <v>1</v>
      </c>
      <c r="AB35" s="1320">
        <f t="shared" si="4"/>
        <v>1</v>
      </c>
      <c r="AC35" s="1320">
        <f t="shared" si="5"/>
        <v>1</v>
      </c>
    </row>
    <row r="36" spans="1:29" ht="15">
      <c r="A36" s="2360"/>
      <c r="B36" s="1610">
        <v>111</v>
      </c>
      <c r="C36" s="1142"/>
      <c r="D36" s="1143">
        <v>100</v>
      </c>
      <c r="E36" s="1132"/>
      <c r="F36" s="1498">
        <f>SUMIF(101:101,E36,102:102)-SUMIF(101:101,C36,102:102)+100</f>
        <v>100</v>
      </c>
      <c r="G36" s="1132"/>
      <c r="H36" s="1143">
        <f>SUMIF(101:101,G36,102:102)-SUMIF(101:101,C36,102:102)+100</f>
        <v>100</v>
      </c>
      <c r="I36" s="1132"/>
      <c r="J36" s="1143">
        <f>SUMIF(101:101,I36,102:102)-SUMIF(101:101,C36,102:102)+100</f>
        <v>100</v>
      </c>
      <c r="K36" s="1278"/>
      <c r="L36" s="1273"/>
      <c r="M36" s="1261"/>
      <c r="N36" s="1261"/>
      <c r="O36" s="1261"/>
      <c r="P36" s="3703"/>
      <c r="Q36" s="816">
        <f t="shared" si="11"/>
        <v>111</v>
      </c>
      <c r="R36" s="1309" t="s">
        <v>1412</v>
      </c>
      <c r="S36" s="1310">
        <f t="shared" si="12"/>
        <v>100</v>
      </c>
      <c r="T36" s="1309" t="s">
        <v>1412</v>
      </c>
      <c r="U36" s="1310">
        <f t="shared" si="13"/>
        <v>100</v>
      </c>
      <c r="V36" s="1309" t="s">
        <v>1412</v>
      </c>
      <c r="W36" s="1310">
        <f t="shared" si="14"/>
        <v>100</v>
      </c>
      <c r="X36" s="1303"/>
      <c r="Y36" s="3703"/>
      <c r="Z36" s="1293">
        <f t="shared" si="15"/>
        <v>111</v>
      </c>
      <c r="AA36" s="1320">
        <f t="shared" si="3"/>
        <v>1</v>
      </c>
      <c r="AB36" s="1320">
        <f t="shared" si="4"/>
        <v>1</v>
      </c>
      <c r="AC36" s="1320">
        <f t="shared" si="5"/>
        <v>1</v>
      </c>
    </row>
    <row r="37" spans="1:29" ht="15">
      <c r="A37" s="1192" t="s">
        <v>1449</v>
      </c>
      <c r="B37" s="2361" t="s">
        <v>1450</v>
      </c>
      <c r="C37" s="1513" t="s">
        <v>124</v>
      </c>
      <c r="D37" s="1514"/>
      <c r="E37" s="1515">
        <v>140772</v>
      </c>
      <c r="F37" s="1516"/>
      <c r="G37" s="1517">
        <v>170263</v>
      </c>
      <c r="H37" s="1518"/>
      <c r="I37" s="1515">
        <v>144021</v>
      </c>
      <c r="J37" s="1518"/>
      <c r="K37" s="2372"/>
      <c r="L37" s="1285"/>
      <c r="M37" s="1209"/>
      <c r="N37" s="1261"/>
      <c r="O37" s="1209"/>
      <c r="P37" s="3695" t="str">
        <f>A37</f>
        <v>成交单价</v>
      </c>
      <c r="Q37" s="3695"/>
      <c r="R37" s="3696">
        <f>E37</f>
        <v>140772</v>
      </c>
      <c r="S37" s="3696"/>
      <c r="T37" s="3696">
        <f>G37</f>
        <v>170263</v>
      </c>
      <c r="U37" s="3696"/>
      <c r="V37" s="3696">
        <f>I37</f>
        <v>144021</v>
      </c>
      <c r="W37" s="3696"/>
      <c r="X37" s="1249"/>
      <c r="Y37" s="1322"/>
      <c r="Z37" s="1249"/>
      <c r="AA37" s="1249"/>
      <c r="AB37" s="1249"/>
      <c r="AC37" s="1249"/>
    </row>
    <row r="38" spans="1:29" ht="15">
      <c r="A38" s="1200" t="s">
        <v>1451</v>
      </c>
      <c r="B38" s="1519" t="str">
        <f>B37</f>
        <v>元/车位</v>
      </c>
      <c r="C38" s="1520">
        <f>R39</f>
        <v>148714</v>
      </c>
      <c r="D38" s="1203" t="s">
        <v>1452</v>
      </c>
      <c r="E38" s="1521">
        <f>R38</f>
        <v>135306</v>
      </c>
      <c r="F38" s="1204"/>
      <c r="G38" s="1520">
        <f>T38</f>
        <v>163651</v>
      </c>
      <c r="H38" s="1204"/>
      <c r="I38" s="1521">
        <f>V38</f>
        <v>147186</v>
      </c>
      <c r="J38" s="1204"/>
      <c r="K38" s="1286">
        <f>F38+H38+J38</f>
        <v>0</v>
      </c>
      <c r="L38" s="1285"/>
      <c r="M38" s="1209"/>
      <c r="N38" s="1209"/>
      <c r="O38" s="1209"/>
      <c r="P38" s="3695" t="str">
        <f>A38</f>
        <v>比较价值（元/平方米）</v>
      </c>
      <c r="Q38" s="3695"/>
      <c r="R38" s="3696">
        <f>IF(F1="售价",ROUND(PRODUCT(R37,AA7:AA36),0),ROUND(PRODUCT(R37,AA7:AA36),1))</f>
        <v>135306</v>
      </c>
      <c r="S38" s="3696"/>
      <c r="T38" s="3696">
        <f>IF(F1="售价",ROUND(PRODUCT(T37,AB7:AB36),0),ROUND(PRODUCT(T37,AB7:AB36),1))</f>
        <v>163651</v>
      </c>
      <c r="U38" s="3696"/>
      <c r="V38" s="3696">
        <f>IF(F1="售价",ROUND(PRODUCT(V37,AC7:AC36),0),ROUND(PRODUCT(V37,AC7:AC36),1))</f>
        <v>147186</v>
      </c>
      <c r="W38" s="3696"/>
      <c r="X38" s="1249"/>
      <c r="Y38" s="1249"/>
      <c r="Z38" s="1249"/>
      <c r="AA38" s="1249"/>
      <c r="AB38" s="1249"/>
      <c r="AC38" s="1249"/>
    </row>
    <row r="39" spans="1:29" ht="15">
      <c r="A39" s="1206" t="s">
        <v>1453</v>
      </c>
      <c r="B39" s="1207"/>
      <c r="C39" s="1522">
        <f>R39</f>
        <v>148714</v>
      </c>
      <c r="D39" s="1522"/>
      <c r="E39" s="1522"/>
      <c r="F39" s="1522"/>
      <c r="G39" s="1522"/>
      <c r="H39" s="1522"/>
      <c r="I39" s="1522"/>
      <c r="J39" s="1522"/>
      <c r="K39" s="2373"/>
      <c r="L39" s="1285"/>
      <c r="M39" s="1209"/>
      <c r="N39" s="1209"/>
      <c r="O39" s="1209"/>
      <c r="P39" s="3697" t="str">
        <f>A39</f>
        <v>估价对象XX用房的比较价值（楼面单价，元/平方米）</v>
      </c>
      <c r="Q39" s="3698"/>
      <c r="R39" s="3699">
        <f>IF(F1="售价",ROUND(IF(D38="简单平均",AVERAGE(R38:W38),R38*F38+T38*H38+V38*J38),0),ROUND(IF(D38="简单平均",AVERAGE(R38:V38),R38*F38+T38*H38+V38*J38),1))</f>
        <v>148714</v>
      </c>
      <c r="S39" s="3699"/>
      <c r="T39" s="3699"/>
      <c r="U39" s="3699"/>
      <c r="V39" s="3699"/>
      <c r="W39" s="3699"/>
      <c r="X39" s="1249"/>
      <c r="Y39" s="1249"/>
      <c r="Z39" s="1249"/>
      <c r="AA39" s="1249"/>
      <c r="AB39" s="1249"/>
      <c r="AC39" s="1249"/>
    </row>
    <row r="40" spans="1:29">
      <c r="A40" s="1209"/>
      <c r="B40" s="1209"/>
      <c r="C40" s="1209"/>
      <c r="D40" s="1209"/>
      <c r="E40" s="1209">
        <v>2020</v>
      </c>
      <c r="F40" s="1209"/>
      <c r="G40" s="2362">
        <v>2022</v>
      </c>
      <c r="H40" s="1209"/>
      <c r="I40" s="1209">
        <v>2018</v>
      </c>
      <c r="J40" s="1209"/>
      <c r="K40" s="1289"/>
      <c r="L40" s="1290"/>
      <c r="M40" s="1209"/>
      <c r="N40" s="1209"/>
      <c r="O40" s="1209"/>
      <c r="P40" s="1613"/>
      <c r="Q40" s="1209"/>
      <c r="R40" s="1209"/>
      <c r="S40" s="1209"/>
      <c r="T40" s="1209"/>
      <c r="U40" s="1209"/>
      <c r="V40" s="1209"/>
      <c r="W40" s="1209"/>
      <c r="X40" s="1209"/>
      <c r="Y40" s="1209"/>
      <c r="Z40" s="1209"/>
      <c r="AA40" s="1209"/>
      <c r="AB40" s="1209"/>
      <c r="AC40" s="1209"/>
    </row>
    <row r="41" spans="1:29">
      <c r="A41" s="1209"/>
      <c r="B41" s="1209"/>
      <c r="C41" s="1209"/>
      <c r="D41" s="1209"/>
      <c r="E41" s="1209"/>
      <c r="F41" s="1209"/>
      <c r="G41" s="1209"/>
      <c r="H41" s="1209"/>
      <c r="I41" s="1209"/>
      <c r="J41" s="1209"/>
      <c r="K41" s="1289"/>
      <c r="L41" s="1290"/>
      <c r="M41" s="1209"/>
      <c r="N41" s="1209"/>
      <c r="O41" s="1209"/>
      <c r="P41" s="1613"/>
      <c r="Q41" s="1209"/>
      <c r="R41" s="1209"/>
      <c r="S41" s="1209"/>
      <c r="T41" s="1209"/>
      <c r="U41" s="1209"/>
      <c r="V41" s="1209"/>
      <c r="W41" s="1209"/>
      <c r="X41" s="1209"/>
      <c r="Y41" s="1209"/>
      <c r="Z41" s="1209"/>
      <c r="AA41" s="1209"/>
      <c r="AB41" s="1209"/>
      <c r="AC41" s="1209"/>
    </row>
    <row r="42" spans="1:29" ht="13.5" customHeight="1">
      <c r="A42" s="1209"/>
      <c r="B42" s="1209"/>
      <c r="C42" s="1211" t="s">
        <v>1454</v>
      </c>
      <c r="D42" s="860"/>
      <c r="E42" s="1212">
        <f>IF(E37&lt;E38,E38/E37-1,E37/E38-1)</f>
        <v>4.0397321626535421E-2</v>
      </c>
      <c r="F42" s="1213" t="str">
        <f>IF(OR(E42&gt;=0.3,E42&lt;=-0.3),"超过30%","")</f>
        <v/>
      </c>
      <c r="G42" s="1212">
        <f>IF(G37&lt;G38,G38/G37-1,G37/G38-1)</f>
        <v>4.0403052838051678E-2</v>
      </c>
      <c r="H42" s="1213" t="str">
        <f>IF(OR(G42&gt;=0.3,G42&lt;=-0.3),"超过30%","")</f>
        <v/>
      </c>
      <c r="I42" s="1212">
        <f>IF(I37&lt;I38,I38/I37-1,I37/I38-1)</f>
        <v>2.1975961838898384E-2</v>
      </c>
      <c r="J42" s="1213" t="str">
        <f>IF(OR(I42&gt;=0.3,I42&lt;=-0.3),"超过30%","")</f>
        <v/>
      </c>
      <c r="K42" s="1289"/>
      <c r="L42" s="1290"/>
      <c r="M42" s="1209"/>
      <c r="N42" s="1209"/>
      <c r="O42" s="1209"/>
      <c r="P42" s="1613"/>
      <c r="Q42" s="1209"/>
      <c r="R42" s="1209"/>
      <c r="S42" s="1209"/>
      <c r="T42" s="1209"/>
      <c r="U42" s="1209"/>
      <c r="V42" s="1209"/>
      <c r="W42" s="1209"/>
      <c r="X42" s="1209"/>
      <c r="Y42" s="1209"/>
      <c r="Z42" s="1209"/>
      <c r="AA42" s="1209"/>
      <c r="AB42" s="1209"/>
      <c r="AC42" s="1209"/>
    </row>
    <row r="43" spans="1:29" ht="13.5" customHeight="1">
      <c r="A43" s="1209"/>
      <c r="B43" s="1209"/>
      <c r="C43" s="1211" t="s">
        <v>1455</v>
      </c>
      <c r="D43" s="859"/>
      <c r="E43" s="1212">
        <f>IF(E38&lt;G38,G38/E38-1,E38/G38-1)</f>
        <v>0.2094881232170045</v>
      </c>
      <c r="F43" s="1213" t="str">
        <f>IF(OR(E43&gt;=0.2,E43&lt;=-0.2),"超过20%","")</f>
        <v>超过20%</v>
      </c>
      <c r="G43" s="1212">
        <f>IF(G38&lt;I38,I38/G38-1,G38/I38-1)</f>
        <v>0.1118652589240825</v>
      </c>
      <c r="H43" s="1213" t="str">
        <f>IF(OR(G43&gt;=0.2,G43&lt;=-0.2),"超过20%","")</f>
        <v/>
      </c>
      <c r="I43" s="1212">
        <f>IF(I38&lt;E38,E38/I38-1,I38/E38-1)</f>
        <v>8.7800984435280061E-2</v>
      </c>
      <c r="J43" s="1213" t="str">
        <f>IF(OR(I43&gt;=0.2,I43&lt;=-0.2),"超过20%","")</f>
        <v/>
      </c>
      <c r="K43" s="1289"/>
      <c r="L43" s="1290"/>
      <c r="M43" s="1209"/>
      <c r="N43" s="1209"/>
      <c r="O43" s="1209"/>
      <c r="P43" s="1613"/>
      <c r="Q43" s="1209"/>
      <c r="R43" s="1209"/>
      <c r="S43" s="1209"/>
      <c r="T43" s="1209"/>
      <c r="U43" s="1209"/>
      <c r="V43" s="1209"/>
      <c r="W43" s="1209"/>
      <c r="X43" s="1209"/>
      <c r="Y43" s="1209"/>
      <c r="Z43" s="1209"/>
      <c r="AA43" s="1209"/>
      <c r="AB43" s="1209"/>
      <c r="AC43" s="1209"/>
    </row>
    <row r="44" spans="1:29" s="1096" customFormat="1" ht="13.5" customHeight="1">
      <c r="A44" s="1214"/>
      <c r="B44" s="1214"/>
      <c r="C44" s="1211" t="s">
        <v>1456</v>
      </c>
      <c r="D44" s="859"/>
      <c r="E44" s="1212">
        <f>IF(E37&lt;G37,G37/E37-1,E37/G37-1)</f>
        <v>0.20949478589492199</v>
      </c>
      <c r="F44" s="1213" t="str">
        <f>IF(OR(E44&gt;=0.3,E44&lt;=-0.3),"超过30%","")</f>
        <v/>
      </c>
      <c r="G44" s="1212">
        <f>IF(G37&lt;I37,I37/G37-1,G37/I37-1)</f>
        <v>0.18220953888669</v>
      </c>
      <c r="H44" s="1213" t="str">
        <f>IF(OR(G44&gt;=0.3,G44&lt;=-0.3),"超过30%","")</f>
        <v/>
      </c>
      <c r="I44" s="1212">
        <f>IF(I37&lt;E37,E37/I37-1,I37/E37-1)</f>
        <v>2.3079873838547399E-2</v>
      </c>
      <c r="J44" s="1213" t="str">
        <f>IF(OR(I44&gt;=0.3,I44&lt;=-0.3),"超过30%","")</f>
        <v/>
      </c>
      <c r="K44" s="1291"/>
      <c r="L44" s="1292"/>
      <c r="M44" s="1214"/>
      <c r="N44" s="1214"/>
      <c r="O44" s="1214"/>
      <c r="P44" s="1614"/>
      <c r="Q44" s="1214"/>
      <c r="R44" s="1214"/>
      <c r="S44" s="1214"/>
      <c r="T44" s="1214"/>
      <c r="U44" s="1214"/>
      <c r="V44" s="1214"/>
      <c r="W44" s="1214"/>
      <c r="X44" s="1214"/>
      <c r="Y44" s="1214"/>
      <c r="Z44" s="1214"/>
      <c r="AA44" s="1214"/>
      <c r="AB44" s="1214"/>
      <c r="AC44" s="1214"/>
    </row>
    <row r="45" spans="1:29" s="1096" customFormat="1">
      <c r="A45" s="1214"/>
      <c r="B45" s="1215"/>
      <c r="C45" s="1523"/>
      <c r="D45" s="1214"/>
      <c r="E45" s="1214"/>
      <c r="F45" s="1214"/>
      <c r="G45" s="1214"/>
      <c r="H45" s="1214"/>
      <c r="I45" s="1214"/>
      <c r="J45" s="1214"/>
      <c r="K45" s="1291"/>
      <c r="L45" s="1292"/>
      <c r="M45" s="1214"/>
      <c r="N45" s="1214"/>
      <c r="O45" s="1214"/>
      <c r="P45" s="1614"/>
      <c r="Q45" s="1214"/>
      <c r="R45" s="1214"/>
      <c r="S45" s="1214"/>
      <c r="T45" s="1214"/>
      <c r="U45" s="1214"/>
      <c r="V45" s="1214"/>
      <c r="W45" s="1214"/>
      <c r="X45" s="1214"/>
      <c r="Y45" s="1214"/>
      <c r="Z45" s="1214"/>
      <c r="AA45" s="1214"/>
      <c r="AB45" s="1214"/>
      <c r="AC45" s="1214"/>
    </row>
    <row r="46" spans="1:29">
      <c r="A46" s="1209"/>
      <c r="B46" s="1215"/>
      <c r="C46" s="1523"/>
      <c r="D46" s="1209"/>
      <c r="E46" s="1209"/>
      <c r="F46" s="1209"/>
      <c r="G46" s="1209"/>
      <c r="H46" s="1209"/>
      <c r="I46" s="1209"/>
      <c r="J46" s="1209"/>
      <c r="K46" s="1289"/>
      <c r="L46" s="1290"/>
      <c r="M46" s="1209"/>
      <c r="N46" s="1209"/>
      <c r="O46" s="1209"/>
      <c r="P46" s="1613"/>
      <c r="Q46" s="1209"/>
      <c r="R46" s="1209"/>
      <c r="S46" s="1209"/>
      <c r="T46" s="1209"/>
      <c r="U46" s="1209"/>
      <c r="V46" s="1209"/>
      <c r="W46" s="1209"/>
      <c r="X46" s="1209"/>
      <c r="Y46" s="1209"/>
      <c r="Z46" s="1209"/>
      <c r="AA46" s="1209"/>
      <c r="AB46" s="1209"/>
      <c r="AC46" s="1209"/>
    </row>
    <row r="47" spans="1:29" ht="21">
      <c r="A47" s="2363" t="s">
        <v>1457</v>
      </c>
      <c r="B47" s="1244"/>
      <c r="C47" s="1301"/>
      <c r="D47" s="1301"/>
      <c r="E47" s="1301"/>
      <c r="F47" s="2364"/>
      <c r="G47" s="2364"/>
      <c r="H47" s="1301"/>
      <c r="I47" s="1301"/>
      <c r="J47" s="1301"/>
      <c r="K47" s="1467"/>
      <c r="L47" s="1468"/>
      <c r="M47" s="1301"/>
      <c r="N47" s="1302"/>
      <c r="O47" s="1302"/>
      <c r="P47" s="1615"/>
      <c r="Q47" s="1314"/>
      <c r="R47" s="1209"/>
      <c r="S47" s="1209"/>
      <c r="T47" s="1209"/>
      <c r="U47" s="1209"/>
      <c r="V47" s="1209"/>
      <c r="W47" s="1209"/>
      <c r="X47" s="1209"/>
      <c r="Y47" s="1209"/>
      <c r="Z47" s="1209"/>
      <c r="AA47" s="1209"/>
      <c r="AB47" s="1209"/>
      <c r="AC47" s="1209"/>
    </row>
    <row r="48" spans="1:29" s="1098" customFormat="1" ht="15">
      <c r="A48" s="1524" t="s">
        <v>1410</v>
      </c>
      <c r="B48" s="1525"/>
      <c r="C48" s="1526" t="str">
        <f>YEAR(C7)&amp;"-"&amp;MONTH(C7)</f>
        <v>2025-9</v>
      </c>
      <c r="D48" s="1527">
        <f>EDATE(C48,-1)</f>
        <v>45870</v>
      </c>
      <c r="E48" s="1527">
        <f t="shared" ref="E48:O48" si="16">EDATE(D48,-1)</f>
        <v>45839</v>
      </c>
      <c r="F48" s="1527">
        <f t="shared" si="16"/>
        <v>45809</v>
      </c>
      <c r="G48" s="1527">
        <f t="shared" si="16"/>
        <v>45778</v>
      </c>
      <c r="H48" s="1527">
        <f t="shared" si="16"/>
        <v>45748</v>
      </c>
      <c r="I48" s="1527">
        <f t="shared" si="16"/>
        <v>45717</v>
      </c>
      <c r="J48" s="1527">
        <f t="shared" si="16"/>
        <v>45689</v>
      </c>
      <c r="K48" s="1527">
        <f t="shared" si="16"/>
        <v>45658</v>
      </c>
      <c r="L48" s="1527">
        <f t="shared" si="16"/>
        <v>45627</v>
      </c>
      <c r="M48" s="1527">
        <f t="shared" si="16"/>
        <v>45597</v>
      </c>
      <c r="N48" s="1527">
        <f t="shared" si="16"/>
        <v>45566</v>
      </c>
      <c r="O48" s="1527">
        <f t="shared" si="16"/>
        <v>45536</v>
      </c>
      <c r="P48" s="1616"/>
      <c r="Q48" s="1433"/>
      <c r="R48" s="1433"/>
      <c r="S48" s="1433"/>
      <c r="T48" s="1433"/>
      <c r="U48" s="1433"/>
      <c r="V48" s="1433"/>
      <c r="W48" s="1433"/>
      <c r="X48" s="1433"/>
      <c r="Y48" s="1433"/>
      <c r="Z48" s="1433"/>
      <c r="AA48" s="1433"/>
      <c r="AB48" s="1433"/>
      <c r="AC48" s="1433"/>
    </row>
    <row r="49" spans="1:29" s="1093" customFormat="1" ht="15">
      <c r="A49" s="1528"/>
      <c r="B49" s="1334"/>
      <c r="C49" s="2365">
        <v>100</v>
      </c>
      <c r="D49" s="1338">
        <f>C49-$C$50</f>
        <v>100</v>
      </c>
      <c r="E49" s="1338">
        <f t="shared" ref="E49:M49" si="17">D49-$C$50</f>
        <v>100</v>
      </c>
      <c r="F49" s="1338">
        <f t="shared" si="17"/>
        <v>100</v>
      </c>
      <c r="G49" s="1338">
        <f t="shared" si="17"/>
        <v>100</v>
      </c>
      <c r="H49" s="1338">
        <f t="shared" si="17"/>
        <v>100</v>
      </c>
      <c r="I49" s="1338">
        <f t="shared" si="17"/>
        <v>100</v>
      </c>
      <c r="J49" s="1338">
        <f t="shared" si="17"/>
        <v>100</v>
      </c>
      <c r="K49" s="1338">
        <f t="shared" si="17"/>
        <v>100</v>
      </c>
      <c r="L49" s="1338">
        <f t="shared" si="17"/>
        <v>100</v>
      </c>
      <c r="M49" s="1338">
        <f t="shared" si="17"/>
        <v>100</v>
      </c>
      <c r="N49" s="1338"/>
      <c r="O49" s="1536"/>
      <c r="P49" s="1617"/>
      <c r="Q49" s="1434"/>
      <c r="R49" s="1434"/>
      <c r="S49" s="1434"/>
      <c r="T49" s="1434"/>
      <c r="U49" s="1434"/>
      <c r="V49" s="1434"/>
      <c r="W49" s="1434"/>
      <c r="X49" s="1434"/>
      <c r="Y49" s="1434"/>
      <c r="Z49" s="1434"/>
      <c r="AA49" s="1434"/>
      <c r="AB49" s="1434"/>
      <c r="AC49" s="1434"/>
    </row>
    <row r="50" spans="1:29" s="1093" customFormat="1" ht="15">
      <c r="A50" s="1329" t="s">
        <v>1458</v>
      </c>
      <c r="B50" s="1330"/>
      <c r="C50" s="1331">
        <v>0</v>
      </c>
      <c r="D50" s="1332"/>
      <c r="E50" s="1332"/>
      <c r="F50" s="1332"/>
      <c r="G50" s="1332"/>
      <c r="H50" s="1332"/>
      <c r="I50" s="1332"/>
      <c r="J50" s="1332"/>
      <c r="K50" s="1332"/>
      <c r="L50" s="1332"/>
      <c r="M50" s="1380"/>
      <c r="N50" s="1332"/>
      <c r="O50" s="1380"/>
      <c r="P50" s="1617"/>
      <c r="Q50" s="1314"/>
      <c r="R50" s="1434"/>
      <c r="S50" s="1434"/>
      <c r="T50" s="1434"/>
      <c r="U50" s="1434"/>
      <c r="V50" s="1434"/>
      <c r="W50" s="1434"/>
      <c r="X50" s="1434"/>
      <c r="Y50" s="1434"/>
      <c r="Z50" s="1434"/>
      <c r="AA50" s="1434"/>
      <c r="AB50" s="1434"/>
      <c r="AC50" s="1434"/>
    </row>
    <row r="51" spans="1:29" s="1093" customFormat="1" ht="15">
      <c r="A51" s="1333" t="s">
        <v>1413</v>
      </c>
      <c r="B51" s="1334"/>
      <c r="C51" s="1335" t="s">
        <v>1459</v>
      </c>
      <c r="D51" s="1336"/>
      <c r="E51" s="1336"/>
      <c r="F51" s="1336"/>
      <c r="G51" s="1336"/>
      <c r="H51" s="1336"/>
      <c r="I51" s="1336"/>
      <c r="J51" s="1336"/>
      <c r="K51" s="1336"/>
      <c r="L51" s="1382"/>
      <c r="M51" s="1383"/>
      <c r="N51" s="1384"/>
      <c r="O51" s="1384"/>
      <c r="P51" s="1618"/>
      <c r="Q51" s="1314"/>
      <c r="R51" s="1434"/>
      <c r="S51" s="1434"/>
      <c r="T51" s="1434"/>
      <c r="U51" s="1434"/>
      <c r="V51" s="1434"/>
      <c r="W51" s="1434"/>
      <c r="X51" s="1434"/>
      <c r="Y51" s="1434"/>
      <c r="Z51" s="1434"/>
      <c r="AA51" s="1434"/>
      <c r="AB51" s="1434"/>
      <c r="AC51" s="1434"/>
    </row>
    <row r="52" spans="1:29" s="1093" customFormat="1" ht="15">
      <c r="A52" s="1333"/>
      <c r="B52" s="1334"/>
      <c r="C52" s="1337">
        <v>100</v>
      </c>
      <c r="D52" s="1338"/>
      <c r="E52" s="1338"/>
      <c r="F52" s="1338"/>
      <c r="G52" s="1338"/>
      <c r="H52" s="1338"/>
      <c r="I52" s="1338"/>
      <c r="J52" s="1338"/>
      <c r="K52" s="1338"/>
      <c r="L52" s="1338"/>
      <c r="M52" s="1386"/>
      <c r="N52" s="1384"/>
      <c r="O52" s="1384"/>
      <c r="P52" s="1617"/>
      <c r="Q52" s="1314"/>
      <c r="R52" s="1434"/>
      <c r="S52" s="1434"/>
      <c r="T52" s="1434"/>
      <c r="U52" s="1434"/>
      <c r="V52" s="1434"/>
      <c r="W52" s="1434"/>
      <c r="X52" s="1434"/>
      <c r="Y52" s="1434"/>
      <c r="Z52" s="1434"/>
      <c r="AA52" s="1434"/>
      <c r="AB52" s="1434"/>
      <c r="AC52" s="1434"/>
    </row>
    <row r="53" spans="1:29">
      <c r="A53" s="1339" t="s">
        <v>1460</v>
      </c>
      <c r="B53" s="1340" t="s">
        <v>1417</v>
      </c>
      <c r="C53" s="1362" t="str">
        <f>C9</f>
        <v>车库</v>
      </c>
      <c r="D53" s="1282"/>
      <c r="E53" s="1282"/>
      <c r="F53" s="1282"/>
      <c r="G53" s="1282"/>
      <c r="H53" s="1282"/>
      <c r="I53" s="1282"/>
      <c r="J53" s="1282"/>
      <c r="K53" s="1387"/>
      <c r="L53" s="1388"/>
      <c r="M53" s="1389"/>
      <c r="N53" s="1390"/>
      <c r="O53" s="1390"/>
      <c r="P53" s="1619"/>
      <c r="Q53" s="1314"/>
      <c r="R53" s="1209"/>
      <c r="S53" s="1209"/>
      <c r="T53" s="1209"/>
      <c r="U53" s="1209"/>
      <c r="V53" s="1209"/>
      <c r="W53" s="1209"/>
      <c r="X53" s="1209"/>
      <c r="Y53" s="1209"/>
      <c r="Z53" s="1209"/>
      <c r="AA53" s="1209"/>
      <c r="AB53" s="1209"/>
      <c r="AC53" s="1209"/>
    </row>
    <row r="54" spans="1:29" ht="15">
      <c r="A54" s="1341"/>
      <c r="B54" s="1342"/>
      <c r="C54" s="1343">
        <v>100</v>
      </c>
      <c r="D54" s="1343"/>
      <c r="E54" s="1343"/>
      <c r="F54" s="1343"/>
      <c r="G54" s="1343"/>
      <c r="H54" s="1343"/>
      <c r="I54" s="1343"/>
      <c r="J54" s="1343"/>
      <c r="K54" s="1343"/>
      <c r="L54" s="1343"/>
      <c r="M54" s="1392"/>
      <c r="N54" s="1393"/>
      <c r="O54" s="1393"/>
      <c r="P54" s="1619"/>
      <c r="Q54" s="1314"/>
      <c r="R54" s="1209"/>
      <c r="S54" s="1209"/>
      <c r="T54" s="1209"/>
      <c r="U54" s="1209"/>
      <c r="V54" s="1209"/>
      <c r="W54" s="1209"/>
      <c r="X54" s="1209"/>
      <c r="Y54" s="1209"/>
      <c r="Z54" s="1209"/>
      <c r="AA54" s="1209"/>
      <c r="AB54" s="1209"/>
      <c r="AC54" s="1209"/>
    </row>
    <row r="55" spans="1:29" ht="27">
      <c r="A55" s="1341"/>
      <c r="B55" s="1344" t="s">
        <v>1420</v>
      </c>
      <c r="C55" s="1369" t="s">
        <v>1461</v>
      </c>
      <c r="D55" s="1369" t="s">
        <v>1462</v>
      </c>
      <c r="E55" s="1369"/>
      <c r="F55" s="1369"/>
      <c r="G55" s="1369"/>
      <c r="H55" s="1369"/>
      <c r="I55" s="1369"/>
      <c r="J55" s="1369"/>
      <c r="K55" s="1420"/>
      <c r="L55" s="1421"/>
      <c r="M55" s="1422"/>
      <c r="N55" s="1390"/>
      <c r="O55" s="1390"/>
      <c r="P55" s="1619"/>
      <c r="Q55" s="1314"/>
      <c r="R55" s="1209"/>
      <c r="S55" s="1209"/>
      <c r="T55" s="1209"/>
      <c r="U55" s="1209"/>
      <c r="V55" s="1209"/>
      <c r="W55" s="1209"/>
      <c r="X55" s="1209"/>
      <c r="Y55" s="1209"/>
      <c r="Z55" s="1209"/>
      <c r="AA55" s="1209"/>
      <c r="AB55" s="1209"/>
      <c r="AC55" s="1209"/>
    </row>
    <row r="56" spans="1:29" ht="15">
      <c r="A56" s="1341"/>
      <c r="B56" s="1346"/>
      <c r="C56" s="1343">
        <v>100</v>
      </c>
      <c r="D56" s="1343">
        <v>98</v>
      </c>
      <c r="E56" s="1343"/>
      <c r="F56" s="1343"/>
      <c r="G56" s="1343"/>
      <c r="H56" s="1343"/>
      <c r="I56" s="1343"/>
      <c r="J56" s="1343"/>
      <c r="K56" s="1343"/>
      <c r="L56" s="1343"/>
      <c r="M56" s="1392"/>
      <c r="N56" s="1393"/>
      <c r="O56" s="1393"/>
      <c r="P56" s="1619"/>
      <c r="Q56" s="1314"/>
      <c r="R56" s="1209"/>
      <c r="S56" s="1209"/>
      <c r="T56" s="1209"/>
      <c r="U56" s="1209"/>
      <c r="V56" s="1209"/>
      <c r="W56" s="1209"/>
      <c r="X56" s="1209"/>
      <c r="Y56" s="1209"/>
      <c r="Z56" s="1209"/>
      <c r="AA56" s="1209"/>
      <c r="AB56" s="1209"/>
      <c r="AC56" s="1209"/>
    </row>
    <row r="57" spans="1:29" ht="15">
      <c r="A57" s="1341"/>
      <c r="B57" s="1368">
        <f>B11</f>
        <v>111</v>
      </c>
      <c r="C57" s="1140"/>
      <c r="D57" s="1140"/>
      <c r="E57" s="1140"/>
      <c r="F57" s="1140"/>
      <c r="G57" s="1140"/>
      <c r="H57" s="1140"/>
      <c r="I57" s="1140"/>
      <c r="J57" s="1140"/>
      <c r="K57" s="1398"/>
      <c r="L57" s="1399"/>
      <c r="M57" s="1400"/>
      <c r="N57" s="1390"/>
      <c r="O57" s="1390"/>
      <c r="P57" s="1619"/>
      <c r="Q57" s="1314"/>
      <c r="R57" s="1209"/>
      <c r="S57" s="1209"/>
      <c r="T57" s="1209"/>
      <c r="U57" s="1209"/>
      <c r="V57" s="1209"/>
      <c r="W57" s="1209"/>
      <c r="X57" s="1209"/>
      <c r="Y57" s="1209"/>
      <c r="Z57" s="1209"/>
      <c r="AA57" s="1209"/>
      <c r="AB57" s="1209"/>
      <c r="AC57" s="1209"/>
    </row>
    <row r="58" spans="1:29" ht="15">
      <c r="A58" s="1341"/>
      <c r="B58" s="1342"/>
      <c r="C58" s="1354"/>
      <c r="D58" s="1343"/>
      <c r="E58" s="1343"/>
      <c r="F58" s="1343"/>
      <c r="G58" s="1343"/>
      <c r="H58" s="1343"/>
      <c r="I58" s="1343"/>
      <c r="J58" s="1343"/>
      <c r="K58" s="1343"/>
      <c r="L58" s="1343"/>
      <c r="M58" s="1392"/>
      <c r="N58" s="1393"/>
      <c r="O58" s="1393"/>
      <c r="P58" s="1619"/>
      <c r="Q58" s="1314"/>
      <c r="R58" s="1209"/>
      <c r="S58" s="1209"/>
      <c r="T58" s="1209"/>
      <c r="U58" s="1209"/>
      <c r="V58" s="1209"/>
      <c r="W58" s="1209"/>
      <c r="X58" s="1209"/>
      <c r="Y58" s="1209"/>
      <c r="Z58" s="1209"/>
      <c r="AA58" s="1209"/>
      <c r="AB58" s="1209"/>
      <c r="AC58" s="1209"/>
    </row>
    <row r="59" spans="1:29" s="1095" customFormat="1" ht="15">
      <c r="A59" s="1351"/>
      <c r="B59" s="1344">
        <f>B12</f>
        <v>111</v>
      </c>
      <c r="C59" s="1140"/>
      <c r="D59" s="1140"/>
      <c r="E59" s="1140"/>
      <c r="F59" s="1140"/>
      <c r="G59" s="1352"/>
      <c r="H59" s="1353"/>
      <c r="I59" s="1353"/>
      <c r="J59" s="1353"/>
      <c r="K59" s="1353"/>
      <c r="L59" s="1401"/>
      <c r="M59" s="1402"/>
      <c r="N59" s="1403"/>
      <c r="O59" s="1403"/>
      <c r="P59" s="1627"/>
      <c r="Q59" s="1435"/>
      <c r="R59" s="1436"/>
      <c r="S59" s="1436"/>
      <c r="T59" s="1436"/>
      <c r="U59" s="1436"/>
      <c r="V59" s="1436"/>
      <c r="W59" s="1436"/>
      <c r="X59" s="1436"/>
      <c r="Y59" s="1436"/>
      <c r="Z59" s="1436"/>
      <c r="AA59" s="1436"/>
      <c r="AB59" s="1436"/>
      <c r="AC59" s="1436"/>
    </row>
    <row r="60" spans="1:29" s="1095" customFormat="1" ht="15">
      <c r="A60" s="1351"/>
      <c r="B60" s="1346"/>
      <c r="C60" s="1354"/>
      <c r="D60" s="1343"/>
      <c r="E60" s="1343"/>
      <c r="F60" s="1343"/>
      <c r="G60" s="1343"/>
      <c r="H60" s="1343"/>
      <c r="I60" s="1343"/>
      <c r="J60" s="1343"/>
      <c r="K60" s="1343"/>
      <c r="L60" s="1343"/>
      <c r="M60" s="1392"/>
      <c r="N60" s="1393"/>
      <c r="O60" s="1393"/>
      <c r="P60" s="1627"/>
      <c r="Q60" s="1435"/>
      <c r="R60" s="1436"/>
      <c r="S60" s="1436"/>
      <c r="T60" s="1436"/>
      <c r="U60" s="1436"/>
      <c r="V60" s="1436"/>
      <c r="W60" s="1436"/>
      <c r="X60" s="1436"/>
      <c r="Y60" s="1436"/>
      <c r="Z60" s="1436"/>
      <c r="AA60" s="1436"/>
      <c r="AB60" s="1436"/>
      <c r="AC60" s="1436"/>
    </row>
    <row r="61" spans="1:29" s="1095" customFormat="1" ht="15">
      <c r="A61" s="1351"/>
      <c r="B61" s="1344">
        <f>B13</f>
        <v>111</v>
      </c>
      <c r="C61" s="1352"/>
      <c r="D61" s="1352"/>
      <c r="E61" s="1352"/>
      <c r="F61" s="1352"/>
      <c r="G61" s="1352"/>
      <c r="H61" s="1353"/>
      <c r="I61" s="1353"/>
      <c r="J61" s="1353"/>
      <c r="K61" s="1353"/>
      <c r="L61" s="1401"/>
      <c r="M61" s="1402"/>
      <c r="N61" s="1403"/>
      <c r="O61" s="1403"/>
      <c r="P61" s="1628"/>
      <c r="Q61" s="1437"/>
      <c r="R61" s="1436"/>
      <c r="S61" s="1436"/>
      <c r="T61" s="1436"/>
      <c r="U61" s="1436"/>
      <c r="V61" s="1436"/>
      <c r="W61" s="1436"/>
      <c r="X61" s="1436"/>
      <c r="Y61" s="1436"/>
      <c r="Z61" s="1436"/>
      <c r="AA61" s="1436"/>
      <c r="AB61" s="1436"/>
      <c r="AC61" s="1436"/>
    </row>
    <row r="62" spans="1:29" s="1095" customFormat="1" ht="15">
      <c r="A62" s="1351"/>
      <c r="B62" s="1346"/>
      <c r="C62" s="1354"/>
      <c r="D62" s="1354"/>
      <c r="E62" s="1354"/>
      <c r="F62" s="1354"/>
      <c r="G62" s="1354"/>
      <c r="H62" s="1355"/>
      <c r="I62" s="1355"/>
      <c r="J62" s="1355"/>
      <c r="K62" s="1355"/>
      <c r="L62" s="1355"/>
      <c r="M62" s="1405"/>
      <c r="N62" s="1403"/>
      <c r="O62" s="1403"/>
      <c r="P62" s="1627"/>
      <c r="Q62" s="1435"/>
      <c r="R62" s="1436"/>
      <c r="S62" s="1436"/>
      <c r="T62" s="1436"/>
      <c r="U62" s="1436"/>
      <c r="V62" s="1436"/>
      <c r="W62" s="1436"/>
      <c r="X62" s="1436"/>
      <c r="Y62" s="1436"/>
      <c r="Z62" s="1436"/>
      <c r="AA62" s="1436"/>
      <c r="AB62" s="1436"/>
      <c r="AC62" s="1436"/>
    </row>
    <row r="63" spans="1:29">
      <c r="A63" s="1339" t="s">
        <v>1423</v>
      </c>
      <c r="B63" s="1340" t="s">
        <v>1424</v>
      </c>
      <c r="C63" s="1361" t="s">
        <v>1463</v>
      </c>
      <c r="D63" s="1361" t="s">
        <v>1464</v>
      </c>
      <c r="E63" s="1361" t="s">
        <v>1465</v>
      </c>
      <c r="F63" s="1361" t="s">
        <v>1466</v>
      </c>
      <c r="G63" s="1361" t="s">
        <v>1467</v>
      </c>
      <c r="H63" s="1362"/>
      <c r="I63" s="1362"/>
      <c r="J63" s="1362"/>
      <c r="K63" s="1410"/>
      <c r="L63" s="1411"/>
      <c r="M63" s="1412"/>
      <c r="N63" s="1390"/>
      <c r="O63" s="1390"/>
      <c r="P63" s="1630"/>
      <c r="Q63" s="1314"/>
      <c r="R63" s="1209"/>
      <c r="S63" s="1209"/>
      <c r="T63" s="1209"/>
      <c r="U63" s="1209"/>
      <c r="V63" s="1209"/>
      <c r="W63" s="1209"/>
      <c r="X63" s="1209"/>
      <c r="Y63" s="1209"/>
      <c r="Z63" s="1209"/>
      <c r="AA63" s="1209"/>
      <c r="AB63" s="1209"/>
      <c r="AC63" s="1209"/>
    </row>
    <row r="64" spans="1:29" ht="15">
      <c r="A64" s="1341"/>
      <c r="B64" s="1346"/>
      <c r="C64" s="1347">
        <v>100</v>
      </c>
      <c r="D64" s="1347">
        <f>C64-$K14</f>
        <v>98</v>
      </c>
      <c r="E64" s="1347">
        <f>D64-$K14</f>
        <v>96</v>
      </c>
      <c r="F64" s="1347">
        <f>E64-$K14</f>
        <v>94</v>
      </c>
      <c r="G64" s="1347">
        <f>F64-$K14</f>
        <v>92</v>
      </c>
      <c r="H64" s="1347"/>
      <c r="I64" s="1347"/>
      <c r="J64" s="1347"/>
      <c r="K64" s="1347"/>
      <c r="L64" s="1347"/>
      <c r="M64" s="1397"/>
      <c r="N64" s="1393"/>
      <c r="O64" s="1393"/>
      <c r="P64" s="1619"/>
      <c r="Q64" s="1314"/>
      <c r="R64" s="1209"/>
      <c r="S64" s="1209"/>
      <c r="T64" s="1209"/>
      <c r="U64" s="1209"/>
      <c r="V64" s="1209"/>
      <c r="W64" s="1209"/>
      <c r="X64" s="1209"/>
      <c r="Y64" s="1209"/>
      <c r="Z64" s="1209"/>
      <c r="AA64" s="1209"/>
      <c r="AB64" s="1209"/>
      <c r="AC64" s="1209"/>
    </row>
    <row r="65" spans="1:29" ht="15">
      <c r="A65" s="1341"/>
      <c r="B65" s="1344" t="s">
        <v>1427</v>
      </c>
      <c r="C65" s="1363" t="s">
        <v>1463</v>
      </c>
      <c r="D65" s="1363" t="s">
        <v>1464</v>
      </c>
      <c r="E65" s="1363" t="s">
        <v>1465</v>
      </c>
      <c r="F65" s="1363" t="s">
        <v>1466</v>
      </c>
      <c r="G65" s="1363" t="s">
        <v>1467</v>
      </c>
      <c r="H65" s="1345"/>
      <c r="I65" s="1345"/>
      <c r="J65" s="1345"/>
      <c r="K65" s="1394"/>
      <c r="L65" s="1395"/>
      <c r="M65" s="1396"/>
      <c r="N65" s="1390"/>
      <c r="O65" s="1390"/>
      <c r="P65" s="1619"/>
      <c r="Q65" s="1314"/>
      <c r="R65" s="1209"/>
      <c r="S65" s="1209"/>
      <c r="T65" s="1209"/>
      <c r="U65" s="1209"/>
      <c r="V65" s="1209"/>
      <c r="W65" s="1209"/>
      <c r="X65" s="1209"/>
      <c r="Y65" s="1209"/>
      <c r="Z65" s="1209"/>
      <c r="AA65" s="1209"/>
      <c r="AB65" s="1209"/>
      <c r="AC65" s="1209"/>
    </row>
    <row r="66" spans="1:29" ht="15">
      <c r="A66" s="1341"/>
      <c r="B66" s="1346"/>
      <c r="C66" s="1347">
        <v>100</v>
      </c>
      <c r="D66" s="1347">
        <f>C66-$K16</f>
        <v>98</v>
      </c>
      <c r="E66" s="1347">
        <f>D66-$K16</f>
        <v>96</v>
      </c>
      <c r="F66" s="1347">
        <f>E66-$K16</f>
        <v>94</v>
      </c>
      <c r="G66" s="1347">
        <f>F66-$K16</f>
        <v>92</v>
      </c>
      <c r="H66" s="1347"/>
      <c r="I66" s="1347"/>
      <c r="J66" s="1347"/>
      <c r="K66" s="1347"/>
      <c r="L66" s="1347"/>
      <c r="M66" s="1397"/>
      <c r="N66" s="1393"/>
      <c r="O66" s="1393"/>
      <c r="P66" s="1619"/>
      <c r="Q66" s="1314"/>
      <c r="R66" s="1209"/>
      <c r="S66" s="1209"/>
      <c r="T66" s="1209"/>
      <c r="U66" s="1209"/>
      <c r="V66" s="1209"/>
      <c r="W66" s="1209"/>
      <c r="X66" s="1209"/>
      <c r="Y66" s="1209"/>
      <c r="Z66" s="1209"/>
      <c r="AA66" s="1209"/>
      <c r="AB66" s="1209"/>
      <c r="AC66" s="1209"/>
    </row>
    <row r="67" spans="1:29" ht="15">
      <c r="A67" s="1341"/>
      <c r="B67" s="1348" t="s">
        <v>1429</v>
      </c>
      <c r="C67" s="1368" t="s">
        <v>1468</v>
      </c>
      <c r="D67" s="1368" t="s">
        <v>1469</v>
      </c>
      <c r="E67" s="1368" t="s">
        <v>1470</v>
      </c>
      <c r="F67" s="1368" t="s">
        <v>1471</v>
      </c>
      <c r="G67" s="1368" t="s">
        <v>1472</v>
      </c>
      <c r="H67" s="1345"/>
      <c r="I67" s="1345"/>
      <c r="J67" s="1345"/>
      <c r="K67" s="1345"/>
      <c r="L67" s="1345"/>
      <c r="M67" s="1541"/>
      <c r="N67" s="1393"/>
      <c r="O67" s="1393"/>
      <c r="P67" s="1619"/>
      <c r="Q67" s="1314"/>
      <c r="R67" s="1209"/>
      <c r="S67" s="1209"/>
      <c r="T67" s="1209"/>
      <c r="U67" s="1209"/>
      <c r="V67" s="1209"/>
      <c r="W67" s="1209"/>
      <c r="X67" s="1209"/>
      <c r="Y67" s="1209"/>
      <c r="Z67" s="1209"/>
      <c r="AA67" s="1209"/>
      <c r="AB67" s="1209"/>
      <c r="AC67" s="1209"/>
    </row>
    <row r="68" spans="1:29" ht="15">
      <c r="A68" s="1341"/>
      <c r="B68" s="1348"/>
      <c r="C68" s="1347">
        <v>100</v>
      </c>
      <c r="D68" s="1347">
        <f>C68-$K18</f>
        <v>99</v>
      </c>
      <c r="E68" s="1347">
        <f>D68-$K18</f>
        <v>98</v>
      </c>
      <c r="F68" s="1347">
        <f>E68-$K18</f>
        <v>97</v>
      </c>
      <c r="G68" s="1347">
        <f>F68-$K18</f>
        <v>96</v>
      </c>
      <c r="H68" s="1368"/>
      <c r="I68" s="1368"/>
      <c r="J68" s="1368"/>
      <c r="K68" s="1368"/>
      <c r="L68" s="1368"/>
      <c r="M68" s="1157"/>
      <c r="N68" s="1393"/>
      <c r="O68" s="1393"/>
      <c r="P68" s="1619"/>
      <c r="Q68" s="1314"/>
      <c r="R68" s="1209"/>
      <c r="S68" s="1209"/>
      <c r="T68" s="1209"/>
      <c r="U68" s="1209"/>
      <c r="V68" s="1209"/>
      <c r="W68" s="1209"/>
      <c r="X68" s="1209"/>
      <c r="Y68" s="1209"/>
      <c r="Z68" s="1209"/>
      <c r="AA68" s="1209"/>
      <c r="AB68" s="1209"/>
      <c r="AC68" s="1209"/>
    </row>
    <row r="69" spans="1:29" ht="15">
      <c r="A69" s="1341"/>
      <c r="B69" s="1344" t="s">
        <v>1430</v>
      </c>
      <c r="C69" s="1363" t="s">
        <v>1463</v>
      </c>
      <c r="D69" s="1363" t="s">
        <v>1464</v>
      </c>
      <c r="E69" s="1363" t="s">
        <v>1465</v>
      </c>
      <c r="F69" s="1363" t="s">
        <v>1466</v>
      </c>
      <c r="G69" s="1363" t="s">
        <v>1467</v>
      </c>
      <c r="H69" s="1345"/>
      <c r="I69" s="1345"/>
      <c r="J69" s="1345"/>
      <c r="K69" s="1394"/>
      <c r="L69" s="1395"/>
      <c r="M69" s="1396"/>
      <c r="N69" s="1390"/>
      <c r="O69" s="1390"/>
      <c r="P69" s="1619"/>
      <c r="Q69" s="1314"/>
      <c r="R69" s="1209"/>
      <c r="S69" s="1209"/>
      <c r="T69" s="1209"/>
      <c r="U69" s="1209"/>
      <c r="V69" s="1209"/>
      <c r="W69" s="1209"/>
      <c r="X69" s="1209"/>
      <c r="Y69" s="1209"/>
      <c r="Z69" s="1209"/>
      <c r="AA69" s="1209"/>
      <c r="AB69" s="1209"/>
      <c r="AC69" s="1209"/>
    </row>
    <row r="70" spans="1:29" ht="15">
      <c r="A70" s="1341"/>
      <c r="B70" s="1346"/>
      <c r="C70" s="1347">
        <v>100</v>
      </c>
      <c r="D70" s="1347">
        <f>C70-$K20</f>
        <v>98</v>
      </c>
      <c r="E70" s="1347">
        <f>D70-$K20</f>
        <v>96</v>
      </c>
      <c r="F70" s="1347">
        <f>E70-$K20</f>
        <v>94</v>
      </c>
      <c r="G70" s="1347">
        <f>F70-$K20</f>
        <v>92</v>
      </c>
      <c r="H70" s="1347"/>
      <c r="I70" s="1347"/>
      <c r="J70" s="1347"/>
      <c r="K70" s="1347"/>
      <c r="L70" s="1347"/>
      <c r="M70" s="1397"/>
      <c r="N70" s="1393"/>
      <c r="O70" s="1393"/>
      <c r="P70" s="1619"/>
      <c r="Q70" s="1314"/>
      <c r="R70" s="1209"/>
      <c r="S70" s="1209"/>
      <c r="T70" s="1209"/>
      <c r="U70" s="1209"/>
      <c r="V70" s="1209"/>
      <c r="W70" s="1209"/>
      <c r="X70" s="1209"/>
      <c r="Y70" s="1209"/>
      <c r="Z70" s="1209"/>
      <c r="AA70" s="1209"/>
      <c r="AB70" s="1209"/>
      <c r="AC70" s="1209"/>
    </row>
    <row r="71" spans="1:29" ht="15">
      <c r="A71" s="1341"/>
      <c r="B71" s="1344" t="s">
        <v>1431</v>
      </c>
      <c r="C71" s="3486" t="s">
        <v>1473</v>
      </c>
      <c r="D71" s="3486" t="s">
        <v>1474</v>
      </c>
      <c r="E71" s="1352"/>
      <c r="F71" s="1352"/>
      <c r="G71" s="1352"/>
      <c r="H71" s="1369"/>
      <c r="I71" s="1369"/>
      <c r="J71" s="1369"/>
      <c r="K71" s="1420"/>
      <c r="L71" s="1421"/>
      <c r="M71" s="1422"/>
      <c r="N71" s="1390"/>
      <c r="O71" s="1390"/>
      <c r="P71" s="1619"/>
      <c r="Q71" s="1314"/>
      <c r="R71" s="1209"/>
      <c r="S71" s="1209"/>
      <c r="T71" s="1209"/>
      <c r="U71" s="1209"/>
      <c r="V71" s="1209"/>
      <c r="W71" s="1209"/>
      <c r="X71" s="1209"/>
      <c r="Y71" s="1209"/>
      <c r="Z71" s="1209"/>
      <c r="AA71" s="1209"/>
      <c r="AB71" s="1209"/>
      <c r="AC71" s="1209"/>
    </row>
    <row r="72" spans="1:29" ht="15">
      <c r="A72" s="1341"/>
      <c r="B72" s="1346"/>
      <c r="C72" s="1347">
        <v>100</v>
      </c>
      <c r="D72" s="1347">
        <f>C72-$K22</f>
        <v>95</v>
      </c>
      <c r="E72" s="1347">
        <f>D72-$K22</f>
        <v>90</v>
      </c>
      <c r="F72" s="1347">
        <f>E72-$K22</f>
        <v>85</v>
      </c>
      <c r="G72" s="1347">
        <f>F72-$K22</f>
        <v>80</v>
      </c>
      <c r="H72" s="1347"/>
      <c r="I72" s="1347"/>
      <c r="J72" s="1347"/>
      <c r="K72" s="1347"/>
      <c r="L72" s="1347"/>
      <c r="M72" s="1397"/>
      <c r="N72" s="1393"/>
      <c r="O72" s="1393"/>
      <c r="P72" s="1619"/>
      <c r="Q72" s="1314"/>
      <c r="R72" s="1209"/>
      <c r="S72" s="1209"/>
      <c r="T72" s="1209"/>
      <c r="U72" s="1209"/>
      <c r="V72" s="1209"/>
      <c r="W72" s="1209"/>
      <c r="X72" s="1209"/>
      <c r="Y72" s="1209"/>
      <c r="Z72" s="1209"/>
      <c r="AA72" s="1209"/>
      <c r="AB72" s="1209"/>
      <c r="AC72" s="1209"/>
    </row>
    <row r="73" spans="1:29" s="1093" customFormat="1" ht="15">
      <c r="A73" s="1364"/>
      <c r="B73" s="1344">
        <f>B23</f>
        <v>111</v>
      </c>
      <c r="C73" s="1140"/>
      <c r="D73" s="1140"/>
      <c r="E73" s="1140"/>
      <c r="F73" s="1140"/>
      <c r="G73" s="1352"/>
      <c r="H73" s="1352"/>
      <c r="I73" s="1352"/>
      <c r="J73" s="1352"/>
      <c r="K73" s="1352"/>
      <c r="L73" s="1542"/>
      <c r="M73" s="1543"/>
      <c r="N73" s="1384"/>
      <c r="O73" s="1384"/>
      <c r="P73" s="1619"/>
      <c r="Q73" s="1314"/>
      <c r="R73" s="1434"/>
      <c r="S73" s="1434"/>
      <c r="T73" s="1434"/>
      <c r="U73" s="1434"/>
      <c r="V73" s="1434"/>
      <c r="W73" s="1434"/>
      <c r="X73" s="1434"/>
      <c r="Y73" s="1434"/>
      <c r="Z73" s="1434"/>
      <c r="AA73" s="1434"/>
      <c r="AB73" s="1434"/>
      <c r="AC73" s="1434"/>
    </row>
    <row r="74" spans="1:29" s="1093" customFormat="1" ht="15">
      <c r="A74" s="1364"/>
      <c r="B74" s="1346"/>
      <c r="C74" s="1354"/>
      <c r="D74" s="1343"/>
      <c r="E74" s="1343"/>
      <c r="F74" s="1343"/>
      <c r="G74" s="1343"/>
      <c r="H74" s="1343"/>
      <c r="I74" s="1343"/>
      <c r="J74" s="1343"/>
      <c r="K74" s="1343"/>
      <c r="L74" s="1343"/>
      <c r="M74" s="1392"/>
      <c r="N74" s="1393"/>
      <c r="O74" s="1393"/>
      <c r="P74" s="1619"/>
      <c r="Q74" s="1314"/>
      <c r="R74" s="1434"/>
      <c r="S74" s="1434"/>
      <c r="T74" s="1434"/>
      <c r="U74" s="1434"/>
      <c r="V74" s="1434"/>
      <c r="W74" s="1434"/>
      <c r="X74" s="1434"/>
      <c r="Y74" s="1434"/>
      <c r="Z74" s="1434"/>
      <c r="AA74" s="1434"/>
      <c r="AB74" s="1434"/>
      <c r="AC74" s="1434"/>
    </row>
    <row r="75" spans="1:29" s="1093" customFormat="1" ht="15">
      <c r="A75" s="1364"/>
      <c r="B75" s="1344">
        <f>B24</f>
        <v>111</v>
      </c>
      <c r="C75" s="1140"/>
      <c r="D75" s="1140"/>
      <c r="E75" s="1140"/>
      <c r="F75" s="1140"/>
      <c r="G75" s="1352"/>
      <c r="H75" s="1352"/>
      <c r="I75" s="1352"/>
      <c r="J75" s="1352"/>
      <c r="K75" s="1352"/>
      <c r="L75" s="1352"/>
      <c r="M75" s="1543"/>
      <c r="N75" s="1384"/>
      <c r="O75" s="1384"/>
      <c r="P75" s="1619"/>
      <c r="Q75" s="1314"/>
      <c r="R75" s="1434"/>
      <c r="S75" s="1434"/>
      <c r="T75" s="1434"/>
      <c r="U75" s="1434"/>
      <c r="V75" s="1434"/>
      <c r="W75" s="1434"/>
      <c r="X75" s="1434"/>
      <c r="Y75" s="1434"/>
      <c r="Z75" s="1434"/>
      <c r="AA75" s="1434"/>
      <c r="AB75" s="1434"/>
      <c r="AC75" s="1434"/>
    </row>
    <row r="76" spans="1:29" s="1093" customFormat="1" ht="15">
      <c r="A76" s="1364"/>
      <c r="B76" s="1346"/>
      <c r="C76" s="1354"/>
      <c r="D76" s="1343"/>
      <c r="E76" s="1343"/>
      <c r="F76" s="1343"/>
      <c r="G76" s="1343"/>
      <c r="H76" s="1343"/>
      <c r="I76" s="1343"/>
      <c r="J76" s="1343"/>
      <c r="K76" s="1343"/>
      <c r="L76" s="1343"/>
      <c r="M76" s="1392"/>
      <c r="N76" s="1393"/>
      <c r="O76" s="1393"/>
      <c r="P76" s="1619"/>
      <c r="Q76" s="1314"/>
      <c r="R76" s="1434"/>
      <c r="S76" s="1434"/>
      <c r="T76" s="1434"/>
      <c r="U76" s="1434"/>
      <c r="V76" s="1434"/>
      <c r="W76" s="1434"/>
      <c r="X76" s="1434"/>
      <c r="Y76" s="1434"/>
      <c r="Z76" s="1434"/>
      <c r="AA76" s="1434"/>
      <c r="AB76" s="1434"/>
      <c r="AC76" s="1434"/>
    </row>
    <row r="77" spans="1:29" s="1095" customFormat="1" ht="15">
      <c r="A77" s="1351"/>
      <c r="B77" s="1344">
        <f>B25</f>
        <v>111</v>
      </c>
      <c r="C77" s="1352"/>
      <c r="D77" s="1352"/>
      <c r="E77" s="1352"/>
      <c r="F77" s="1352"/>
      <c r="G77" s="1352"/>
      <c r="H77" s="1353"/>
      <c r="I77" s="1353"/>
      <c r="J77" s="1353"/>
      <c r="K77" s="1353"/>
      <c r="L77" s="1401"/>
      <c r="M77" s="1402"/>
      <c r="N77" s="1403"/>
      <c r="O77" s="1403"/>
      <c r="P77" s="1627"/>
      <c r="Q77" s="1435"/>
      <c r="R77" s="1436"/>
      <c r="S77" s="1436"/>
      <c r="T77" s="1436"/>
      <c r="U77" s="1436"/>
      <c r="V77" s="1436"/>
      <c r="W77" s="1436"/>
      <c r="X77" s="1436"/>
      <c r="Y77" s="1436"/>
      <c r="Z77" s="1436"/>
      <c r="AA77" s="1436"/>
      <c r="AB77" s="1436"/>
      <c r="AC77" s="1436"/>
    </row>
    <row r="78" spans="1:29" s="1095" customFormat="1" ht="15">
      <c r="A78" s="1351"/>
      <c r="B78" s="1346"/>
      <c r="C78" s="1354"/>
      <c r="D78" s="1354"/>
      <c r="E78" s="1354"/>
      <c r="F78" s="1354"/>
      <c r="G78" s="1343"/>
      <c r="H78" s="1343"/>
      <c r="I78" s="1343"/>
      <c r="J78" s="1343"/>
      <c r="K78" s="1343"/>
      <c r="L78" s="1343"/>
      <c r="M78" s="1392"/>
      <c r="N78" s="1403"/>
      <c r="O78" s="1403"/>
      <c r="P78" s="1627"/>
      <c r="Q78" s="1435"/>
      <c r="R78" s="1436"/>
      <c r="S78" s="1436"/>
      <c r="T78" s="1436"/>
      <c r="U78" s="1436"/>
      <c r="V78" s="1436"/>
      <c r="W78" s="1436"/>
      <c r="X78" s="1436"/>
      <c r="Y78" s="1436"/>
      <c r="Z78" s="1436"/>
      <c r="AA78" s="1436"/>
      <c r="AB78" s="1436"/>
      <c r="AC78" s="1436"/>
    </row>
    <row r="79" spans="1:29" ht="27">
      <c r="A79" s="1339" t="s">
        <v>1434</v>
      </c>
      <c r="B79" s="1340" t="s">
        <v>1475</v>
      </c>
      <c r="C79" s="1362" t="str">
        <f>C26</f>
        <v>住宅</v>
      </c>
      <c r="D79" s="1282"/>
      <c r="E79" s="1282"/>
      <c r="F79" s="1282"/>
      <c r="G79" s="1282"/>
      <c r="H79" s="1282"/>
      <c r="I79" s="1282"/>
      <c r="J79" s="1282"/>
      <c r="K79" s="1387"/>
      <c r="L79" s="1388"/>
      <c r="M79" s="1389"/>
      <c r="N79" s="1390"/>
      <c r="O79" s="1390"/>
      <c r="P79" s="1619"/>
      <c r="Q79" s="1314"/>
      <c r="R79" s="1209"/>
      <c r="S79" s="1209"/>
      <c r="T79" s="1209"/>
      <c r="U79" s="1209"/>
      <c r="V79" s="1209"/>
      <c r="W79" s="1209"/>
      <c r="X79" s="1209"/>
      <c r="Y79" s="1209"/>
      <c r="Z79" s="1209"/>
      <c r="AA79" s="1209"/>
      <c r="AB79" s="1209"/>
      <c r="AC79" s="1209"/>
    </row>
    <row r="80" spans="1:29" ht="15">
      <c r="A80" s="1341"/>
      <c r="B80" s="1346"/>
      <c r="C80" s="1347">
        <v>100</v>
      </c>
      <c r="D80" s="1347">
        <f t="shared" ref="D80:M80" si="18">C80-$K26</f>
        <v>98</v>
      </c>
      <c r="E80" s="1347">
        <f t="shared" si="18"/>
        <v>96</v>
      </c>
      <c r="F80" s="1347">
        <f t="shared" si="18"/>
        <v>94</v>
      </c>
      <c r="G80" s="1347">
        <f t="shared" si="18"/>
        <v>92</v>
      </c>
      <c r="H80" s="1347">
        <f t="shared" si="18"/>
        <v>90</v>
      </c>
      <c r="I80" s="1347">
        <f t="shared" si="18"/>
        <v>88</v>
      </c>
      <c r="J80" s="1347">
        <f t="shared" si="18"/>
        <v>86</v>
      </c>
      <c r="K80" s="1347">
        <f t="shared" si="18"/>
        <v>84</v>
      </c>
      <c r="L80" s="1347">
        <f t="shared" si="18"/>
        <v>82</v>
      </c>
      <c r="M80" s="1397">
        <f t="shared" si="18"/>
        <v>80</v>
      </c>
      <c r="N80" s="1393"/>
      <c r="O80" s="1393"/>
      <c r="P80" s="1619"/>
      <c r="Q80" s="1314"/>
      <c r="R80" s="1209"/>
      <c r="S80" s="1209"/>
      <c r="T80" s="1209"/>
      <c r="U80" s="1209"/>
      <c r="V80" s="1209"/>
      <c r="W80" s="1209"/>
      <c r="X80" s="1209"/>
      <c r="Y80" s="1209"/>
      <c r="Z80" s="1209"/>
      <c r="AA80" s="1209"/>
      <c r="AB80" s="1209"/>
      <c r="AC80" s="1209"/>
    </row>
    <row r="81" spans="1:29" ht="15">
      <c r="A81" s="1341"/>
      <c r="B81" s="1344" t="s">
        <v>1437</v>
      </c>
      <c r="C81" s="2374" t="s">
        <v>1438</v>
      </c>
      <c r="D81" s="2374" t="s">
        <v>1439</v>
      </c>
      <c r="E81" s="2374"/>
      <c r="F81" s="2374"/>
      <c r="G81" s="2374"/>
      <c r="H81" s="2374"/>
      <c r="I81" s="2374" t="s">
        <v>1476</v>
      </c>
      <c r="J81" s="2374"/>
      <c r="K81" s="2376"/>
      <c r="L81" s="2377"/>
      <c r="M81" s="2378"/>
      <c r="N81" s="1384"/>
      <c r="O81" s="1384"/>
      <c r="P81" s="1619"/>
      <c r="Q81" s="1314"/>
      <c r="R81" s="1209"/>
      <c r="S81" s="1209"/>
      <c r="T81" s="1209"/>
      <c r="U81" s="1209"/>
      <c r="V81" s="1209"/>
      <c r="W81" s="1209"/>
      <c r="X81" s="1209"/>
      <c r="Y81" s="1209"/>
      <c r="Z81" s="1209"/>
      <c r="AA81" s="1209"/>
      <c r="AB81" s="1209"/>
      <c r="AC81" s="1209"/>
    </row>
    <row r="82" spans="1:29" s="1095" customFormat="1" ht="15">
      <c r="A82" s="1351"/>
      <c r="B82" s="1346"/>
      <c r="C82" s="1354">
        <v>100</v>
      </c>
      <c r="D82" s="1343">
        <v>100</v>
      </c>
      <c r="E82" s="1343"/>
      <c r="F82" s="1343"/>
      <c r="G82" s="1343"/>
      <c r="H82" s="1343"/>
      <c r="I82" s="1343">
        <v>99</v>
      </c>
      <c r="J82" s="1343"/>
      <c r="K82" s="1343"/>
      <c r="L82" s="1343"/>
      <c r="M82" s="1392"/>
      <c r="N82" s="1393"/>
      <c r="O82" s="1393"/>
      <c r="P82" s="1627"/>
      <c r="Q82" s="1435"/>
      <c r="R82" s="1436"/>
      <c r="S82" s="1436"/>
      <c r="T82" s="1436"/>
      <c r="U82" s="1436"/>
      <c r="V82" s="1436"/>
      <c r="W82" s="1436"/>
      <c r="X82" s="1436"/>
      <c r="Y82" s="1436"/>
      <c r="Z82" s="1436"/>
      <c r="AA82" s="1436"/>
      <c r="AB82" s="1436"/>
      <c r="AC82" s="1436"/>
    </row>
    <row r="83" spans="1:29">
      <c r="A83" s="1375"/>
      <c r="B83" s="1344" t="s">
        <v>1441</v>
      </c>
      <c r="C83" s="2375" t="s">
        <v>1442</v>
      </c>
      <c r="D83" s="1352"/>
      <c r="E83" s="1369"/>
      <c r="F83" s="1369"/>
      <c r="G83" s="1369"/>
      <c r="H83" s="1369"/>
      <c r="I83" s="1369"/>
      <c r="J83" s="1369"/>
      <c r="K83" s="1420"/>
      <c r="L83" s="1421"/>
      <c r="M83" s="1422"/>
      <c r="N83" s="1390"/>
      <c r="O83" s="1390"/>
      <c r="P83" s="1619"/>
      <c r="Q83" s="1314"/>
      <c r="R83" s="1209"/>
      <c r="S83" s="1209"/>
      <c r="T83" s="1209"/>
      <c r="U83" s="1209"/>
      <c r="V83" s="1209"/>
      <c r="W83" s="1209"/>
      <c r="X83" s="1209"/>
      <c r="Y83" s="1209"/>
      <c r="Z83" s="1209"/>
      <c r="AA83" s="1209"/>
      <c r="AB83" s="1209"/>
      <c r="AC83" s="1209"/>
    </row>
    <row r="84" spans="1:29" ht="15">
      <c r="A84" s="1341"/>
      <c r="B84" s="1346"/>
      <c r="C84" s="1347">
        <v>100</v>
      </c>
      <c r="D84" s="1347">
        <f t="shared" ref="D84:M84" si="19">C84-$K28</f>
        <v>98</v>
      </c>
      <c r="E84" s="1347">
        <f t="shared" si="19"/>
        <v>96</v>
      </c>
      <c r="F84" s="1347">
        <f t="shared" si="19"/>
        <v>94</v>
      </c>
      <c r="G84" s="1347">
        <f t="shared" si="19"/>
        <v>92</v>
      </c>
      <c r="H84" s="1347">
        <f t="shared" si="19"/>
        <v>90</v>
      </c>
      <c r="I84" s="1347">
        <f t="shared" si="19"/>
        <v>88</v>
      </c>
      <c r="J84" s="1347">
        <f t="shared" si="19"/>
        <v>86</v>
      </c>
      <c r="K84" s="1347">
        <f t="shared" si="19"/>
        <v>84</v>
      </c>
      <c r="L84" s="1347">
        <f t="shared" si="19"/>
        <v>82</v>
      </c>
      <c r="M84" s="1397">
        <f t="shared" si="19"/>
        <v>80</v>
      </c>
      <c r="N84" s="1393"/>
      <c r="O84" s="1393"/>
      <c r="P84" s="1619"/>
      <c r="Q84" s="1314"/>
      <c r="R84" s="1209"/>
      <c r="S84" s="1209"/>
      <c r="T84" s="1209"/>
      <c r="U84" s="1209"/>
      <c r="V84" s="1209"/>
      <c r="W84" s="1209"/>
      <c r="X84" s="1209"/>
      <c r="Y84" s="1209"/>
      <c r="Z84" s="1209"/>
      <c r="AA84" s="1209"/>
      <c r="AB84" s="1209"/>
      <c r="AC84" s="1209"/>
    </row>
    <row r="85" spans="1:29">
      <c r="A85" s="1375"/>
      <c r="B85" s="1344" t="s">
        <v>1443</v>
      </c>
      <c r="C85" s="1363" t="str">
        <f>C86&amp;"(含)"&amp;"-"&amp;D86</f>
        <v>0.5(含)-0.6</v>
      </c>
      <c r="D85" s="1363" t="str">
        <f>D86&amp;"(含)"&amp;"-"&amp;E86</f>
        <v>0.6(含)-0.7</v>
      </c>
      <c r="E85" s="1363" t="str">
        <f>E86&amp;"(含)"&amp;"-"&amp;F86</f>
        <v>0.7(含)-0.8</v>
      </c>
      <c r="F85" s="1363" t="str">
        <f>F86&amp;"(含)"&amp;"-"&amp;G86</f>
        <v>0.8(含)-0.9</v>
      </c>
      <c r="G85" s="1363" t="str">
        <f>G86&amp;"(含)"&amp;"-"&amp;ROUND(H86,0)&amp;"(含)"</f>
        <v>0.9(含)-1(含)</v>
      </c>
      <c r="H85" s="1363"/>
      <c r="I85" s="1369"/>
      <c r="J85" s="1369"/>
      <c r="K85" s="1420"/>
      <c r="L85" s="1421"/>
      <c r="M85" s="1422"/>
      <c r="N85" s="1390"/>
      <c r="O85" s="1390"/>
      <c r="P85" s="1619"/>
      <c r="Q85" s="1314"/>
      <c r="R85" s="1209"/>
      <c r="S85" s="1209"/>
      <c r="T85" s="1209"/>
      <c r="U85" s="1209"/>
      <c r="V85" s="1209"/>
      <c r="W85" s="1209"/>
      <c r="X85" s="1209"/>
      <c r="Y85" s="1209"/>
      <c r="Z85" s="1209"/>
      <c r="AA85" s="1209"/>
      <c r="AB85" s="1209"/>
      <c r="AC85" s="1209"/>
    </row>
    <row r="86" spans="1:29">
      <c r="A86" s="1375"/>
      <c r="B86" s="1348"/>
      <c r="C86" s="992">
        <v>0.5</v>
      </c>
      <c r="D86" s="992">
        <v>0.6</v>
      </c>
      <c r="E86" s="992">
        <v>0.7</v>
      </c>
      <c r="F86" s="992">
        <v>0.8</v>
      </c>
      <c r="G86" s="992">
        <v>0.9</v>
      </c>
      <c r="H86" s="992">
        <v>1.0001</v>
      </c>
      <c r="I86" s="1592"/>
      <c r="J86" s="1592"/>
      <c r="K86" s="1593"/>
      <c r="L86" s="1594"/>
      <c r="M86" s="1595"/>
      <c r="N86" s="1390"/>
      <c r="O86" s="1390"/>
      <c r="P86" s="1619"/>
      <c r="Q86" s="1314"/>
      <c r="R86" s="1209"/>
      <c r="S86" s="1209"/>
      <c r="T86" s="1209"/>
      <c r="U86" s="1209"/>
      <c r="V86" s="1209"/>
      <c r="W86" s="1209"/>
      <c r="X86" s="1209"/>
      <c r="Y86" s="1209"/>
      <c r="Z86" s="1209"/>
      <c r="AA86" s="1209"/>
      <c r="AB86" s="1209"/>
      <c r="AC86" s="1209"/>
    </row>
    <row r="87" spans="1:29" ht="15">
      <c r="A87" s="1341"/>
      <c r="B87" s="1346"/>
      <c r="C87" s="1365">
        <v>100</v>
      </c>
      <c r="D87" s="1347">
        <f>C87+$K$29</f>
        <v>102</v>
      </c>
      <c r="E87" s="1347">
        <f t="shared" ref="E87:M87" si="20">D87+$K$29</f>
        <v>104</v>
      </c>
      <c r="F87" s="1347">
        <f t="shared" si="20"/>
        <v>106</v>
      </c>
      <c r="G87" s="1347">
        <f t="shared" si="20"/>
        <v>108</v>
      </c>
      <c r="H87" s="1347">
        <f t="shared" si="20"/>
        <v>110</v>
      </c>
      <c r="I87" s="1347">
        <f t="shared" si="20"/>
        <v>112</v>
      </c>
      <c r="J87" s="1347">
        <f t="shared" si="20"/>
        <v>114</v>
      </c>
      <c r="K87" s="1347">
        <f t="shared" si="20"/>
        <v>116</v>
      </c>
      <c r="L87" s="1347">
        <f t="shared" si="20"/>
        <v>118</v>
      </c>
      <c r="M87" s="1347">
        <f t="shared" si="20"/>
        <v>120</v>
      </c>
      <c r="N87" s="1393"/>
      <c r="O87" s="1393"/>
      <c r="P87" s="1619"/>
      <c r="Q87" s="1314"/>
      <c r="R87" s="1209"/>
      <c r="S87" s="1209"/>
      <c r="T87" s="1209"/>
      <c r="U87" s="1209"/>
      <c r="V87" s="1209"/>
      <c r="W87" s="1209"/>
      <c r="X87" s="1209"/>
      <c r="Y87" s="1209"/>
      <c r="Z87" s="1209"/>
      <c r="AA87" s="1209"/>
      <c r="AB87" s="1209"/>
      <c r="AC87" s="1209"/>
    </row>
    <row r="88" spans="1:29">
      <c r="A88" s="1375"/>
      <c r="B88" s="1348" t="s">
        <v>1444</v>
      </c>
      <c r="C88" s="1282"/>
      <c r="D88" s="1282"/>
      <c r="E88" s="1282"/>
      <c r="F88" s="1282"/>
      <c r="G88" s="1282"/>
      <c r="H88" s="1282"/>
      <c r="I88" s="1282"/>
      <c r="J88" s="1282"/>
      <c r="K88" s="1387"/>
      <c r="L88" s="1388"/>
      <c r="M88" s="1389"/>
      <c r="N88" s="1390"/>
      <c r="O88" s="1390"/>
      <c r="P88" s="1619"/>
      <c r="Q88" s="1314"/>
      <c r="R88" s="1209"/>
      <c r="S88" s="1209"/>
      <c r="T88" s="1209"/>
      <c r="U88" s="1209"/>
      <c r="V88" s="1209"/>
      <c r="W88" s="1209"/>
      <c r="X88" s="1209"/>
      <c r="Y88" s="1209"/>
      <c r="Z88" s="1209"/>
      <c r="AA88" s="1209"/>
      <c r="AB88" s="1209"/>
      <c r="AC88" s="1209"/>
    </row>
    <row r="89" spans="1:29" ht="15">
      <c r="A89" s="1341"/>
      <c r="B89" s="1346"/>
      <c r="C89" s="1365">
        <v>100</v>
      </c>
      <c r="D89" s="1347">
        <f t="shared" ref="D89:M89" si="21">C89+$K30</f>
        <v>100</v>
      </c>
      <c r="E89" s="1347">
        <f t="shared" si="21"/>
        <v>100</v>
      </c>
      <c r="F89" s="1347">
        <f t="shared" si="21"/>
        <v>100</v>
      </c>
      <c r="G89" s="1347">
        <f t="shared" si="21"/>
        <v>100</v>
      </c>
      <c r="H89" s="1347">
        <f t="shared" si="21"/>
        <v>100</v>
      </c>
      <c r="I89" s="1347">
        <f t="shared" si="21"/>
        <v>100</v>
      </c>
      <c r="J89" s="1347">
        <f t="shared" si="21"/>
        <v>100</v>
      </c>
      <c r="K89" s="1347">
        <f t="shared" si="21"/>
        <v>100</v>
      </c>
      <c r="L89" s="1347">
        <f t="shared" si="21"/>
        <v>100</v>
      </c>
      <c r="M89" s="1347">
        <f t="shared" si="21"/>
        <v>100</v>
      </c>
      <c r="N89" s="1393"/>
      <c r="O89" s="1393"/>
      <c r="P89" s="1619"/>
      <c r="Q89" s="1314"/>
      <c r="R89" s="1209"/>
      <c r="S89" s="1209"/>
      <c r="T89" s="1209"/>
      <c r="U89" s="1209"/>
      <c r="V89" s="1209"/>
      <c r="W89" s="1209"/>
      <c r="X89" s="1209"/>
      <c r="Y89" s="1209"/>
      <c r="Z89" s="1209"/>
      <c r="AA89" s="1209"/>
      <c r="AB89" s="1209"/>
      <c r="AC89" s="1209"/>
    </row>
    <row r="90" spans="1:29" s="1095" customFormat="1">
      <c r="A90" s="1372"/>
      <c r="B90" s="1344" t="s">
        <v>1445</v>
      </c>
      <c r="C90" s="1363" t="str">
        <f>C91&amp;"(含)"&amp;"-"&amp;D91</f>
        <v>0(含)-</v>
      </c>
      <c r="D90" s="1363" t="str">
        <f t="shared" ref="D90:L90" si="22">D91&amp;"(含)"&amp;"-"&amp;E91</f>
        <v>(含)-</v>
      </c>
      <c r="E90" s="1363" t="str">
        <f t="shared" si="22"/>
        <v>(含)-</v>
      </c>
      <c r="F90" s="1363" t="str">
        <f t="shared" si="22"/>
        <v>(含)-</v>
      </c>
      <c r="G90" s="1363" t="str">
        <f t="shared" si="22"/>
        <v>(含)-</v>
      </c>
      <c r="H90" s="1363" t="str">
        <f t="shared" si="22"/>
        <v>(含)-</v>
      </c>
      <c r="I90" s="1363" t="str">
        <f t="shared" si="22"/>
        <v>(含)-</v>
      </c>
      <c r="J90" s="1363" t="str">
        <f t="shared" si="22"/>
        <v>(含)-</v>
      </c>
      <c r="K90" s="1363" t="str">
        <f t="shared" si="22"/>
        <v>(含)-</v>
      </c>
      <c r="L90" s="1363" t="str">
        <f t="shared" si="22"/>
        <v>(含)-</v>
      </c>
      <c r="M90" s="1415" t="str">
        <f>M91&amp;"(含)"&amp;"-"&amp;P91</f>
        <v>(含)-</v>
      </c>
      <c r="N90" s="1403"/>
      <c r="O90" s="1403"/>
      <c r="P90" s="1627"/>
      <c r="Q90" s="1435"/>
      <c r="R90" s="1436"/>
      <c r="S90" s="1436"/>
      <c r="T90" s="1436"/>
      <c r="U90" s="1436"/>
      <c r="V90" s="1436"/>
      <c r="W90" s="1436"/>
      <c r="X90" s="1436"/>
      <c r="Y90" s="1436"/>
      <c r="Z90" s="1436"/>
      <c r="AA90" s="1436"/>
      <c r="AB90" s="1436"/>
      <c r="AC90" s="1436"/>
    </row>
    <row r="91" spans="1:29" s="1095" customFormat="1">
      <c r="A91" s="1372"/>
      <c r="B91" s="1348"/>
      <c r="C91" s="1328">
        <v>0</v>
      </c>
      <c r="D91" s="1328"/>
      <c r="E91" s="1328"/>
      <c r="F91" s="1328"/>
      <c r="G91" s="1328"/>
      <c r="H91" s="1328"/>
      <c r="I91" s="1328"/>
      <c r="J91" s="1427"/>
      <c r="K91" s="1427"/>
      <c r="L91" s="1428"/>
      <c r="M91" s="1429"/>
      <c r="N91" s="1403"/>
      <c r="O91" s="1403"/>
      <c r="P91" s="1627"/>
      <c r="Q91" s="1435"/>
      <c r="R91" s="1436"/>
      <c r="S91" s="1436"/>
      <c r="T91" s="1436"/>
      <c r="U91" s="1436"/>
      <c r="V91" s="1436"/>
      <c r="W91" s="1436"/>
      <c r="X91" s="1436"/>
      <c r="Y91" s="1436"/>
      <c r="Z91" s="1436"/>
      <c r="AA91" s="1436"/>
      <c r="AB91" s="1436"/>
      <c r="AC91" s="1436"/>
    </row>
    <row r="92" spans="1:29" s="1095" customFormat="1" ht="15">
      <c r="A92" s="1351"/>
      <c r="B92" s="1346"/>
      <c r="C92" s="1354"/>
      <c r="D92" s="1343"/>
      <c r="E92" s="1343"/>
      <c r="F92" s="1343"/>
      <c r="G92" s="1343"/>
      <c r="H92" s="1343"/>
      <c r="I92" s="1343"/>
      <c r="J92" s="1343"/>
      <c r="K92" s="1343"/>
      <c r="L92" s="1343"/>
      <c r="M92" s="1392"/>
      <c r="N92" s="1403"/>
      <c r="O92" s="1403"/>
      <c r="P92" s="1627"/>
      <c r="Q92" s="1435"/>
      <c r="R92" s="1436"/>
      <c r="S92" s="1436"/>
      <c r="T92" s="1436"/>
      <c r="U92" s="1436"/>
      <c r="V92" s="1436"/>
      <c r="W92" s="1436"/>
      <c r="X92" s="1436"/>
      <c r="Y92" s="1436"/>
      <c r="Z92" s="1436"/>
      <c r="AA92" s="1436"/>
      <c r="AB92" s="1436"/>
      <c r="AC92" s="1436"/>
    </row>
    <row r="93" spans="1:29">
      <c r="A93" s="1375"/>
      <c r="B93" s="1344" t="s">
        <v>1446</v>
      </c>
      <c r="C93" s="2375" t="s">
        <v>1447</v>
      </c>
      <c r="D93" s="1352"/>
      <c r="E93" s="1369"/>
      <c r="F93" s="1369"/>
      <c r="G93" s="1369"/>
      <c r="H93" s="1369"/>
      <c r="I93" s="1369"/>
      <c r="J93" s="1369"/>
      <c r="K93" s="1420"/>
      <c r="L93" s="1421"/>
      <c r="M93" s="1422"/>
      <c r="N93" s="1390"/>
      <c r="O93" s="1390"/>
      <c r="P93" s="1619"/>
      <c r="Q93" s="1314"/>
      <c r="R93" s="1209"/>
      <c r="S93" s="1209"/>
      <c r="T93" s="1209"/>
      <c r="U93" s="1209"/>
      <c r="V93" s="1209"/>
      <c r="W93" s="1209"/>
      <c r="X93" s="1209"/>
      <c r="Y93" s="1209"/>
      <c r="Z93" s="1209"/>
      <c r="AA93" s="1209"/>
      <c r="AB93" s="1209"/>
      <c r="AC93" s="1209"/>
    </row>
    <row r="94" spans="1:29" ht="15">
      <c r="A94" s="1341"/>
      <c r="B94" s="1346"/>
      <c r="C94" s="1347">
        <v>100</v>
      </c>
      <c r="D94" s="1347">
        <f t="shared" ref="D94:M94" si="23">C94-$K32</f>
        <v>98</v>
      </c>
      <c r="E94" s="1347">
        <f t="shared" si="23"/>
        <v>96</v>
      </c>
      <c r="F94" s="1347">
        <f t="shared" si="23"/>
        <v>94</v>
      </c>
      <c r="G94" s="1347">
        <f t="shared" si="23"/>
        <v>92</v>
      </c>
      <c r="H94" s="1347">
        <f t="shared" si="23"/>
        <v>90</v>
      </c>
      <c r="I94" s="1347">
        <f t="shared" si="23"/>
        <v>88</v>
      </c>
      <c r="J94" s="1347">
        <f t="shared" si="23"/>
        <v>86</v>
      </c>
      <c r="K94" s="1347">
        <f t="shared" si="23"/>
        <v>84</v>
      </c>
      <c r="L94" s="1347">
        <f t="shared" si="23"/>
        <v>82</v>
      </c>
      <c r="M94" s="1397">
        <f t="shared" si="23"/>
        <v>80</v>
      </c>
      <c r="N94" s="1393"/>
      <c r="O94" s="1393"/>
      <c r="P94" s="1619"/>
      <c r="Q94" s="1314"/>
      <c r="R94" s="1209"/>
      <c r="S94" s="1209"/>
      <c r="T94" s="1209"/>
      <c r="U94" s="1209"/>
      <c r="V94" s="1209"/>
      <c r="W94" s="1209"/>
      <c r="X94" s="1209"/>
      <c r="Y94" s="1209"/>
      <c r="Z94" s="1209"/>
      <c r="AA94" s="1209"/>
      <c r="AB94" s="1209"/>
      <c r="AC94" s="1209"/>
    </row>
    <row r="95" spans="1:29">
      <c r="A95" s="1375"/>
      <c r="B95" s="1344" t="s">
        <v>1448</v>
      </c>
      <c r="C95" s="1282"/>
      <c r="D95" s="1282"/>
      <c r="E95" s="1282"/>
      <c r="F95" s="1282"/>
      <c r="G95" s="1282"/>
      <c r="H95" s="1282"/>
      <c r="I95" s="1282"/>
      <c r="J95" s="1282"/>
      <c r="K95" s="1387"/>
      <c r="L95" s="1388"/>
      <c r="M95" s="1389"/>
      <c r="N95" s="1390"/>
      <c r="O95" s="1390"/>
      <c r="P95" s="1619"/>
      <c r="Q95" s="1314"/>
      <c r="R95" s="1209"/>
      <c r="S95" s="1209"/>
      <c r="T95" s="1209"/>
      <c r="U95" s="1209"/>
      <c r="V95" s="1209"/>
      <c r="W95" s="1209"/>
      <c r="X95" s="1209"/>
      <c r="Y95" s="1209"/>
      <c r="Z95" s="1209"/>
      <c r="AA95" s="1209"/>
      <c r="AB95" s="1209"/>
      <c r="AC95" s="1209"/>
    </row>
    <row r="96" spans="1:29" ht="15">
      <c r="A96" s="1341"/>
      <c r="B96" s="1346"/>
      <c r="C96" s="1347">
        <v>100</v>
      </c>
      <c r="D96" s="1347">
        <f>C96-$K33</f>
        <v>100</v>
      </c>
      <c r="E96" s="1347">
        <f>D96-$K33</f>
        <v>100</v>
      </c>
      <c r="F96" s="1347">
        <f>E96-$K33</f>
        <v>100</v>
      </c>
      <c r="G96" s="1347">
        <f>F96-$K33</f>
        <v>100</v>
      </c>
      <c r="H96" s="1347"/>
      <c r="I96" s="1347"/>
      <c r="J96" s="1347"/>
      <c r="K96" s="1347"/>
      <c r="L96" s="1347"/>
      <c r="M96" s="1397"/>
      <c r="N96" s="1393"/>
      <c r="O96" s="1393"/>
      <c r="P96" s="1619"/>
      <c r="Q96" s="1314"/>
      <c r="R96" s="1209"/>
      <c r="S96" s="1209"/>
      <c r="T96" s="1209"/>
      <c r="U96" s="1209"/>
      <c r="V96" s="1209"/>
      <c r="W96" s="1209"/>
      <c r="X96" s="1209"/>
      <c r="Y96" s="1209"/>
      <c r="Z96" s="1209"/>
      <c r="AA96" s="1209"/>
      <c r="AB96" s="1209"/>
      <c r="AC96" s="1209"/>
    </row>
    <row r="97" spans="1:29">
      <c r="A97" s="1375"/>
      <c r="B97" s="1539">
        <f>B34</f>
        <v>111</v>
      </c>
      <c r="C97" s="1140"/>
      <c r="D97" s="1140"/>
      <c r="E97" s="1140"/>
      <c r="F97" s="1140"/>
      <c r="G97" s="1352"/>
      <c r="H97" s="1353"/>
      <c r="I97" s="1353"/>
      <c r="J97" s="1353"/>
      <c r="K97" s="1353"/>
      <c r="L97" s="1401"/>
      <c r="M97" s="1402"/>
      <c r="N97" s="1393"/>
      <c r="O97" s="1393"/>
      <c r="P97" s="1633"/>
      <c r="Q97" s="1550"/>
      <c r="R97" s="1209"/>
      <c r="S97" s="1209"/>
      <c r="T97" s="1209"/>
      <c r="U97" s="1209"/>
      <c r="V97" s="1209"/>
      <c r="W97" s="1209"/>
      <c r="X97" s="1209"/>
      <c r="Y97" s="1209"/>
      <c r="Z97" s="1209"/>
      <c r="AA97" s="1209"/>
      <c r="AB97" s="1209"/>
      <c r="AC97" s="1209"/>
    </row>
    <row r="98" spans="1:29" ht="15">
      <c r="A98" s="1341"/>
      <c r="B98" s="1346"/>
      <c r="C98" s="1354"/>
      <c r="D98" s="1343"/>
      <c r="E98" s="1343"/>
      <c r="F98" s="1343"/>
      <c r="G98" s="1354"/>
      <c r="H98" s="1355"/>
      <c r="I98" s="1355"/>
      <c r="J98" s="1355"/>
      <c r="K98" s="1355"/>
      <c r="L98" s="1355"/>
      <c r="M98" s="1405"/>
      <c r="N98" s="1393"/>
      <c r="O98" s="1393"/>
      <c r="P98" s="1619"/>
      <c r="Q98" s="1314"/>
      <c r="R98" s="1209"/>
      <c r="S98" s="1209"/>
      <c r="T98" s="1209"/>
      <c r="U98" s="1209"/>
      <c r="V98" s="1209"/>
      <c r="W98" s="1209"/>
      <c r="X98" s="1209"/>
      <c r="Y98" s="1209"/>
      <c r="Z98" s="1209"/>
      <c r="AA98" s="1209"/>
      <c r="AB98" s="1209"/>
      <c r="AC98" s="1209"/>
    </row>
    <row r="99" spans="1:29" s="1095" customFormat="1">
      <c r="A99" s="1372"/>
      <c r="B99" s="1344">
        <f>B35</f>
        <v>111</v>
      </c>
      <c r="C99" s="1140"/>
      <c r="D99" s="1140"/>
      <c r="E99" s="1140"/>
      <c r="F99" s="1140"/>
      <c r="G99" s="1352"/>
      <c r="H99" s="1353"/>
      <c r="I99" s="1353"/>
      <c r="J99" s="1353"/>
      <c r="K99" s="1353"/>
      <c r="L99" s="1401"/>
      <c r="M99" s="1402"/>
      <c r="N99" s="1403"/>
      <c r="O99" s="1403"/>
      <c r="P99" s="1627"/>
      <c r="Q99" s="1435"/>
      <c r="R99" s="1436"/>
      <c r="S99" s="1436"/>
      <c r="T99" s="1436"/>
      <c r="U99" s="1436"/>
      <c r="V99" s="1436"/>
      <c r="W99" s="1436"/>
      <c r="X99" s="1436"/>
      <c r="Y99" s="1436"/>
      <c r="Z99" s="1436"/>
      <c r="AA99" s="1436"/>
      <c r="AB99" s="1436"/>
      <c r="AC99" s="1436"/>
    </row>
    <row r="100" spans="1:29" s="1095" customFormat="1" ht="15">
      <c r="A100" s="1351"/>
      <c r="B100" s="1342"/>
      <c r="C100" s="1354"/>
      <c r="D100" s="1343"/>
      <c r="E100" s="1343"/>
      <c r="F100" s="1343"/>
      <c r="G100" s="1354"/>
      <c r="H100" s="1355"/>
      <c r="I100" s="1355"/>
      <c r="J100" s="1355"/>
      <c r="K100" s="1355"/>
      <c r="L100" s="1355"/>
      <c r="M100" s="1405"/>
      <c r="N100" s="1403"/>
      <c r="O100" s="1403"/>
      <c r="P100" s="1627"/>
      <c r="Q100" s="1435"/>
      <c r="R100" s="1436"/>
      <c r="S100" s="1436"/>
      <c r="T100" s="1436"/>
      <c r="U100" s="1436"/>
      <c r="V100" s="1436"/>
      <c r="W100" s="1436"/>
      <c r="X100" s="1436"/>
      <c r="Y100" s="1436"/>
      <c r="Z100" s="1436"/>
      <c r="AA100" s="1436"/>
      <c r="AB100" s="1436"/>
      <c r="AC100" s="1436"/>
    </row>
    <row r="101" spans="1:29">
      <c r="A101" s="1375"/>
      <c r="B101" s="1344">
        <f>B36</f>
        <v>111</v>
      </c>
      <c r="C101" s="1352"/>
      <c r="D101" s="1352"/>
      <c r="E101" s="1352"/>
      <c r="F101" s="1352"/>
      <c r="G101" s="1352"/>
      <c r="H101" s="1353"/>
      <c r="I101" s="1353"/>
      <c r="J101" s="1353"/>
      <c r="K101" s="1353"/>
      <c r="L101" s="1401"/>
      <c r="M101" s="1402"/>
      <c r="N101" s="1390"/>
      <c r="O101" s="1390"/>
      <c r="P101" s="1619"/>
      <c r="Q101" s="1314"/>
      <c r="R101" s="1209"/>
      <c r="S101" s="1209"/>
      <c r="T101" s="1209"/>
      <c r="U101" s="1209"/>
      <c r="V101" s="1209"/>
      <c r="W101" s="1209"/>
      <c r="X101" s="1209"/>
      <c r="Y101" s="1209"/>
      <c r="Z101" s="1209"/>
      <c r="AA101" s="1209"/>
      <c r="AB101" s="1209"/>
      <c r="AC101" s="1209"/>
    </row>
    <row r="102" spans="1:29" ht="15">
      <c r="A102" s="1341"/>
      <c r="B102" s="1346"/>
      <c r="C102" s="1354"/>
      <c r="D102" s="1354"/>
      <c r="E102" s="1354"/>
      <c r="F102" s="1354"/>
      <c r="G102" s="1354"/>
      <c r="H102" s="1355"/>
      <c r="I102" s="1355"/>
      <c r="J102" s="1355"/>
      <c r="K102" s="1355"/>
      <c r="L102" s="1355"/>
      <c r="M102" s="1405"/>
      <c r="N102" s="1393"/>
      <c r="O102" s="1393"/>
      <c r="P102" s="1619"/>
      <c r="Q102" s="1314"/>
      <c r="R102" s="1209"/>
      <c r="S102" s="1209"/>
      <c r="T102" s="1209"/>
      <c r="U102" s="1209"/>
      <c r="V102" s="1209"/>
      <c r="W102" s="1209"/>
      <c r="X102" s="1209"/>
      <c r="Y102" s="1209"/>
      <c r="Z102" s="1209"/>
      <c r="AA102" s="1209"/>
      <c r="AB102" s="1209"/>
      <c r="AC102" s="1209"/>
    </row>
    <row r="103" spans="1:29">
      <c r="N103" s="1209"/>
      <c r="O103" s="1209"/>
      <c r="P103" s="1613"/>
      <c r="Q103" s="1209"/>
      <c r="R103" s="1209"/>
      <c r="S103" s="1209"/>
      <c r="T103" s="1209"/>
      <c r="U103" s="1209"/>
      <c r="V103" s="1209"/>
      <c r="W103" s="1209"/>
      <c r="X103" s="1209"/>
      <c r="Y103" s="1209"/>
      <c r="Z103" s="1209"/>
      <c r="AA103" s="1209"/>
      <c r="AB103" s="1209"/>
      <c r="AC103" s="1209"/>
    </row>
  </sheetData>
  <sheetProtection algorithmName="SHA-512" hashValue="kxVtfKXZxS4uI5cCSjiaUM92LrYPgpZsFyID0IY5bFnFLDnkLudkEkOYehLhIizk2ONEhjx2jy4aBpXRQ1mm4A==" saltValue="Y5SmM72X1YlVn56B1ItVPA==" spinCount="100000" sheet="1" object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169" priority="4">
      <formula>$D$38="简单平均"</formula>
    </cfRule>
  </conditionalFormatting>
  <conditionalFormatting sqref="H38">
    <cfRule type="expression" dxfId="168" priority="3">
      <formula>$D$38="简单平均"</formula>
    </cfRule>
  </conditionalFormatting>
  <conditionalFormatting sqref="J38">
    <cfRule type="expression" dxfId="167" priority="2">
      <formula>$D$38="简单平均"</formula>
    </cfRule>
  </conditionalFormatting>
  <conditionalFormatting sqref="E42">
    <cfRule type="expression" dxfId="166" priority="13" stopIfTrue="1">
      <formula>$F$42="超过30%"</formula>
    </cfRule>
  </conditionalFormatting>
  <conditionalFormatting sqref="G42">
    <cfRule type="expression" dxfId="165" priority="9" stopIfTrue="1">
      <formula>$H$52+$H$42="超过30%"</formula>
    </cfRule>
  </conditionalFormatting>
  <conditionalFormatting sqref="I42">
    <cfRule type="expression" dxfId="164" priority="7" stopIfTrue="1">
      <formula>$J$52+$J$42="超过30%"</formula>
    </cfRule>
  </conditionalFormatting>
  <conditionalFormatting sqref="E43">
    <cfRule type="expression" dxfId="163" priority="11" stopIfTrue="1">
      <formula>$F$43="超过20%"</formula>
    </cfRule>
  </conditionalFormatting>
  <conditionalFormatting sqref="G43">
    <cfRule type="expression" dxfId="162" priority="8" stopIfTrue="1">
      <formula>$H$43="超过20%"</formula>
    </cfRule>
  </conditionalFormatting>
  <conditionalFormatting sqref="I43">
    <cfRule type="expression" dxfId="161" priority="6" stopIfTrue="1">
      <formula>$J$53+$J$43="超过20%"</formula>
    </cfRule>
  </conditionalFormatting>
  <conditionalFormatting sqref="E44">
    <cfRule type="expression" dxfId="160" priority="10" stopIfTrue="1">
      <formula>$F$44="超过30%"</formula>
    </cfRule>
  </conditionalFormatting>
  <conditionalFormatting sqref="F44">
    <cfRule type="containsText" dxfId="159" priority="15" stopIfTrue="1" operator="containsText" text="超过">
      <formula>NOT(ISERROR(SEARCH("超过",F44)))</formula>
    </cfRule>
  </conditionalFormatting>
  <conditionalFormatting sqref="G44">
    <cfRule type="expression" dxfId="158" priority="12" stopIfTrue="1">
      <formula>$H$54+$H$44="超过30%"</formula>
    </cfRule>
  </conditionalFormatting>
  <conditionalFormatting sqref="H44">
    <cfRule type="containsText" dxfId="157" priority="16" stopIfTrue="1" operator="containsText" text="超过">
      <formula>NOT(ISERROR(SEARCH("超过",H44)))</formula>
    </cfRule>
  </conditionalFormatting>
  <conditionalFormatting sqref="I44">
    <cfRule type="expression" dxfId="156" priority="5" stopIfTrue="1">
      <formula>$J$44="超过30%"</formula>
    </cfRule>
  </conditionalFormatting>
  <conditionalFormatting sqref="J44">
    <cfRule type="containsText" dxfId="155" priority="17" stopIfTrue="1" operator="containsText" text="超过">
      <formula>NOT(ISERROR(SEARCH("超过",J44)))</formula>
    </cfRule>
  </conditionalFormatting>
  <conditionalFormatting sqref="F7:F36 H7:H36 J7:J36">
    <cfRule type="cellIs" dxfId="154" priority="1" operator="notEqual">
      <formula>100</formula>
    </cfRule>
  </conditionalFormatting>
  <conditionalFormatting sqref="F42 H42 J42">
    <cfRule type="containsText" dxfId="153" priority="18" stopIfTrue="1" operator="containsText" text="超过">
      <formula>NOT(ISERROR(SEARCH("超过",F42)))</formula>
    </cfRule>
  </conditionalFormatting>
  <conditionalFormatting sqref="F43 H43 J43">
    <cfRule type="containsText" dxfId="15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378" customWidth="1"/>
    <col min="2" max="2" width="20.625" style="557" customWidth="1"/>
    <col min="3" max="3" width="11.875" style="557"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41" customWidth="1"/>
    <col min="12" max="12" width="16.375" style="378" customWidth="1"/>
    <col min="13" max="13" width="13" style="378"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378"/>
  </cols>
  <sheetData>
    <row r="1" spans="1:37" s="1939" customFormat="1" ht="21">
      <c r="A1" s="1942" t="s">
        <v>1477</v>
      </c>
      <c r="B1" s="1317"/>
      <c r="C1" s="1943" t="s">
        <v>648</v>
      </c>
      <c r="D1" s="1944" t="s">
        <v>124</v>
      </c>
      <c r="E1" s="1945" t="s">
        <v>1478</v>
      </c>
      <c r="F1" s="1946">
        <f ca="1">J53</f>
        <v>36.369999999999997</v>
      </c>
      <c r="G1" s="1947">
        <f>MATCH(C1,'数据-取费表'!A6:A16,0)+5</f>
        <v>6</v>
      </c>
      <c r="H1" s="1948"/>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spans="1:37" ht="18" customHeight="1">
      <c r="A2" s="1775" t="s">
        <v>1479</v>
      </c>
      <c r="B2" s="2329">
        <f ca="1">ROUND(D2/10000,4)</f>
        <v>4.9730999999999996</v>
      </c>
      <c r="C2" s="1950" t="s">
        <v>1480</v>
      </c>
      <c r="D2" s="2330">
        <f ca="1">C40+J29+L46</f>
        <v>49731</v>
      </c>
      <c r="E2" s="1951" t="s">
        <v>1481</v>
      </c>
      <c r="F2" s="1952"/>
      <c r="G2" s="1953"/>
      <c r="H2" s="1954"/>
      <c r="I2" s="1954"/>
      <c r="J2" s="1954"/>
      <c r="K2" s="2113"/>
      <c r="L2" s="1954"/>
      <c r="M2" s="1954"/>
    </row>
    <row r="3" spans="1:37" ht="18" customHeight="1">
      <c r="A3" s="1955" t="s">
        <v>1482</v>
      </c>
      <c r="B3" s="1956">
        <f ca="1">IF(ISERROR(D2/F43),0,ROUND(D2/F43,0))</f>
        <v>1625</v>
      </c>
      <c r="C3" s="1950" t="s">
        <v>1483</v>
      </c>
      <c r="D3" s="1950"/>
      <c r="E3" s="1951"/>
      <c r="F3" s="1952"/>
      <c r="G3" s="1953"/>
      <c r="H3" s="1957" t="s">
        <v>1484</v>
      </c>
      <c r="I3" s="2114"/>
      <c r="J3" s="2114"/>
      <c r="K3" s="2115"/>
      <c r="L3" s="2114"/>
      <c r="M3" s="2114"/>
    </row>
    <row r="4" spans="1:37" ht="18" customHeight="1">
      <c r="A4" s="1958" t="s">
        <v>1485</v>
      </c>
      <c r="B4" s="1959" t="s">
        <v>1486</v>
      </c>
      <c r="C4" s="1959" t="s">
        <v>1487</v>
      </c>
      <c r="D4" s="1959" t="s">
        <v>1488</v>
      </c>
      <c r="E4" s="1960" t="s">
        <v>1489</v>
      </c>
      <c r="F4" s="1961"/>
      <c r="G4" s="912"/>
      <c r="H4" s="1958" t="s">
        <v>1485</v>
      </c>
      <c r="I4" s="1959" t="s">
        <v>1486</v>
      </c>
      <c r="J4" s="1959" t="s">
        <v>1487</v>
      </c>
      <c r="K4" s="1959" t="s">
        <v>1488</v>
      </c>
      <c r="L4" s="1960" t="s">
        <v>1489</v>
      </c>
      <c r="M4" s="1961"/>
    </row>
    <row r="5" spans="1:37" ht="18" customHeight="1">
      <c r="A5" s="1962">
        <v>1</v>
      </c>
      <c r="B5" s="1963" t="s">
        <v>1490</v>
      </c>
      <c r="C5" s="1964">
        <f ca="1">C6+C10+C12</f>
        <v>3240</v>
      </c>
      <c r="D5" s="1965" t="s">
        <v>1491</v>
      </c>
      <c r="E5" s="1966"/>
      <c r="F5" s="1967"/>
      <c r="G5" s="912"/>
      <c r="H5" s="1962">
        <v>1</v>
      </c>
      <c r="I5" s="1963" t="s">
        <v>1490</v>
      </c>
      <c r="J5" s="1964">
        <f ca="1">J6+J10+J12</f>
        <v>0</v>
      </c>
      <c r="K5" s="1965" t="s">
        <v>1491</v>
      </c>
      <c r="L5" s="1966"/>
      <c r="M5" s="1967"/>
    </row>
    <row r="6" spans="1:37" ht="18" customHeight="1">
      <c r="A6" s="1968" t="s">
        <v>1298</v>
      </c>
      <c r="B6" s="3722" t="s">
        <v>1492</v>
      </c>
      <c r="C6" s="1969">
        <f ca="1">ROUND(F6*F8*F7*(1-F9),0)</f>
        <v>3240</v>
      </c>
      <c r="D6" s="1970" t="s">
        <v>1493</v>
      </c>
      <c r="E6" s="1971" t="s">
        <v>1494</v>
      </c>
      <c r="F6" s="1972">
        <f ca="1">INDIRECT("'数据-取费表'!u"&amp;$G$1)</f>
        <v>300</v>
      </c>
      <c r="G6" s="912"/>
      <c r="H6" s="1968" t="s">
        <v>1298</v>
      </c>
      <c r="I6" s="3722" t="s">
        <v>1492</v>
      </c>
      <c r="J6" s="2043">
        <f ca="1">ROUND(M6*M8*M7*(1-M9),0)</f>
        <v>0</v>
      </c>
      <c r="K6" s="2336" t="s">
        <v>1495</v>
      </c>
      <c r="L6" s="1971" t="s">
        <v>1494</v>
      </c>
      <c r="M6" s="1972">
        <f ca="1">INDIRECT("'数据-取费表'!z"&amp;$G$1)</f>
        <v>0</v>
      </c>
    </row>
    <row r="7" spans="1:37" ht="18" customHeight="1">
      <c r="A7" s="1973"/>
      <c r="B7" s="3723"/>
      <c r="C7" s="1974"/>
      <c r="D7" s="1975"/>
      <c r="E7" s="1976" t="s">
        <v>1496</v>
      </c>
      <c r="F7" s="1972">
        <f ca="1">IF(INDIRECT("'数据-取费表'!ah"&amp;$G$1)="",INDIRECT("'数据-取费表'!k"&amp;$G$1),INDIRECT("'数据-取费表'!ah"&amp;$G$1))</f>
        <v>1</v>
      </c>
      <c r="G7" s="912"/>
      <c r="H7" s="1977"/>
      <c r="I7" s="3723"/>
      <c r="J7" s="1978"/>
      <c r="K7" s="1975"/>
      <c r="L7" s="1971" t="s">
        <v>1496</v>
      </c>
      <c r="M7" s="1972">
        <f ca="1">F7</f>
        <v>1</v>
      </c>
    </row>
    <row r="8" spans="1:37" ht="18" customHeight="1">
      <c r="A8" s="1977"/>
      <c r="B8" s="3723"/>
      <c r="C8" s="1978"/>
      <c r="D8" s="1975"/>
      <c r="E8" s="1971" t="s">
        <v>1497</v>
      </c>
      <c r="F8" s="1972">
        <f ca="1">INDIRECT("'数据-取费表'!ai"&amp;$G$1)</f>
        <v>12</v>
      </c>
      <c r="G8" s="912"/>
      <c r="H8" s="1977"/>
      <c r="I8" s="3723"/>
      <c r="J8" s="1978"/>
      <c r="K8" s="1975"/>
      <c r="L8" s="1971" t="s">
        <v>1497</v>
      </c>
      <c r="M8" s="1972">
        <f ca="1">INDIRECT("'数据-取费表'!ai"&amp;$G$1)</f>
        <v>12</v>
      </c>
    </row>
    <row r="9" spans="1:37" ht="18" customHeight="1">
      <c r="A9" s="1977"/>
      <c r="B9" s="3724"/>
      <c r="C9" s="1978"/>
      <c r="D9" s="1975"/>
      <c r="E9" s="1971" t="s">
        <v>1498</v>
      </c>
      <c r="F9" s="1979">
        <f ca="1">INDIRECT("'数据-取费表'!w"&amp;$G$1)</f>
        <v>0.1</v>
      </c>
      <c r="G9" s="912"/>
      <c r="H9" s="1977"/>
      <c r="I9" s="3724"/>
      <c r="J9" s="1978"/>
      <c r="K9" s="1975"/>
      <c r="L9" s="1982" t="s">
        <v>1498</v>
      </c>
      <c r="M9" s="1987">
        <f ca="1">INDIRECT("'数据-取费表'!ab"&amp;$G$1)</f>
        <v>0</v>
      </c>
    </row>
    <row r="10" spans="1:37" ht="18" customHeight="1">
      <c r="A10" s="1968" t="s">
        <v>1302</v>
      </c>
      <c r="B10" s="1980" t="s">
        <v>1499</v>
      </c>
      <c r="C10" s="620">
        <f ca="1">ROUND(IF(F10="押一",C6/12*F11,IF(F10="押二",C6/12*2*F11,IF(F10="押三",C6/12*3*F11,C11*F11))),0)</f>
        <v>0</v>
      </c>
      <c r="D10" s="1981" t="s">
        <v>1500</v>
      </c>
      <c r="E10" s="1982" t="s">
        <v>1501</v>
      </c>
      <c r="F10" s="1983" t="s">
        <v>1502</v>
      </c>
      <c r="G10" s="912"/>
      <c r="H10" s="1968" t="s">
        <v>1302</v>
      </c>
      <c r="I10" s="1980" t="s">
        <v>1499</v>
      </c>
      <c r="J10" s="2043">
        <f ca="1">ROUND(IF(M10="押一",J6/12*M11,IF(M10="押二",J6/12*2*M11,IF(M10="押三",J6/12*3*M11,J11*M11))),0)</f>
        <v>0</v>
      </c>
      <c r="K10" s="2337" t="s">
        <v>1503</v>
      </c>
      <c r="L10" s="1982" t="s">
        <v>1501</v>
      </c>
      <c r="M10" s="1983"/>
    </row>
    <row r="11" spans="1:37" ht="18" customHeight="1">
      <c r="A11" s="1984"/>
      <c r="B11" s="1985" t="s">
        <v>1504</v>
      </c>
      <c r="C11" s="689"/>
      <c r="D11" s="1975"/>
      <c r="E11" s="1982" t="s">
        <v>1505</v>
      </c>
      <c r="F11" s="1987">
        <f ca="1">'数据-取费表'!B39</f>
        <v>1.4999999999999999E-2</v>
      </c>
      <c r="G11" s="912"/>
      <c r="H11" s="1988"/>
      <c r="I11" s="1985" t="s">
        <v>1506</v>
      </c>
      <c r="J11" s="689"/>
      <c r="K11" s="2116"/>
      <c r="L11" s="1982" t="s">
        <v>1505</v>
      </c>
      <c r="M11" s="2117">
        <f ca="1">'数据-取费表'!B39</f>
        <v>1.4999999999999999E-2</v>
      </c>
    </row>
    <row r="12" spans="1:37" ht="18" customHeight="1">
      <c r="A12" s="1989" t="s">
        <v>1347</v>
      </c>
      <c r="B12" s="1990" t="s">
        <v>1507</v>
      </c>
      <c r="C12" s="1991"/>
      <c r="D12" s="1992"/>
      <c r="E12" s="1993"/>
      <c r="F12" s="1994"/>
      <c r="G12" s="912"/>
      <c r="H12" s="1989" t="s">
        <v>1347</v>
      </c>
      <c r="I12" s="1990" t="s">
        <v>1507</v>
      </c>
      <c r="J12" s="1991"/>
      <c r="K12" s="2118"/>
      <c r="L12" s="1993"/>
      <c r="M12" s="2119"/>
    </row>
    <row r="13" spans="1:37" ht="18" customHeight="1">
      <c r="A13" s="1995">
        <v>2</v>
      </c>
      <c r="B13" s="1996" t="s">
        <v>1508</v>
      </c>
      <c r="C13" s="1997">
        <f ca="1">ROUND(C29*F13,0)</f>
        <v>133075</v>
      </c>
      <c r="D13" s="1998" t="s">
        <v>1509</v>
      </c>
      <c r="E13" s="1998" t="s">
        <v>1510</v>
      </c>
      <c r="F13" s="1999">
        <f ca="1">INDIRECT("'数据-取费表'!y"&amp;$G$1)</f>
        <v>0.81499999999999995</v>
      </c>
      <c r="G13" s="912"/>
      <c r="H13" s="1995">
        <v>2</v>
      </c>
      <c r="I13" s="1996" t="s">
        <v>1508</v>
      </c>
      <c r="J13" s="2120">
        <f ca="1">ROUND(J14*J15,0)</f>
        <v>0</v>
      </c>
      <c r="K13" s="2021" t="s">
        <v>1509</v>
      </c>
      <c r="L13" s="2121"/>
      <c r="M13" s="2122"/>
    </row>
    <row r="14" spans="1:37" ht="18" customHeight="1">
      <c r="A14" s="2000" t="s">
        <v>1321</v>
      </c>
      <c r="B14" s="1971" t="s">
        <v>1511</v>
      </c>
      <c r="C14" s="2001">
        <f ca="1">ROUND(INDIRECT("'数据-取费表'!l"&amp;$G$1)*F43+'数据-取费表'!L14*INDIRECT("'数据-取费表'!S"&amp;$G$1),0)</f>
        <v>122400</v>
      </c>
      <c r="D14" s="2002" t="s">
        <v>1512</v>
      </c>
      <c r="E14" s="2003"/>
      <c r="F14" s="2004"/>
      <c r="G14" s="912"/>
      <c r="H14" s="2000" t="s">
        <v>1298</v>
      </c>
      <c r="I14" s="1971" t="s">
        <v>1513</v>
      </c>
      <c r="J14" s="621">
        <f ca="1">C29</f>
        <v>163282</v>
      </c>
      <c r="K14" s="2123"/>
      <c r="L14" s="2124"/>
      <c r="M14" s="2125"/>
    </row>
    <row r="15" spans="1:37" s="1940" customFormat="1" ht="18" customHeight="1">
      <c r="A15" s="2000" t="s">
        <v>1325</v>
      </c>
      <c r="B15" s="1971" t="s">
        <v>1514</v>
      </c>
      <c r="C15" s="621">
        <f ca="1">ROUND(C14*F15,0)</f>
        <v>6120</v>
      </c>
      <c r="D15" s="2005" t="s">
        <v>1515</v>
      </c>
      <c r="E15" s="2005" t="s">
        <v>1516</v>
      </c>
      <c r="F15" s="2006">
        <f>'数据-取费表'!B33</f>
        <v>0.05</v>
      </c>
      <c r="G15" s="2007"/>
      <c r="H15" s="2008" t="s">
        <v>1302</v>
      </c>
      <c r="I15" s="1993" t="s">
        <v>1510</v>
      </c>
      <c r="J15" s="2119">
        <f ca="1">INDIRECT("'数据-取费表'!ad"&amp;$G$1)</f>
        <v>0</v>
      </c>
      <c r="K15" s="2126"/>
      <c r="L15" s="2127"/>
      <c r="M15" s="2128"/>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spans="1:37" ht="18" customHeight="1">
      <c r="A16" s="2000" t="s">
        <v>1328</v>
      </c>
      <c r="B16" s="1971" t="s">
        <v>1517</v>
      </c>
      <c r="C16" s="621">
        <f ca="1">ROUND(INDIRECT("'数据-取费表'!l"&amp;$G$1)*F43*F16,0)</f>
        <v>0</v>
      </c>
      <c r="D16" s="1971" t="s">
        <v>1515</v>
      </c>
      <c r="E16" s="1971" t="s">
        <v>1516</v>
      </c>
      <c r="F16" s="2009">
        <f ca="1">IF(INDIRECT("'数据-取费表'!c"&amp;$G$1)="住宅",'数据-取费表'!B34,0)</f>
        <v>0</v>
      </c>
      <c r="G16" s="912"/>
      <c r="H16" s="1995" t="s">
        <v>1518</v>
      </c>
      <c r="I16" s="1996" t="s">
        <v>1519</v>
      </c>
      <c r="J16" s="1997">
        <f ca="1">ROUND(J17+J22+J23+J24,0)</f>
        <v>327</v>
      </c>
      <c r="K16" s="2021" t="s">
        <v>1520</v>
      </c>
      <c r="L16" s="2022"/>
      <c r="M16" s="1967"/>
    </row>
    <row r="17" spans="1:37" s="1940" customFormat="1" ht="18" customHeight="1">
      <c r="A17" s="2000" t="s">
        <v>1521</v>
      </c>
      <c r="B17" s="1971" t="s">
        <v>1522</v>
      </c>
      <c r="C17" s="621">
        <f ca="1">ROUND(F17*(F43+INDIRECT("'数据-取费表'!S"&amp;$G$1)),0)</f>
        <v>6120</v>
      </c>
      <c r="D17" s="1971" t="s">
        <v>1523</v>
      </c>
      <c r="E17" s="1971" t="s">
        <v>1524</v>
      </c>
      <c r="F17" s="2010">
        <f>'数据-取费表'!B35</f>
        <v>200</v>
      </c>
      <c r="G17" s="2007"/>
      <c r="H17" s="2000" t="s">
        <v>1298</v>
      </c>
      <c r="I17" s="1971" t="s">
        <v>1525</v>
      </c>
      <c r="J17" s="2024">
        <f ca="1">ROUND(IF(AND(项目基本情况!B11="自然人",项目基本情况!B10="北京市"),J6*M17/(1+'数据-取费表'!C42),J18+J19+J20),0)</f>
        <v>0</v>
      </c>
      <c r="K17" s="2002" t="s">
        <v>1526</v>
      </c>
      <c r="L17" s="2025" t="s">
        <v>1527</v>
      </c>
      <c r="M17" s="2026" t="str">
        <f>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pans="1:37" s="1940" customFormat="1" ht="18" customHeight="1">
      <c r="A18" s="2000" t="s">
        <v>1528</v>
      </c>
      <c r="B18" s="1971" t="s">
        <v>1529</v>
      </c>
      <c r="C18" s="621">
        <f ca="1">ROUND(C14*F18,0)</f>
        <v>2448</v>
      </c>
      <c r="D18" s="1971" t="s">
        <v>1515</v>
      </c>
      <c r="E18" s="1971" t="s">
        <v>1516</v>
      </c>
      <c r="F18" s="2009">
        <f>'数据-取费表'!B36</f>
        <v>0.02</v>
      </c>
      <c r="G18" s="2007"/>
      <c r="H18" s="2000" t="s">
        <v>1321</v>
      </c>
      <c r="I18" s="1971" t="s">
        <v>1530</v>
      </c>
      <c r="J18" s="621">
        <f ca="1">ROUND(J6*M18/(1+'数据-取费表'!C42),0)</f>
        <v>0</v>
      </c>
      <c r="K18" s="2025" t="s">
        <v>1531</v>
      </c>
      <c r="L18" s="1971" t="s">
        <v>1516</v>
      </c>
      <c r="M18" s="2009">
        <f>'数据-取费表'!B41</f>
        <v>5.5E-2</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spans="1:37" ht="18" customHeight="1">
      <c r="A19" s="2000" t="s">
        <v>1298</v>
      </c>
      <c r="B19" s="1971" t="s">
        <v>1532</v>
      </c>
      <c r="C19" s="621">
        <f ca="1">SUM(C14:C18)</f>
        <v>137088</v>
      </c>
      <c r="D19" s="2011" t="s">
        <v>1533</v>
      </c>
      <c r="E19" s="623"/>
      <c r="F19" s="2010"/>
      <c r="G19" s="912"/>
      <c r="H19" s="2000" t="s">
        <v>1325</v>
      </c>
      <c r="I19" s="1971" t="s">
        <v>1534</v>
      </c>
      <c r="J19" s="621">
        <f ca="1">IF(K19="按租金收入计税",ROUND(J6*M19/(1+'数据-取费表'!C42),0),ROUND(C29*M19*0.7,0))</f>
        <v>0</v>
      </c>
      <c r="K19" s="2028" t="s">
        <v>1535</v>
      </c>
      <c r="L19" s="1971" t="s">
        <v>1516</v>
      </c>
      <c r="M19" s="2009">
        <f>IF(K19="按租金收入计税",'数据-取费表'!B51,'数据-取费表'!B50)</f>
        <v>0.12</v>
      </c>
    </row>
    <row r="20" spans="1:37" s="1940" customFormat="1" ht="18" customHeight="1">
      <c r="A20" s="2000" t="s">
        <v>1302</v>
      </c>
      <c r="B20" s="1971" t="s">
        <v>1536</v>
      </c>
      <c r="C20" s="621">
        <f ca="1">ROUND(C19*F20,0)</f>
        <v>2742</v>
      </c>
      <c r="D20" s="2012" t="s">
        <v>1537</v>
      </c>
      <c r="E20" s="1971" t="s">
        <v>1516</v>
      </c>
      <c r="F20" s="2009">
        <f>'数据-取费表'!B37</f>
        <v>0.02</v>
      </c>
      <c r="G20" s="2007"/>
      <c r="H20" s="2000" t="s">
        <v>1328</v>
      </c>
      <c r="I20" s="1970" t="s">
        <v>1538</v>
      </c>
      <c r="J20" s="2030">
        <f ca="1">ROUND(M20*M21,0)</f>
        <v>0</v>
      </c>
      <c r="K20" s="2031" t="s">
        <v>1539</v>
      </c>
      <c r="L20" s="1971" t="s">
        <v>1540</v>
      </c>
      <c r="M20" s="2015">
        <f>'数据-取费表'!B52</f>
        <v>0</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pans="1:37" s="1940" customFormat="1" ht="18" customHeight="1">
      <c r="A21" s="2000" t="s">
        <v>1347</v>
      </c>
      <c r="B21" s="1971" t="s">
        <v>1541</v>
      </c>
      <c r="C21" s="621" t="s">
        <v>124</v>
      </c>
      <c r="D21" s="2012" t="s">
        <v>1542</v>
      </c>
      <c r="E21" s="1971" t="s">
        <v>1543</v>
      </c>
      <c r="F21" s="2009">
        <f>'数据-取费表'!B38</f>
        <v>0.02</v>
      </c>
      <c r="G21" s="2007"/>
      <c r="H21" s="2013"/>
      <c r="I21" s="2129"/>
      <c r="J21" s="2034"/>
      <c r="K21" s="2035"/>
      <c r="L21" s="1971" t="s">
        <v>1544</v>
      </c>
      <c r="M21" s="1972">
        <f ca="1">INDIRECT("'数据-取费表'!r"&amp;$G$1)</f>
        <v>0</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spans="1:37" ht="18" customHeight="1">
      <c r="A22" s="2000" t="s">
        <v>1350</v>
      </c>
      <c r="B22" s="1971" t="s">
        <v>1545</v>
      </c>
      <c r="C22" s="621"/>
      <c r="D22" s="2011" t="str">
        <f>IF(F23&lt;=1,"单利计息。","复利计息。")&amp;"建造成本、管理费用、销售费用产生的利息。"</f>
        <v>复利计息。建造成本、管理费用、销售费用产生的利息。</v>
      </c>
      <c r="E22" s="623"/>
      <c r="F22" s="2010"/>
      <c r="G22" s="912"/>
      <c r="H22" s="2000" t="s">
        <v>1302</v>
      </c>
      <c r="I22" s="1971" t="s">
        <v>1546</v>
      </c>
      <c r="J22" s="621">
        <f ca="1">ROUND(J14*M22,0)</f>
        <v>327</v>
      </c>
      <c r="K22" s="2025" t="s">
        <v>1547</v>
      </c>
      <c r="L22" s="1971" t="s">
        <v>1516</v>
      </c>
      <c r="M22" s="2037">
        <f ca="1">INDIRECT("'数据-取费表'!Ak"&amp;$G$1)</f>
        <v>2E-3</v>
      </c>
    </row>
    <row r="23" spans="1:37" s="1940" customFormat="1" ht="18" customHeight="1">
      <c r="A23" s="2000" t="s">
        <v>1321</v>
      </c>
      <c r="B23" s="1971" t="s">
        <v>1548</v>
      </c>
      <c r="C23" s="621">
        <f ca="1">IF('数据-取费表'!B22&lt;=1,ROUND(C19*F24*F23/2,0)+ROUND(C20*F24*F23/2,0),ROUND(C19*(POWER((1+F24),F23/2)-1),0)+ROUND(C20*(POWER((1+F24),F23/2)-1),0))</f>
        <v>4377</v>
      </c>
      <c r="D23" s="2014" t="str">
        <f>IF(F23&lt;=1,"(建造成本+管理费用)×利率×(建设周期÷2)","(建造成本+管理费用)×((1+利率)^(建设周期÷2)-1)")</f>
        <v>(建造成本+管理费用)×((1+利率)^(建设周期÷2)-1)</v>
      </c>
      <c r="E23" s="1971" t="s">
        <v>1549</v>
      </c>
      <c r="F23" s="2015">
        <f>'数据-取费表'!B20</f>
        <v>2</v>
      </c>
      <c r="G23" s="2007"/>
      <c r="H23" s="2000" t="s">
        <v>1347</v>
      </c>
      <c r="I23" s="1971" t="s">
        <v>1550</v>
      </c>
      <c r="J23" s="621">
        <f ca="1">ROUND(J13*M23,0)</f>
        <v>0</v>
      </c>
      <c r="K23" s="2025" t="s">
        <v>1551</v>
      </c>
      <c r="L23" s="1971" t="s">
        <v>1516</v>
      </c>
      <c r="M23" s="2038">
        <f ca="1">INDIRECT("'数据-取费表'!Al"&amp;$G$1)</f>
        <v>1E-3</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pans="1:37" s="1940" customFormat="1" ht="18" customHeight="1">
      <c r="A24" s="2000" t="s">
        <v>1325</v>
      </c>
      <c r="B24" s="1971" t="s">
        <v>1552</v>
      </c>
      <c r="C24" s="621">
        <f ca="1">ROUND(IF('数据-取费表'!B22&lt;=1,F21*F24*F23/2,F21*(POWER((1+F24),F23/2)-1)),4)</f>
        <v>5.9999999999999995E-4</v>
      </c>
      <c r="D24" s="2014" t="str">
        <f>IF(F23&lt;=1,"销售费用×利率×(建设周期÷2)","销售费用×((1+利率)^(建设周期÷2)-1)")</f>
        <v>销售费用×((1+利率)^(建设周期÷2)-1)</v>
      </c>
      <c r="E24" s="1971" t="s">
        <v>1553</v>
      </c>
      <c r="F24" s="2016">
        <f ca="1">'数据-取费表'!B40</f>
        <v>3.1300000000000001E-2</v>
      </c>
      <c r="G24" s="2007"/>
      <c r="H24" s="2008" t="s">
        <v>1350</v>
      </c>
      <c r="I24" s="1993" t="s">
        <v>1536</v>
      </c>
      <c r="J24" s="2017">
        <f ca="1">ROUND(J5*M24,0)</f>
        <v>0</v>
      </c>
      <c r="K24" s="2018" t="s">
        <v>1554</v>
      </c>
      <c r="L24" s="1993" t="s">
        <v>1516</v>
      </c>
      <c r="M24" s="1994">
        <f ca="1">INDIRECT("'数据-取费表'!Am"&amp;$G$1)</f>
        <v>5.0000000000000001E-3</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spans="1:37" ht="18" customHeight="1">
      <c r="A25" s="2000" t="s">
        <v>1354</v>
      </c>
      <c r="B25" s="1971" t="s">
        <v>1555</v>
      </c>
      <c r="C25" s="621"/>
      <c r="D25" s="2011" t="s">
        <v>1556</v>
      </c>
      <c r="E25" s="623"/>
      <c r="F25" s="2010"/>
      <c r="G25" s="912"/>
      <c r="H25" s="1995" t="s">
        <v>1557</v>
      </c>
      <c r="I25" s="2039" t="s">
        <v>1558</v>
      </c>
      <c r="J25" s="1997">
        <f ca="1">J5-J16</f>
        <v>-327</v>
      </c>
      <c r="K25" s="2040" t="s">
        <v>1559</v>
      </c>
      <c r="L25" s="2041"/>
      <c r="M25" s="2042"/>
    </row>
    <row r="26" spans="1:37" ht="18" customHeight="1">
      <c r="A26" s="2000" t="s">
        <v>1321</v>
      </c>
      <c r="B26" s="1971" t="s">
        <v>1560</v>
      </c>
      <c r="C26" s="621">
        <f ca="1">ROUND((C19+C20)*F26,0)</f>
        <v>6992</v>
      </c>
      <c r="D26" s="2012" t="s">
        <v>1561</v>
      </c>
      <c r="E26" s="1982" t="s">
        <v>1562</v>
      </c>
      <c r="F26" s="1979">
        <f ca="1">INDIRECT("'数据-取费表'!q"&amp;$G$1)</f>
        <v>0.05</v>
      </c>
      <c r="G26" s="912"/>
      <c r="H26" s="1962" t="s">
        <v>1563</v>
      </c>
      <c r="I26" s="1963" t="s">
        <v>1564</v>
      </c>
      <c r="J26" s="2043">
        <f ca="1">IF(J5&lt;&gt;0,ROUND(J25*(1-((1+M28)/(1+M26))^M27)/(M26-M28),0),0)</f>
        <v>0</v>
      </c>
      <c r="K26" s="2031" t="s">
        <v>1565</v>
      </c>
      <c r="L26" s="1971" t="s">
        <v>1566</v>
      </c>
      <c r="M26" s="1979">
        <f ca="1">INDIRECT("'数据-取费表'!I"&amp;$G$1)</f>
        <v>0.05</v>
      </c>
    </row>
    <row r="27" spans="1:37" ht="18" customHeight="1">
      <c r="A27" s="2000" t="s">
        <v>1325</v>
      </c>
      <c r="B27" s="1971" t="s">
        <v>1567</v>
      </c>
      <c r="C27" s="621">
        <f ca="1">ROUND(F21*F26,4)</f>
        <v>1E-3</v>
      </c>
      <c r="D27" s="2012" t="s">
        <v>1568</v>
      </c>
      <c r="E27" s="2005"/>
      <c r="F27" s="2006"/>
      <c r="G27" s="912"/>
      <c r="H27" s="1977"/>
      <c r="I27" s="2045"/>
      <c r="J27" s="1978"/>
      <c r="K27" s="2046" t="s">
        <v>1569</v>
      </c>
      <c r="L27" s="1971" t="s">
        <v>1570</v>
      </c>
      <c r="M27" s="2047">
        <f ca="1">INDIRECT("'数据-取费表'!ag"&amp;$G$1)</f>
        <v>0</v>
      </c>
    </row>
    <row r="28" spans="1:37" s="1940" customFormat="1" ht="18" customHeight="1">
      <c r="A28" s="2000" t="s">
        <v>1355</v>
      </c>
      <c r="B28" s="1971" t="s">
        <v>1571</v>
      </c>
      <c r="C28" s="621">
        <f>ROUND(F28/(1+'数据-取费表'!C42),4)</f>
        <v>5.2400000000000002E-2</v>
      </c>
      <c r="D28" s="2012" t="s">
        <v>1572</v>
      </c>
      <c r="E28" s="1971" t="s">
        <v>1516</v>
      </c>
      <c r="F28" s="2009">
        <f>'数据-取费表'!B41</f>
        <v>5.5E-2</v>
      </c>
      <c r="G28" s="2007"/>
      <c r="H28" s="1984"/>
      <c r="I28" s="2049"/>
      <c r="J28" s="1997"/>
      <c r="K28" s="2035"/>
      <c r="L28" s="1971" t="s">
        <v>1573</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pans="1:37" s="1940" customFormat="1" ht="18" customHeight="1">
      <c r="A29" s="2008" t="s">
        <v>1574</v>
      </c>
      <c r="B29" s="1993" t="s">
        <v>1575</v>
      </c>
      <c r="C29" s="2017">
        <f ca="1">ROUND((C19+C20+C23+C26)/(1-F21-C24-C27-C28),0)</f>
        <v>163282</v>
      </c>
      <c r="D29" s="2018"/>
      <c r="E29" s="1993"/>
      <c r="F29" s="2019"/>
      <c r="G29" s="2007"/>
      <c r="H29" s="2020" t="s">
        <v>1576</v>
      </c>
      <c r="I29" s="2050" t="s">
        <v>1577</v>
      </c>
      <c r="J29" s="2051">
        <f ca="1">ROUND(J26/(1+F40)^F41,0)</f>
        <v>0</v>
      </c>
      <c r="K29" s="2052" t="s">
        <v>1578</v>
      </c>
      <c r="L29" s="2053"/>
      <c r="M29" s="2054">
        <f ca="1">INDIRECT("'数据-取费表'!k"&amp;$G$1)</f>
        <v>30.6</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spans="1:37" ht="18" customHeight="1">
      <c r="A30" s="1995" t="s">
        <v>1518</v>
      </c>
      <c r="B30" s="1996" t="s">
        <v>1519</v>
      </c>
      <c r="C30" s="1997">
        <f ca="1">ROUND(C31+C36+C37+C38,0)</f>
        <v>1016</v>
      </c>
      <c r="D30" s="2021" t="s">
        <v>1520</v>
      </c>
      <c r="E30" s="2022"/>
      <c r="F30" s="1967"/>
      <c r="G30" s="912"/>
      <c r="H30" s="2023"/>
      <c r="I30" s="2130"/>
      <c r="J30" s="2131"/>
      <c r="K30" s="2132"/>
      <c r="L30" s="2133"/>
      <c r="M30" s="2134"/>
    </row>
    <row r="31" spans="1:37" ht="18" customHeight="1">
      <c r="A31" s="2000" t="s">
        <v>1298</v>
      </c>
      <c r="B31" s="1971" t="s">
        <v>1525</v>
      </c>
      <c r="C31" s="2024">
        <f ca="1">ROUND(IF(AND(项目基本情况!B11="自然人",项目基本情况!B10="北京市"),C6*F31/(1+'数据-取费表'!C42),C32+C33+C34),0)</f>
        <v>540</v>
      </c>
      <c r="D31" s="2002" t="s">
        <v>1526</v>
      </c>
      <c r="E31" s="2025" t="s">
        <v>1527</v>
      </c>
      <c r="F31" s="2026" t="str">
        <f>IF(项目基本情况!B11="企业","——",IF(M47="住宅",IF(F6*F7*F8/12/(1+'数据-取费表'!F30)&gt;100000,4%,2.5%),IF(F6*F7*F8/12/(1+'数据-取费表'!F30)&gt;100000,12%,7%)))</f>
        <v>——</v>
      </c>
      <c r="G31" s="912"/>
      <c r="H31" s="2027" t="s">
        <v>1579</v>
      </c>
      <c r="I31" s="2130"/>
      <c r="J31" s="2131"/>
      <c r="K31" s="2132"/>
      <c r="L31" s="2133"/>
      <c r="M31" s="2134"/>
    </row>
    <row r="32" spans="1:37" ht="18" customHeight="1">
      <c r="A32" s="2000" t="s">
        <v>1321</v>
      </c>
      <c r="B32" s="1971" t="s">
        <v>1530</v>
      </c>
      <c r="C32" s="621">
        <f ca="1">IF(项目基本情况!B11="自然人","——",ROUND(C6*F32/(1+'数据-取费表'!C42),0))</f>
        <v>170</v>
      </c>
      <c r="D32" s="2025" t="s">
        <v>1531</v>
      </c>
      <c r="E32" s="1971" t="s">
        <v>1516</v>
      </c>
      <c r="F32" s="2016">
        <f>'数据-取费表'!B41</f>
        <v>5.5E-2</v>
      </c>
      <c r="G32" s="912"/>
      <c r="H32" s="2023"/>
      <c r="I32" s="2130"/>
      <c r="J32" s="2131"/>
      <c r="K32" s="2132"/>
      <c r="L32" s="2133"/>
      <c r="M32" s="2134"/>
    </row>
    <row r="33" spans="1:18" ht="18" customHeight="1">
      <c r="A33" s="2000" t="s">
        <v>1325</v>
      </c>
      <c r="B33" s="1971" t="s">
        <v>1534</v>
      </c>
      <c r="C33" s="621">
        <f ca="1">IF(项目基本情况!B11="自然人","——",IF(D33="按租金收入计税",ROUND(C6*F33/(1+'数据-取费表'!C42),0),IF(D33="按房产原值计税",ROUND(C29*F33*0.7,0),INDIRECT("'数据-取费表'!Aj"&amp;$G$1))))</f>
        <v>370</v>
      </c>
      <c r="D33" s="2028" t="s">
        <v>1535</v>
      </c>
      <c r="E33" s="1971" t="s">
        <v>1516</v>
      </c>
      <c r="F33" s="2009">
        <f>IF(D33="按票据","——",IF(D33="按租金收入计税",'数据-取费表'!B51,'数据-取费表'!B50))</f>
        <v>0.12</v>
      </c>
      <c r="G33" s="912"/>
      <c r="H33" s="2029"/>
      <c r="I33" s="2130"/>
      <c r="J33" s="2131"/>
      <c r="K33" s="2135"/>
      <c r="L33" s="2029"/>
      <c r="M33" s="2029"/>
    </row>
    <row r="34" spans="1:18" ht="18" customHeight="1">
      <c r="A34" s="1968" t="s">
        <v>1328</v>
      </c>
      <c r="B34" s="1970" t="s">
        <v>1538</v>
      </c>
      <c r="C34" s="2030">
        <f ca="1">IF(项目基本情况!B11="自然人","——",ROUND(F34*F35,0))</f>
        <v>0</v>
      </c>
      <c r="D34" s="2031" t="s">
        <v>1539</v>
      </c>
      <c r="E34" s="1971" t="s">
        <v>1540</v>
      </c>
      <c r="F34" s="2015">
        <f>'数据-取费表'!B52</f>
        <v>0</v>
      </c>
      <c r="G34" s="912"/>
      <c r="H34" s="2023"/>
      <c r="I34" s="2130"/>
      <c r="J34" s="2131"/>
      <c r="K34" s="2136"/>
      <c r="L34" s="2137"/>
      <c r="M34" s="2137"/>
    </row>
    <row r="35" spans="1:18" ht="18" customHeight="1">
      <c r="A35" s="2032"/>
      <c r="B35" s="2033"/>
      <c r="C35" s="2034"/>
      <c r="D35" s="2035"/>
      <c r="E35" s="1971" t="s">
        <v>1544</v>
      </c>
      <c r="F35" s="1972">
        <f ca="1">INDIRECT("'数据-取费表'!r"&amp;$G$1)</f>
        <v>0</v>
      </c>
      <c r="G35" s="912"/>
      <c r="H35" s="2023"/>
      <c r="I35" s="2130"/>
      <c r="J35" s="2131"/>
      <c r="K35" s="2135"/>
      <c r="L35" s="2029"/>
      <c r="M35" s="2029"/>
    </row>
    <row r="36" spans="1:18" ht="18" customHeight="1">
      <c r="A36" s="2036" t="s">
        <v>1302</v>
      </c>
      <c r="B36" s="1971" t="s">
        <v>1546</v>
      </c>
      <c r="C36" s="621">
        <f ca="1">ROUND(C29*F36,0)</f>
        <v>327</v>
      </c>
      <c r="D36" s="2025" t="s">
        <v>1580</v>
      </c>
      <c r="E36" s="1971" t="s">
        <v>1516</v>
      </c>
      <c r="F36" s="2037">
        <f ca="1">INDIRECT("'数据-取费表'!Ak"&amp;$G$1)</f>
        <v>2E-3</v>
      </c>
      <c r="G36" s="912"/>
      <c r="H36" s="2029"/>
      <c r="I36" s="2130"/>
      <c r="J36" s="2131"/>
      <c r="K36" s="2138"/>
      <c r="L36" s="2029"/>
      <c r="M36" s="2029"/>
    </row>
    <row r="37" spans="1:18" ht="18" customHeight="1">
      <c r="A37" s="2000" t="s">
        <v>1347</v>
      </c>
      <c r="B37" s="1971" t="s">
        <v>1550</v>
      </c>
      <c r="C37" s="621">
        <f ca="1">ROUND(C13*F37,0)</f>
        <v>133</v>
      </c>
      <c r="D37" s="2025" t="s">
        <v>1551</v>
      </c>
      <c r="E37" s="1971" t="s">
        <v>1516</v>
      </c>
      <c r="F37" s="2038">
        <f ca="1">INDIRECT("'数据-取费表'!Al"&amp;$G$1)</f>
        <v>1E-3</v>
      </c>
      <c r="G37" s="912"/>
      <c r="H37" s="2029"/>
      <c r="I37" s="2130"/>
      <c r="J37" s="2131"/>
      <c r="K37" s="2138"/>
      <c r="L37" s="2029"/>
      <c r="M37" s="2029"/>
    </row>
    <row r="38" spans="1:18" ht="18" customHeight="1">
      <c r="A38" s="2008" t="s">
        <v>1350</v>
      </c>
      <c r="B38" s="1993" t="s">
        <v>1536</v>
      </c>
      <c r="C38" s="2017">
        <f ca="1">ROUND(C5*F38,0)</f>
        <v>16</v>
      </c>
      <c r="D38" s="2018" t="s">
        <v>1554</v>
      </c>
      <c r="E38" s="1993" t="s">
        <v>1516</v>
      </c>
      <c r="F38" s="1994">
        <f ca="1">INDIRECT("'数据-取费表'!Am"&amp;$G$1)</f>
        <v>5.0000000000000001E-3</v>
      </c>
      <c r="G38" s="912"/>
      <c r="H38" s="2029"/>
      <c r="I38" s="2130"/>
      <c r="J38" s="2131"/>
      <c r="K38" s="2139"/>
      <c r="L38" s="2029"/>
      <c r="M38" s="2029"/>
    </row>
    <row r="39" spans="1:18" ht="24.6" customHeight="1">
      <c r="A39" s="1995" t="s">
        <v>1557</v>
      </c>
      <c r="B39" s="2039" t="s">
        <v>1558</v>
      </c>
      <c r="C39" s="1997">
        <f ca="1">C5-C30</f>
        <v>2224</v>
      </c>
      <c r="D39" s="2040" t="s">
        <v>1559</v>
      </c>
      <c r="E39" s="2041"/>
      <c r="F39" s="2042"/>
      <c r="G39" s="912"/>
      <c r="H39" s="2029"/>
      <c r="I39" s="2130"/>
      <c r="J39" s="2131"/>
      <c r="K39" s="2139"/>
      <c r="L39" s="2029"/>
      <c r="M39" s="2029"/>
    </row>
    <row r="40" spans="1:18" ht="18" customHeight="1">
      <c r="A40" s="1962" t="s">
        <v>1563</v>
      </c>
      <c r="B40" s="1963" t="s">
        <v>1581</v>
      </c>
      <c r="C40" s="2043">
        <f ca="1">ROUND(C39*(1-((1+F42)/(1+F40))^F41)/(F40-F42),0)</f>
        <v>45025</v>
      </c>
      <c r="D40" s="2031" t="s">
        <v>1565</v>
      </c>
      <c r="E40" s="1971" t="s">
        <v>1566</v>
      </c>
      <c r="F40" s="1979">
        <f ca="1">INDIRECT("'数据-取费表'!I"&amp;$G$1)</f>
        <v>0.05</v>
      </c>
      <c r="G40" s="912"/>
      <c r="H40" s="2044"/>
      <c r="I40" s="2130"/>
      <c r="J40" s="2131"/>
      <c r="K40" s="2139"/>
      <c r="L40" s="2044"/>
      <c r="M40" s="2044"/>
    </row>
    <row r="41" spans="1:18" ht="18" customHeight="1">
      <c r="A41" s="1977"/>
      <c r="B41" s="2045"/>
      <c r="C41" s="1978"/>
      <c r="D41" s="2046" t="s">
        <v>1569</v>
      </c>
      <c r="E41" s="1971" t="s">
        <v>1570</v>
      </c>
      <c r="F41" s="2047">
        <f ca="1">IF(INDIRECT("'数据-取费表'!af"&amp;$G$1)=0,INDIRECT("'数据-取费表'!ae"&amp;$G$1),INDIRECT("'数据-取费表'!af"&amp;$G$1))</f>
        <v>36.369999999999997</v>
      </c>
      <c r="G41" s="912"/>
      <c r="H41" s="2048"/>
      <c r="I41" s="2130"/>
      <c r="J41" s="2131"/>
      <c r="K41" s="2138"/>
      <c r="L41" s="2048"/>
      <c r="M41" s="2048"/>
    </row>
    <row r="42" spans="1:18" ht="18" customHeight="1">
      <c r="A42" s="1984"/>
      <c r="B42" s="2049"/>
      <c r="C42" s="1997"/>
      <c r="D42" s="2035"/>
      <c r="E42" s="1971" t="s">
        <v>1573</v>
      </c>
      <c r="F42" s="1979">
        <f ca="1">INDIRECT("'数据-取费表'!v"&amp;$G$1)</f>
        <v>1.4999999999999999E-2</v>
      </c>
      <c r="G42" s="912"/>
      <c r="H42" s="2048"/>
      <c r="I42" s="2130"/>
      <c r="J42" s="2131"/>
      <c r="K42" s="2138"/>
      <c r="L42" s="2048"/>
      <c r="M42" s="2048"/>
    </row>
    <row r="43" spans="1:18" ht="18" customHeight="1">
      <c r="A43" s="2020" t="s">
        <v>1576</v>
      </c>
      <c r="B43" s="2050" t="s">
        <v>1582</v>
      </c>
      <c r="C43" s="2051">
        <f ca="1">ROUND(C40/F43,0)</f>
        <v>1471</v>
      </c>
      <c r="D43" s="2052" t="s">
        <v>1583</v>
      </c>
      <c r="E43" s="2053" t="s">
        <v>1584</v>
      </c>
      <c r="F43" s="2054">
        <f ca="1">INDIRECT("'数据-取费表'!k"&amp;$G$1)</f>
        <v>30.6</v>
      </c>
      <c r="G43" s="912"/>
      <c r="H43" s="2048"/>
      <c r="I43" s="2048"/>
      <c r="J43" s="2048"/>
      <c r="K43" s="2138"/>
      <c r="L43" s="2048"/>
      <c r="M43" s="2048"/>
    </row>
    <row r="44" spans="1:18" s="912" customFormat="1" ht="18" customHeight="1">
      <c r="A44" s="2055"/>
      <c r="B44" s="2055"/>
      <c r="C44" s="2056"/>
      <c r="D44" s="2055"/>
      <c r="E44" s="2055"/>
      <c r="F44" s="2055"/>
      <c r="K44" s="2140"/>
    </row>
    <row r="45" spans="1:18" s="912" customFormat="1" ht="18" customHeight="1">
      <c r="A45" s="2331" t="s">
        <v>1585</v>
      </c>
      <c r="B45" s="2055"/>
      <c r="C45" s="2332">
        <f ca="1">ROUND((C68-C40)/10000,4)</f>
        <v>-5.2664999999999997</v>
      </c>
      <c r="D45" s="2333" t="s">
        <v>1586</v>
      </c>
      <c r="E45" s="2055"/>
      <c r="F45" s="2055"/>
      <c r="O45" s="2175" t="s">
        <v>1587</v>
      </c>
      <c r="P45" s="2044"/>
      <c r="Q45" s="2044"/>
      <c r="R45" s="2044"/>
    </row>
    <row r="46" spans="1:18" s="912" customFormat="1">
      <c r="A46" s="2057" t="s">
        <v>1588</v>
      </c>
      <c r="C46" s="2058">
        <f ca="1">ROUND(C45,0)</f>
        <v>-5</v>
      </c>
      <c r="D46" s="2059" t="str">
        <f>C2</f>
        <v>万元</v>
      </c>
      <c r="I46" s="2142" t="s">
        <v>1589</v>
      </c>
      <c r="J46" s="2143"/>
      <c r="K46" s="2144"/>
      <c r="L46" s="2145">
        <f ca="1">IF(M47="住宅",0,IF(L48&gt;J51,L60,J60))</f>
        <v>4706</v>
      </c>
      <c r="O46" s="2146" t="s">
        <v>1590</v>
      </c>
      <c r="P46" s="2147" t="s">
        <v>1591</v>
      </c>
      <c r="Q46" s="2193" t="s">
        <v>1592</v>
      </c>
      <c r="R46" s="2193" t="s">
        <v>1593</v>
      </c>
    </row>
    <row r="47" spans="1:18" s="912" customFormat="1">
      <c r="A47" s="2060" t="s">
        <v>1485</v>
      </c>
      <c r="B47" s="2061" t="s">
        <v>1486</v>
      </c>
      <c r="C47" s="2061" t="s">
        <v>1487</v>
      </c>
      <c r="D47" s="2061" t="s">
        <v>1488</v>
      </c>
      <c r="E47" s="2063" t="s">
        <v>1489</v>
      </c>
      <c r="F47" s="614"/>
      <c r="G47" s="2064"/>
      <c r="I47" s="2148" t="s">
        <v>1594</v>
      </c>
      <c r="J47" s="2149" t="s">
        <v>1595</v>
      </c>
      <c r="K47" s="2150" t="s">
        <v>1596</v>
      </c>
      <c r="L47" s="2151">
        <f ca="1">INDIRECT("'数据-取费表'!d"&amp;$G$1)</f>
        <v>50</v>
      </c>
      <c r="M47" s="2152" t="str">
        <f>IF(ISNUMBER(FIND("住宅",C1)),"住宅","非住宅")</f>
        <v>非住宅</v>
      </c>
      <c r="O47" s="2153" t="s">
        <v>1597</v>
      </c>
      <c r="P47" s="2154" t="s">
        <v>1598</v>
      </c>
      <c r="Q47" s="2194">
        <f ca="1">C40+J29</f>
        <v>45025</v>
      </c>
      <c r="R47" s="2194" t="s">
        <v>1599</v>
      </c>
    </row>
    <row r="48" spans="1:18" s="912" customFormat="1" ht="27.75">
      <c r="A48" s="2065" t="s">
        <v>1600</v>
      </c>
      <c r="B48" s="1963" t="s">
        <v>1490</v>
      </c>
      <c r="C48" s="622">
        <f ca="1">C49+C53+C55</f>
        <v>0</v>
      </c>
      <c r="D48" s="2066"/>
      <c r="E48" s="2067"/>
      <c r="F48" s="2068"/>
      <c r="G48" s="2064"/>
      <c r="H48" s="2069"/>
      <c r="I48" s="2155" t="s">
        <v>1601</v>
      </c>
      <c r="J48" s="2156" t="s">
        <v>1602</v>
      </c>
      <c r="K48" s="2157" t="s">
        <v>1603</v>
      </c>
      <c r="L48" s="2158">
        <f ca="1">INDIRECT("'数据-取费表'!f"&amp;$G$1)</f>
        <v>36.369999999999997</v>
      </c>
      <c r="O48" s="2153" t="s">
        <v>1604</v>
      </c>
      <c r="P48" s="2154" t="s">
        <v>1605</v>
      </c>
      <c r="Q48" s="2194">
        <f ca="1">J60</f>
        <v>4706</v>
      </c>
      <c r="R48" s="2194" t="s">
        <v>1606</v>
      </c>
    </row>
    <row r="49" spans="1:18" s="912" customFormat="1">
      <c r="A49" s="2070" t="s">
        <v>1607</v>
      </c>
      <c r="B49" s="2071" t="s">
        <v>1608</v>
      </c>
      <c r="C49" s="2072">
        <f ca="1">ROUND(F49*F51*F50*(1-F52),0)</f>
        <v>0</v>
      </c>
      <c r="D49" s="2073" t="s">
        <v>1609</v>
      </c>
      <c r="E49" s="2074" t="s">
        <v>1610</v>
      </c>
      <c r="F49" s="2075"/>
      <c r="G49" s="2076"/>
      <c r="H49" s="2069"/>
      <c r="I49" s="2155" t="s">
        <v>1611</v>
      </c>
      <c r="J49" s="2159">
        <v>2012</v>
      </c>
      <c r="K49" s="2157" t="s">
        <v>1612</v>
      </c>
      <c r="L49" s="2160"/>
      <c r="O49" s="2161" t="s">
        <v>1613</v>
      </c>
      <c r="P49" s="2154" t="s">
        <v>1614</v>
      </c>
      <c r="Q49" s="2194">
        <f ca="1">C29</f>
        <v>163282</v>
      </c>
      <c r="R49" s="2194" t="s">
        <v>1599</v>
      </c>
    </row>
    <row r="50" spans="1:18" s="912" customFormat="1">
      <c r="A50" s="2077"/>
      <c r="B50" s="2078"/>
      <c r="C50" s="2084"/>
      <c r="D50" s="2080"/>
      <c r="E50" s="2081" t="s">
        <v>1496</v>
      </c>
      <c r="F50" s="2082">
        <f ca="1">F7</f>
        <v>1</v>
      </c>
      <c r="H50" s="2069"/>
      <c r="I50" s="2155" t="s">
        <v>1615</v>
      </c>
      <c r="J50" s="2162">
        <f>SUMPRODUCT((I63:I65=J47)*(J62:L62=J48)*(J63:L65))</f>
        <v>60</v>
      </c>
      <c r="K50" s="2157" t="s">
        <v>1616</v>
      </c>
      <c r="L50" s="2160"/>
      <c r="M50" s="2163"/>
      <c r="O50" s="2161" t="s">
        <v>1617</v>
      </c>
      <c r="P50" s="2154" t="s">
        <v>1618</v>
      </c>
      <c r="Q50" s="2195">
        <f ca="1">J58</f>
        <v>0.4</v>
      </c>
      <c r="R50" s="2194"/>
    </row>
    <row r="51" spans="1:18" s="912" customFormat="1">
      <c r="A51" s="2083"/>
      <c r="B51" s="2078"/>
      <c r="C51" s="2084"/>
      <c r="D51" s="2080"/>
      <c r="E51" s="2085" t="s">
        <v>1497</v>
      </c>
      <c r="F51" s="1972">
        <f ca="1">F8</f>
        <v>12</v>
      </c>
      <c r="I51" s="2164" t="s">
        <v>1619</v>
      </c>
      <c r="J51" s="2165">
        <f>IF(J49="",J50,J49+J50-YEAR('数据-取费表'!B2))</f>
        <v>47</v>
      </c>
      <c r="K51" s="2166" t="s">
        <v>1620</v>
      </c>
      <c r="L51" s="2167">
        <f ca="1">ROUND(-PV(INDIRECT("'数据-取费表'!h"&amp;$G$1),J51,(C39-C13*C76),0),0)</f>
        <v>-137675</v>
      </c>
      <c r="M51" s="2168"/>
      <c r="O51" s="2161" t="s">
        <v>1621</v>
      </c>
      <c r="P51" s="2154" t="s">
        <v>1622</v>
      </c>
      <c r="Q51" s="2195">
        <f>J52</f>
        <v>7.4999999999999997E-2</v>
      </c>
      <c r="R51" s="2194"/>
    </row>
    <row r="52" spans="1:18" s="912" customFormat="1">
      <c r="A52" s="2083"/>
      <c r="B52" s="2078"/>
      <c r="C52" s="2084"/>
      <c r="D52" s="2080"/>
      <c r="E52" s="2085" t="s">
        <v>1498</v>
      </c>
      <c r="F52" s="2086"/>
      <c r="I52" s="2169" t="s">
        <v>1623</v>
      </c>
      <c r="J52" s="2170">
        <v>7.4999999999999997E-2</v>
      </c>
      <c r="K52" s="2169" t="s">
        <v>1624</v>
      </c>
      <c r="L52" s="2170"/>
      <c r="O52" s="2161" t="s">
        <v>1625</v>
      </c>
      <c r="P52" s="2154" t="s">
        <v>1626</v>
      </c>
      <c r="Q52" s="2194">
        <f ca="1">J53</f>
        <v>36.369999999999997</v>
      </c>
      <c r="R52" s="2194" t="s">
        <v>1627</v>
      </c>
    </row>
    <row r="53" spans="1:18" s="912" customFormat="1" ht="30.75" customHeight="1">
      <c r="A53" s="2334" t="s">
        <v>1628</v>
      </c>
      <c r="B53" s="2012" t="s">
        <v>1499</v>
      </c>
      <c r="C53" s="620">
        <f ca="1">ROUND(IF(F53="押一",C49/12*F11,IF(F53="押二",C49/12*2*F11,IF(F53="押三",C49/12*3*F11,C54*F11))),0)</f>
        <v>0</v>
      </c>
      <c r="D53" s="1981" t="s">
        <v>1629</v>
      </c>
      <c r="E53" s="1982" t="s">
        <v>1501</v>
      </c>
      <c r="F53" s="1983"/>
      <c r="I53" s="2171" t="s">
        <v>1630</v>
      </c>
      <c r="J53" s="2172">
        <f ca="1">IF(M47="住宅",IF(D1="——",MAX(J51,L48),MAX(J51,L48-'数据-取费表'!B24)),IF(D1="——",MIN(J51,L48),MIN(J51,L48-'数据-取费表'!B24)))</f>
        <v>36.369999999999997</v>
      </c>
      <c r="K53" s="3720" t="s">
        <v>1631</v>
      </c>
      <c r="L53" s="3721"/>
      <c r="O53" s="2153" t="s">
        <v>1632</v>
      </c>
      <c r="P53" s="2154" t="s">
        <v>1633</v>
      </c>
      <c r="Q53" s="2194">
        <f ca="1">Q47+Q48</f>
        <v>49731</v>
      </c>
      <c r="R53" s="2194" t="s">
        <v>1634</v>
      </c>
    </row>
    <row r="54" spans="1:18" s="912" customFormat="1">
      <c r="A54" s="2070"/>
      <c r="B54" s="2335" t="s">
        <v>1506</v>
      </c>
      <c r="C54" s="689"/>
      <c r="D54" s="1981"/>
      <c r="E54" s="2090"/>
      <c r="F54" s="2091"/>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4"/>
      <c r="K54" s="2174"/>
      <c r="L54" s="2174"/>
      <c r="M54" s="2076"/>
      <c r="O54" s="2175" t="s">
        <v>1635</v>
      </c>
      <c r="P54" s="2176"/>
      <c r="Q54" s="2176"/>
      <c r="R54" s="2176"/>
    </row>
    <row r="55" spans="1:18" s="912" customFormat="1">
      <c r="A55" s="1989" t="s">
        <v>1347</v>
      </c>
      <c r="B55" s="1990" t="s">
        <v>1507</v>
      </c>
      <c r="C55" s="1991"/>
      <c r="D55" s="1981"/>
      <c r="E55" s="2090"/>
      <c r="F55" s="2091"/>
      <c r="I55" s="2177" t="s">
        <v>1636</v>
      </c>
      <c r="J55" s="2178">
        <f ca="1">ROUND(IF(J47="钢混",J57/J50,1-(1-2%)*(J50-J57)/J50),3)</f>
        <v>0.17699999999999999</v>
      </c>
      <c r="K55" s="2179" t="s">
        <v>1637</v>
      </c>
      <c r="L55" s="2180"/>
      <c r="O55" s="2146" t="s">
        <v>1590</v>
      </c>
      <c r="P55" s="2147" t="s">
        <v>1591</v>
      </c>
      <c r="Q55" s="2193" t="s">
        <v>1592</v>
      </c>
      <c r="R55" s="2193" t="s">
        <v>1593</v>
      </c>
    </row>
    <row r="56" spans="1:18" s="912" customFormat="1" ht="36" customHeight="1">
      <c r="A56" s="2092">
        <v>2</v>
      </c>
      <c r="B56" s="2093" t="s">
        <v>1508</v>
      </c>
      <c r="C56" s="422">
        <f ca="1">C13</f>
        <v>133075</v>
      </c>
      <c r="D56" s="2094"/>
      <c r="E56" s="2095"/>
      <c r="F56" s="2091"/>
      <c r="I56" s="2181" t="s">
        <v>1638</v>
      </c>
      <c r="J56" s="2182" t="s">
        <v>1639</v>
      </c>
      <c r="K56" s="2155" t="s">
        <v>1640</v>
      </c>
      <c r="L56" s="2158" t="str">
        <f ca="1">IF(L48&lt;J51,"——",L48-J51)</f>
        <v>——</v>
      </c>
      <c r="O56" s="2153" t="s">
        <v>1597</v>
      </c>
      <c r="P56" s="2154" t="s">
        <v>1598</v>
      </c>
      <c r="Q56" s="2194">
        <f ca="1">C40+J29</f>
        <v>45025</v>
      </c>
      <c r="R56" s="2194" t="s">
        <v>1599</v>
      </c>
    </row>
    <row r="57" spans="1:18" s="912" customFormat="1" ht="24">
      <c r="A57" s="2096"/>
      <c r="B57" s="2097" t="s">
        <v>1575</v>
      </c>
      <c r="C57" s="432">
        <f ca="1">C29</f>
        <v>163282</v>
      </c>
      <c r="D57" s="2098"/>
      <c r="E57" s="2099"/>
      <c r="F57" s="2100"/>
      <c r="I57" s="2183" t="s">
        <v>1641</v>
      </c>
      <c r="J57" s="2184">
        <f ca="1">IF(OR(M47="住宅",J51&lt;L48,J56="是"),"——",J51-L48)</f>
        <v>10.630000000000003</v>
      </c>
      <c r="K57" s="2155" t="s">
        <v>1642</v>
      </c>
      <c r="L57" s="2158" t="str">
        <f ca="1">IF(L48&lt;J51,"——",IF(L55="比较法",L49,IF(L55="基准地价",L50,L51)))</f>
        <v>——</v>
      </c>
      <c r="O57" s="2153" t="s">
        <v>1604</v>
      </c>
      <c r="P57" s="2154" t="s">
        <v>1643</v>
      </c>
      <c r="Q57" s="2194">
        <f ca="1">L60</f>
        <v>0</v>
      </c>
      <c r="R57" s="2194" t="s">
        <v>1644</v>
      </c>
    </row>
    <row r="58" spans="1:18" s="912" customFormat="1" ht="24">
      <c r="A58" s="2101" t="s">
        <v>1518</v>
      </c>
      <c r="B58" s="2093" t="s">
        <v>1519</v>
      </c>
      <c r="C58" s="620">
        <f ca="1">ROUND(C59+C64+C65+C66,0)</f>
        <v>460</v>
      </c>
      <c r="D58" s="2102" t="s">
        <v>1520</v>
      </c>
      <c r="E58" s="2103"/>
      <c r="F58" s="2068"/>
      <c r="I58" s="2183" t="s">
        <v>1645</v>
      </c>
      <c r="J58" s="2185">
        <f ca="1">IF(J55&lt;0.4,0.4,J55)</f>
        <v>0.4</v>
      </c>
      <c r="K58" s="2166" t="s">
        <v>1646</v>
      </c>
      <c r="L58" s="2158" t="e">
        <f ca="1">ROUND(POWER(1+L52,L47-L48)*(POWER(1+L52,L48)-1)/(POWER(1+L52,L47)-1),4)</f>
        <v>#DIV/0!</v>
      </c>
      <c r="O58" s="2161" t="s">
        <v>1613</v>
      </c>
      <c r="P58" s="2154" t="s">
        <v>1647</v>
      </c>
      <c r="Q58" s="2194">
        <f>IF(L55="比较法",L49,IF(L55="基准地价",L50,0))</f>
        <v>0</v>
      </c>
      <c r="R58" s="2194" t="s">
        <v>1599</v>
      </c>
    </row>
    <row r="59" spans="1:18" s="912" customFormat="1" ht="24">
      <c r="A59" s="2000" t="s">
        <v>1298</v>
      </c>
      <c r="B59" s="2097" t="s">
        <v>1525</v>
      </c>
      <c r="C59" s="2024">
        <f ca="1">ROUND(IF(AND(项目基本情况!B11="自然人",项目基本情况!B10="北京市"),C49*F59/(1+'数据-取费表'!C42),C60+C61+C62),0)</f>
        <v>0</v>
      </c>
      <c r="D59" s="2104" t="s">
        <v>1526</v>
      </c>
      <c r="E59" s="2105" t="s">
        <v>1527</v>
      </c>
      <c r="F59" s="2026" t="str">
        <f>IF(项目基本情况!B11="企业","——",IF('数据-取费表'!B10="住宅",IF(F49*F50*F51/12/(1+'数据-取费表'!F30)&gt;100000,4%,2.5%),IF(F49*F50*F51/12/(1+'数据-取费表'!F30)&gt;100000,12%,7%)))</f>
        <v>——</v>
      </c>
      <c r="I59" s="2183" t="s">
        <v>1648</v>
      </c>
      <c r="J59" s="2184">
        <f ca="1">IF(OR(M47="住宅",J51&lt;L48,J56="是"),"——",ROUND(C29*J58,0))</f>
        <v>65313</v>
      </c>
      <c r="K59" s="21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8"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61" t="s">
        <v>1617</v>
      </c>
      <c r="P59" s="2154" t="s">
        <v>1649</v>
      </c>
      <c r="Q59" s="2195">
        <f>L52</f>
        <v>0</v>
      </c>
      <c r="R59" s="2194"/>
    </row>
    <row r="60" spans="1:18" s="912" customFormat="1" ht="15.75">
      <c r="A60" s="2000" t="s">
        <v>1321</v>
      </c>
      <c r="B60" s="2097" t="s">
        <v>1530</v>
      </c>
      <c r="C60" s="621">
        <f ca="1">IF(项目基本情况!B11="自然人","——",ROUND(C48*F60/(1+'数据-取费表'!C42),0))</f>
        <v>0</v>
      </c>
      <c r="D60" s="2105" t="s">
        <v>1531</v>
      </c>
      <c r="E60" s="2097" t="s">
        <v>1516</v>
      </c>
      <c r="F60" s="2016">
        <f t="shared" ref="F60:F66" si="0">F32</f>
        <v>5.5E-2</v>
      </c>
      <c r="I60" s="2186" t="s">
        <v>1650</v>
      </c>
      <c r="J60" s="2187">
        <f ca="1">IF(OR(M47="住宅",J51&lt;L48,J56="是"),"0",ROUND(J59/(1+J52)^J53,0))</f>
        <v>4706</v>
      </c>
      <c r="K60" s="2188" t="s">
        <v>1651</v>
      </c>
      <c r="L60" s="2187">
        <f ca="1">IF(OR(M47="住宅",L48&lt;J51),0,ROUND(L57*(L58/L59-1),0))</f>
        <v>0</v>
      </c>
      <c r="O60" s="2161" t="s">
        <v>1621</v>
      </c>
      <c r="P60" s="2154" t="s">
        <v>1652</v>
      </c>
      <c r="Q60" s="2194" t="e">
        <f ca="1">L58</f>
        <v>#DIV/0!</v>
      </c>
      <c r="R60" s="2194" t="s">
        <v>1653</v>
      </c>
    </row>
    <row r="61" spans="1:18" s="912" customFormat="1">
      <c r="A61" s="2000" t="s">
        <v>1325</v>
      </c>
      <c r="B61" s="2097" t="s">
        <v>1534</v>
      </c>
      <c r="C61" s="621">
        <f ca="1">IF(项目基本情况!B11="自然人","——",IF(D61="按租金收入计税",ROUND(C49*F61/(1+'数据-取费表'!C42),0),IF(D61="按房产原值计税",ROUND(C57*F61*0.7,0),INDIRECT("'数据-取费表'!Aj"&amp;$G$1))))</f>
        <v>0</v>
      </c>
      <c r="D61" s="2028" t="s">
        <v>1535</v>
      </c>
      <c r="E61" s="2097" t="s">
        <v>1516</v>
      </c>
      <c r="F61" s="2009">
        <f t="shared" si="0"/>
        <v>0.12</v>
      </c>
      <c r="I61" s="2044"/>
      <c r="J61" s="2044"/>
      <c r="K61" s="2044"/>
      <c r="L61" s="2044"/>
      <c r="O61" s="2161" t="s">
        <v>1625</v>
      </c>
      <c r="P61" s="2154" t="str">
        <f>K59</f>
        <v>建筑物剩余耐用年限下的土地年期修正系数Kn</v>
      </c>
      <c r="Q61" s="2194" t="e">
        <f ca="1">L59</f>
        <v>#DIV/0!</v>
      </c>
      <c r="R61" s="2194" t="s">
        <v>1654</v>
      </c>
    </row>
    <row r="62" spans="1:18" s="912" customFormat="1">
      <c r="A62" s="2000" t="s">
        <v>1328</v>
      </c>
      <c r="B62" s="2106" t="s">
        <v>1538</v>
      </c>
      <c r="C62" s="2030">
        <f ca="1">IF(项目基本情况!B11="自然人","——",ROUND(F62*F63,0))</f>
        <v>0</v>
      </c>
      <c r="D62" s="2107" t="s">
        <v>1539</v>
      </c>
      <c r="E62" s="2097" t="s">
        <v>1540</v>
      </c>
      <c r="F62" s="2015">
        <f t="shared" si="0"/>
        <v>0</v>
      </c>
      <c r="I62" s="2189" t="s">
        <v>1655</v>
      </c>
      <c r="J62" s="2190" t="s">
        <v>1656</v>
      </c>
      <c r="K62" s="2190" t="s">
        <v>1657</v>
      </c>
      <c r="L62" s="2190" t="s">
        <v>1658</v>
      </c>
      <c r="M62" s="2191" t="s">
        <v>1659</v>
      </c>
      <c r="O62" s="2153" t="s">
        <v>1632</v>
      </c>
      <c r="P62" s="2154" t="s">
        <v>1633</v>
      </c>
      <c r="Q62" s="2194">
        <f ca="1">Q56+Q57</f>
        <v>45025</v>
      </c>
      <c r="R62" s="2194" t="s">
        <v>1634</v>
      </c>
    </row>
    <row r="63" spans="1:18" s="912" customFormat="1">
      <c r="A63" s="2013"/>
      <c r="B63" s="2108"/>
      <c r="C63" s="2034"/>
      <c r="D63" s="2109"/>
      <c r="E63" s="2097" t="s">
        <v>1544</v>
      </c>
      <c r="F63" s="1972">
        <f t="shared" ca="1" si="0"/>
        <v>0</v>
      </c>
      <c r="I63" s="2189" t="s">
        <v>1660</v>
      </c>
      <c r="J63" s="2190">
        <v>70</v>
      </c>
      <c r="K63" s="2190">
        <v>50</v>
      </c>
      <c r="L63" s="2190">
        <v>80</v>
      </c>
      <c r="M63" s="2192">
        <v>0.02</v>
      </c>
      <c r="O63" s="2175" t="s">
        <v>1661</v>
      </c>
      <c r="P63" s="2176"/>
      <c r="Q63" s="2176"/>
      <c r="R63" s="2176"/>
    </row>
    <row r="64" spans="1:18" s="912" customFormat="1">
      <c r="A64" s="2000" t="s">
        <v>1302</v>
      </c>
      <c r="B64" s="2097" t="s">
        <v>1546</v>
      </c>
      <c r="C64" s="621">
        <f ca="1">ROUND(C57*F64,0)</f>
        <v>327</v>
      </c>
      <c r="D64" s="2105" t="s">
        <v>1580</v>
      </c>
      <c r="E64" s="2097" t="s">
        <v>1516</v>
      </c>
      <c r="F64" s="2037">
        <f t="shared" ca="1" si="0"/>
        <v>2E-3</v>
      </c>
      <c r="I64" s="2189" t="s">
        <v>1662</v>
      </c>
      <c r="J64" s="2190">
        <v>50</v>
      </c>
      <c r="K64" s="2190">
        <v>35</v>
      </c>
      <c r="L64" s="2190">
        <v>60</v>
      </c>
      <c r="M64" s="2191">
        <v>0</v>
      </c>
      <c r="O64" s="2146" t="s">
        <v>1590</v>
      </c>
      <c r="P64" s="2147" t="s">
        <v>1591</v>
      </c>
      <c r="Q64" s="2193" t="s">
        <v>1592</v>
      </c>
      <c r="R64" s="2193" t="s">
        <v>1593</v>
      </c>
    </row>
    <row r="65" spans="1:18" s="912" customFormat="1">
      <c r="A65" s="2000" t="s">
        <v>1347</v>
      </c>
      <c r="B65" s="2097" t="s">
        <v>1550</v>
      </c>
      <c r="C65" s="621">
        <f ca="1">ROUND(C56*F65,0)</f>
        <v>133</v>
      </c>
      <c r="D65" s="2105" t="s">
        <v>1551</v>
      </c>
      <c r="E65" s="2097" t="s">
        <v>1516</v>
      </c>
      <c r="F65" s="2038">
        <f t="shared" ca="1" si="0"/>
        <v>1E-3</v>
      </c>
      <c r="I65" s="2189" t="s">
        <v>1663</v>
      </c>
      <c r="J65" s="2190">
        <v>40</v>
      </c>
      <c r="K65" s="2190">
        <v>30</v>
      </c>
      <c r="L65" s="2190">
        <v>50</v>
      </c>
      <c r="M65" s="2192">
        <v>0.02</v>
      </c>
      <c r="O65" s="2153" t="s">
        <v>1597</v>
      </c>
      <c r="P65" s="2154" t="s">
        <v>1598</v>
      </c>
      <c r="Q65" s="2194">
        <f ca="1">C40+J29</f>
        <v>45025</v>
      </c>
      <c r="R65" s="2194" t="s">
        <v>1599</v>
      </c>
    </row>
    <row r="66" spans="1:18" s="912" customFormat="1" ht="15.75">
      <c r="A66" s="2000" t="s">
        <v>1350</v>
      </c>
      <c r="B66" s="2097" t="s">
        <v>1536</v>
      </c>
      <c r="C66" s="621">
        <f ca="1">ROUND(C48*F66,0)</f>
        <v>0</v>
      </c>
      <c r="D66" s="2105" t="s">
        <v>1554</v>
      </c>
      <c r="E66" s="2097" t="s">
        <v>1516</v>
      </c>
      <c r="F66" s="1979">
        <f t="shared" ca="1" si="0"/>
        <v>5.0000000000000001E-3</v>
      </c>
      <c r="O66" s="2153" t="s">
        <v>1604</v>
      </c>
      <c r="P66" s="2154" t="s">
        <v>1643</v>
      </c>
      <c r="Q66" s="2194">
        <f ca="1">L60</f>
        <v>0</v>
      </c>
      <c r="R66" s="2194" t="s">
        <v>1644</v>
      </c>
    </row>
    <row r="67" spans="1:18" s="912" customFormat="1" ht="15.75">
      <c r="A67" s="2092" t="s">
        <v>1557</v>
      </c>
      <c r="B67" s="2196" t="s">
        <v>1558</v>
      </c>
      <c r="C67" s="620">
        <f ca="1">C48-C58</f>
        <v>-460</v>
      </c>
      <c r="D67" s="2104" t="s">
        <v>1559</v>
      </c>
      <c r="E67" s="2197"/>
      <c r="F67" s="2198"/>
      <c r="O67" s="2161" t="s">
        <v>1613</v>
      </c>
      <c r="P67" s="2154" t="s">
        <v>1647</v>
      </c>
      <c r="Q67" s="2218">
        <f ca="1">L51</f>
        <v>-137675</v>
      </c>
      <c r="R67" s="2194" t="s">
        <v>1664</v>
      </c>
    </row>
    <row r="68" spans="1:18" s="912" customFormat="1" ht="15.75">
      <c r="A68" s="2199" t="s">
        <v>1563</v>
      </c>
      <c r="B68" s="2200" t="s">
        <v>1581</v>
      </c>
      <c r="C68" s="2043">
        <f ca="1">ROUND(C67*(1-((1+F70)/(1+F68))^F69)/(F68-F70),0)</f>
        <v>-7640</v>
      </c>
      <c r="D68" s="2107" t="s">
        <v>1565</v>
      </c>
      <c r="E68" s="2097" t="s">
        <v>1566</v>
      </c>
      <c r="F68" s="1979">
        <f ca="1">F40</f>
        <v>0.05</v>
      </c>
      <c r="O68" s="2161" t="s">
        <v>1617</v>
      </c>
      <c r="P68" s="2217" t="s">
        <v>1665</v>
      </c>
      <c r="Q68" s="2194">
        <f ca="1">ROUND(Q69-Q70*Q71,0)</f>
        <v>-7091</v>
      </c>
      <c r="R68" s="2194" t="s">
        <v>1666</v>
      </c>
    </row>
    <row r="69" spans="1:18" s="912" customFormat="1">
      <c r="A69" s="2201"/>
      <c r="B69" s="2202"/>
      <c r="C69" s="1978"/>
      <c r="D69" s="2203" t="s">
        <v>1569</v>
      </c>
      <c r="E69" s="2097" t="s">
        <v>1570</v>
      </c>
      <c r="F69" s="2047">
        <f ca="1">F41</f>
        <v>36.369999999999997</v>
      </c>
      <c r="O69" s="2161" t="s">
        <v>1667</v>
      </c>
      <c r="P69" s="2217" t="s">
        <v>1668</v>
      </c>
      <c r="Q69" s="2194">
        <f ca="1">C39</f>
        <v>2224</v>
      </c>
      <c r="R69" s="2194" t="s">
        <v>1599</v>
      </c>
    </row>
    <row r="70" spans="1:18" s="912" customFormat="1">
      <c r="A70" s="2204"/>
      <c r="B70" s="2205"/>
      <c r="C70" s="1997"/>
      <c r="D70" s="2109"/>
      <c r="E70" s="2097" t="s">
        <v>1573</v>
      </c>
      <c r="F70" s="2086"/>
      <c r="O70" s="2161" t="s">
        <v>1669</v>
      </c>
      <c r="P70" s="2217" t="s">
        <v>1670</v>
      </c>
      <c r="Q70" s="2194">
        <f ca="1">C13</f>
        <v>133075</v>
      </c>
      <c r="R70" s="2194" t="s">
        <v>1599</v>
      </c>
    </row>
    <row r="71" spans="1:18" s="912" customFormat="1">
      <c r="A71" s="2206" t="s">
        <v>1576</v>
      </c>
      <c r="B71" s="2207" t="s">
        <v>1582</v>
      </c>
      <c r="C71" s="2051">
        <f ca="1">ROUND(C68/F71,0)</f>
        <v>-250</v>
      </c>
      <c r="D71" s="2208" t="s">
        <v>1583</v>
      </c>
      <c r="E71" s="2209" t="s">
        <v>1584</v>
      </c>
      <c r="F71" s="2054">
        <f ca="1">F43</f>
        <v>30.6</v>
      </c>
      <c r="O71" s="2161" t="s">
        <v>1671</v>
      </c>
      <c r="P71" s="2217" t="s">
        <v>1672</v>
      </c>
      <c r="Q71" s="2195">
        <f ca="1">C76</f>
        <v>7.0000000000000007E-2</v>
      </c>
      <c r="R71" s="2194"/>
    </row>
    <row r="72" spans="1:18" s="912" customFormat="1">
      <c r="B72" s="655"/>
      <c r="C72" s="655"/>
      <c r="O72" s="2161" t="s">
        <v>1621</v>
      </c>
      <c r="P72" s="2154" t="s">
        <v>1649</v>
      </c>
      <c r="Q72" s="2195">
        <f>L52</f>
        <v>0</v>
      </c>
      <c r="R72" s="2194"/>
    </row>
    <row r="73" spans="1:18" ht="15.75">
      <c r="A73" s="912"/>
      <c r="B73" s="655"/>
      <c r="C73" s="655"/>
      <c r="D73" s="912"/>
      <c r="E73" s="912"/>
      <c r="F73" s="912"/>
      <c r="O73" s="2161" t="s">
        <v>1625</v>
      </c>
      <c r="P73" s="2154" t="s">
        <v>1652</v>
      </c>
      <c r="Q73" s="2194" t="e">
        <f ca="1">L58</f>
        <v>#DIV/0!</v>
      </c>
      <c r="R73" s="2194" t="s">
        <v>1653</v>
      </c>
    </row>
    <row r="74" spans="1:18">
      <c r="A74" s="912"/>
      <c r="B74" s="464" t="s">
        <v>1673</v>
      </c>
      <c r="C74" s="2210"/>
      <c r="D74" s="912"/>
      <c r="E74" s="912"/>
      <c r="F74" s="912"/>
      <c r="O74" s="2161" t="s">
        <v>1674</v>
      </c>
      <c r="P74" s="2154" t="str">
        <f>K59</f>
        <v>建筑物剩余耐用年限下的土地年期修正系数Kn</v>
      </c>
      <c r="Q74" s="2194" t="e">
        <f ca="1">L59</f>
        <v>#DIV/0!</v>
      </c>
      <c r="R74" s="2194" t="s">
        <v>1654</v>
      </c>
    </row>
    <row r="75" spans="1:18">
      <c r="A75" s="912"/>
      <c r="B75" s="2211" t="s">
        <v>1675</v>
      </c>
      <c r="C75" s="2212">
        <f ca="1">ROUND(C13*C76,0)</f>
        <v>9315</v>
      </c>
      <c r="D75" s="912"/>
      <c r="E75" s="912"/>
      <c r="F75" s="912"/>
      <c r="K75" s="2140"/>
      <c r="L75" s="912"/>
      <c r="O75" s="2153" t="s">
        <v>1632</v>
      </c>
      <c r="P75" s="2154" t="s">
        <v>1633</v>
      </c>
      <c r="Q75" s="2194">
        <f ca="1">Q65+Q66</f>
        <v>45025</v>
      </c>
      <c r="R75" s="2194" t="s">
        <v>1634</v>
      </c>
    </row>
    <row r="76" spans="1:18">
      <c r="B76" s="698" t="s">
        <v>1676</v>
      </c>
      <c r="C76" s="2213">
        <f ca="1">INDIRECT("'数据-取费表'!j"&amp;$G$1)</f>
        <v>7.0000000000000007E-2</v>
      </c>
      <c r="I76" s="912"/>
      <c r="J76" s="912"/>
      <c r="K76" s="2140"/>
      <c r="L76" s="912"/>
    </row>
    <row r="77" spans="1:18">
      <c r="B77" s="2214" t="s">
        <v>1677</v>
      </c>
      <c r="C77" s="2215"/>
      <c r="I77" s="912"/>
      <c r="J77" s="912"/>
      <c r="K77" s="2140"/>
      <c r="L77" s="912"/>
    </row>
    <row r="78" spans="1:18">
      <c r="B78" s="462" t="s">
        <v>1678</v>
      </c>
      <c r="C78" s="2216"/>
    </row>
    <row r="79" spans="1:18">
      <c r="B79" s="2211" t="s">
        <v>1679</v>
      </c>
      <c r="C79" s="465">
        <f ca="1">1-C80</f>
        <v>-3.1879999999999997</v>
      </c>
    </row>
    <row r="80" spans="1:18">
      <c r="B80" s="2211" t="s">
        <v>1680</v>
      </c>
      <c r="C80" s="465">
        <f ca="1">ROUND(C75/C39,3)</f>
        <v>4.1879999999999997</v>
      </c>
    </row>
    <row r="81" spans="2:3">
      <c r="B81" s="462" t="s">
        <v>1681</v>
      </c>
      <c r="C81" s="432"/>
    </row>
    <row r="82" spans="2:3">
      <c r="B82" s="464" t="s">
        <v>1682</v>
      </c>
      <c r="C82" s="466">
        <f ca="1">1-C83</f>
        <v>-1.956</v>
      </c>
    </row>
    <row r="83" spans="2:3">
      <c r="B83" s="464" t="s">
        <v>1683</v>
      </c>
      <c r="C83" s="465">
        <f ca="1">ROUND(C13/C40,3)</f>
        <v>2.956</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1684</v>
      </c>
      <c r="B1" s="2314"/>
      <c r="C1" s="384"/>
      <c r="D1" s="384"/>
      <c r="E1" s="384"/>
      <c r="F1" s="384"/>
      <c r="G1" s="2316">
        <f>MATCH(B1,'数据-取费表'!A6:A16,0)+5</f>
        <v>7</v>
      </c>
    </row>
    <row r="2" spans="1:9" s="374" customFormat="1" ht="18" customHeight="1">
      <c r="A2" s="386" t="s">
        <v>1392</v>
      </c>
      <c r="B2" s="387">
        <f ca="1">IF(D2="——",C52,C52-E2)</f>
        <v>14</v>
      </c>
      <c r="C2" s="385" t="s">
        <v>1393</v>
      </c>
      <c r="D2" s="2318" t="s">
        <v>124</v>
      </c>
      <c r="E2" s="2319" t="e">
        <f ca="1">SUMIF(INDIRECT("'"&amp;G2&amp;"'"&amp;"!A:A"),"承租人权益价值",INDIRECT("'"&amp;G2&amp;"'"&amp;"!c:c"))</f>
        <v>#REF!</v>
      </c>
      <c r="F2" s="2320" t="s">
        <v>1393</v>
      </c>
      <c r="G2" s="2321"/>
    </row>
    <row r="3" spans="1:9" s="374" customFormat="1" ht="18" customHeight="1">
      <c r="A3" s="389" t="s">
        <v>1394</v>
      </c>
      <c r="B3" s="390">
        <f ca="1">ROUND(B2*10000/(IF(B1="",'数据-汇总表'!E3,INDIRECT("'数据-取费表'!k"&amp;$G$1))),0)</f>
        <v>4575</v>
      </c>
      <c r="C3" s="385" t="s">
        <v>1685</v>
      </c>
      <c r="D3" s="385"/>
      <c r="E3" s="385"/>
      <c r="F3" s="385"/>
      <c r="G3" s="385"/>
    </row>
    <row r="4" spans="1:9" s="375" customFormat="1" ht="15.75">
      <c r="A4" s="391" t="s">
        <v>1686</v>
      </c>
      <c r="B4" s="392"/>
      <c r="C4" s="392"/>
      <c r="D4" s="392"/>
      <c r="E4" s="392"/>
      <c r="F4" s="392"/>
      <c r="G4" s="393"/>
    </row>
    <row r="5" spans="1:9" s="376" customFormat="1" ht="13.5" customHeight="1">
      <c r="A5" s="394" t="s">
        <v>1687</v>
      </c>
      <c r="B5" s="395" t="s">
        <v>1688</v>
      </c>
      <c r="C5" s="396">
        <f>C6+C7+C8</f>
        <v>0</v>
      </c>
      <c r="D5" s="396" t="s">
        <v>1689</v>
      </c>
      <c r="E5" s="397" t="s">
        <v>1690</v>
      </c>
      <c r="F5" s="397" t="s">
        <v>1293</v>
      </c>
      <c r="G5" s="398"/>
    </row>
    <row r="6" spans="1:9" s="376" customFormat="1" ht="13.5" customHeight="1">
      <c r="A6" s="399" t="s">
        <v>1691</v>
      </c>
      <c r="B6" s="400" t="s">
        <v>1692</v>
      </c>
      <c r="C6" s="401"/>
      <c r="D6" s="402"/>
      <c r="E6" s="403"/>
      <c r="F6" s="403"/>
      <c r="G6" s="404"/>
    </row>
    <row r="7" spans="1:9" s="376" customFormat="1" ht="13.5" customHeight="1">
      <c r="A7" s="399" t="s">
        <v>1693</v>
      </c>
      <c r="B7" s="400" t="s">
        <v>1694</v>
      </c>
      <c r="C7" s="405">
        <f>ROUND(C6*F7,0)</f>
        <v>0</v>
      </c>
      <c r="D7" s="405"/>
      <c r="E7" s="403"/>
      <c r="F7" s="406">
        <f>IF(项目基本情况!B8="出让",0,'数据-取费表'!B48+'数据-取费表'!B49)</f>
        <v>3.0499999999999999E-2</v>
      </c>
      <c r="G7" s="404"/>
    </row>
    <row r="8" spans="1:9" s="377" customFormat="1">
      <c r="A8" s="399" t="s">
        <v>1695</v>
      </c>
      <c r="B8" s="400" t="s">
        <v>1696</v>
      </c>
      <c r="C8" s="405">
        <f>IF(G8="已包含在土地购买价格中","0",IF(B1="",'数据-取费表'!B29,IF(G9="全部缴纳",C9+C10,H9)))</f>
        <v>0</v>
      </c>
      <c r="D8" s="407"/>
      <c r="E8" s="405"/>
      <c r="F8" s="406"/>
      <c r="G8" s="2322"/>
    </row>
    <row r="9" spans="1:9" s="376" customFormat="1" ht="13.5" customHeight="1">
      <c r="A9" s="409" t="s">
        <v>1597</v>
      </c>
      <c r="B9" s="410" t="s">
        <v>1697</v>
      </c>
      <c r="C9" s="411">
        <f ca="1">ROUND(D9*E9/10000,0)</f>
        <v>0</v>
      </c>
      <c r="D9" s="412">
        <f ca="1">IF(B1="",'数据-汇总表'!E5,IF(INDIRECT("'数据-取费表'!c"&amp;$G$1)="住宅",INDIRECT("'数据-取费表'!k"&amp;$G$1),0))</f>
        <v>0</v>
      </c>
      <c r="E9" s="411">
        <f>'数据-取费表'!B27</f>
        <v>0</v>
      </c>
      <c r="F9" s="406"/>
      <c r="G9" s="2326"/>
      <c r="H9" s="2327"/>
      <c r="I9" s="2328" t="s">
        <v>1698</v>
      </c>
    </row>
    <row r="10" spans="1:9" s="376" customFormat="1" ht="13.5" customHeight="1">
      <c r="A10" s="409" t="s">
        <v>1604</v>
      </c>
      <c r="B10" s="410" t="s">
        <v>1699</v>
      </c>
      <c r="C10" s="411">
        <f ca="1">ROUND(D10*E10/10000,0)</f>
        <v>1</v>
      </c>
      <c r="D10" s="412">
        <f ca="1">IF(B1="",'数据-汇总表'!E6,IF(INDIRECT("'数据-取费表'!c"&amp;$G$1)="住宅",INDIRECT("'数据-取费表'!s"&amp;$G$1),INDIRECT("'数据-取费表'!k"&amp;$G$1)+INDIRECT("'数据-取费表'!s"&amp;$G$1)))</f>
        <v>30.6</v>
      </c>
      <c r="E10" s="411">
        <f>'数据-取费表'!B28</f>
        <v>190</v>
      </c>
      <c r="F10" s="406"/>
      <c r="G10" s="413"/>
    </row>
    <row r="11" spans="1:9" s="376" customFormat="1" ht="13.5" hidden="1" customHeight="1">
      <c r="A11" s="414" t="s">
        <v>1700</v>
      </c>
      <c r="B11" s="400" t="s">
        <v>1701</v>
      </c>
      <c r="C11" s="396"/>
      <c r="D11" s="415"/>
      <c r="E11" s="403"/>
      <c r="F11" s="403"/>
      <c r="G11" s="404"/>
    </row>
    <row r="12" spans="1:9" s="376" customFormat="1" ht="13.5" hidden="1" customHeight="1">
      <c r="A12" s="414" t="s">
        <v>1702</v>
      </c>
      <c r="B12" s="400" t="s">
        <v>1329</v>
      </c>
      <c r="C12" s="396">
        <v>0</v>
      </c>
      <c r="D12" s="415"/>
      <c r="E12" s="416"/>
      <c r="F12" s="406">
        <v>3.0499999999999999E-2</v>
      </c>
      <c r="G12" s="404"/>
    </row>
    <row r="13" spans="1:9" s="376" customFormat="1" ht="13.5" hidden="1" customHeight="1">
      <c r="A13" s="414" t="s">
        <v>1703</v>
      </c>
      <c r="B13" s="400" t="s">
        <v>1704</v>
      </c>
      <c r="C13" s="396"/>
      <c r="D13" s="415"/>
      <c r="E13" s="403"/>
      <c r="F13" s="403"/>
      <c r="G13" s="404"/>
    </row>
    <row r="14" spans="1:9" s="376" customFormat="1" ht="13.5" hidden="1" customHeight="1">
      <c r="A14" s="414" t="s">
        <v>1705</v>
      </c>
      <c r="B14" s="400" t="s">
        <v>1696</v>
      </c>
      <c r="C14" s="396"/>
      <c r="D14" s="415"/>
      <c r="E14" s="403"/>
      <c r="F14" s="403"/>
      <c r="G14" s="404" t="s">
        <v>1706</v>
      </c>
    </row>
    <row r="15" spans="1:9" s="376" customFormat="1" ht="13.5" hidden="1" customHeight="1">
      <c r="A15" s="414" t="s">
        <v>1707</v>
      </c>
      <c r="B15" s="400" t="s">
        <v>1708</v>
      </c>
      <c r="C15" s="405"/>
      <c r="D15" s="415"/>
      <c r="E15" s="403"/>
      <c r="F15" s="403"/>
      <c r="G15" s="404" t="s">
        <v>1709</v>
      </c>
    </row>
    <row r="16" spans="1:9" s="376" customFormat="1" ht="13.5" hidden="1" customHeight="1">
      <c r="A16" s="414" t="s">
        <v>1710</v>
      </c>
      <c r="B16" s="400" t="s">
        <v>1696</v>
      </c>
      <c r="C16" s="405"/>
      <c r="D16" s="415"/>
      <c r="E16" s="403"/>
      <c r="F16" s="403"/>
      <c r="G16" s="404"/>
    </row>
    <row r="17" spans="1:7" s="376" customFormat="1" ht="13.5" hidden="1" customHeight="1">
      <c r="A17" s="414" t="s">
        <v>1711</v>
      </c>
      <c r="B17" s="400" t="s">
        <v>1712</v>
      </c>
      <c r="C17" s="417"/>
      <c r="D17" s="418"/>
      <c r="E17" s="417"/>
      <c r="F17" s="417"/>
      <c r="G17" s="404" t="s">
        <v>1709</v>
      </c>
    </row>
    <row r="18" spans="1:7" s="376" customFormat="1" ht="13.5" hidden="1" customHeight="1">
      <c r="A18" s="414" t="s">
        <v>1713</v>
      </c>
      <c r="B18" s="400" t="s">
        <v>1714</v>
      </c>
      <c r="C18" s="405">
        <v>0</v>
      </c>
      <c r="D18" s="415"/>
      <c r="E18" s="403"/>
      <c r="F18" s="406">
        <v>3.0499999999999999E-2</v>
      </c>
      <c r="G18" s="404" t="s">
        <v>1715</v>
      </c>
    </row>
    <row r="19" spans="1:7" s="377" customFormat="1" ht="13.5" customHeight="1">
      <c r="A19" s="394" t="s">
        <v>1716</v>
      </c>
      <c r="B19" s="395" t="s">
        <v>1717</v>
      </c>
      <c r="C19" s="396">
        <f ca="1">IF(G19="已包含在土地取得成本中","0",ROUND(D19*E19/10000,0))</f>
        <v>1</v>
      </c>
      <c r="D19" s="420">
        <f ca="1">D9+D10</f>
        <v>30.6</v>
      </c>
      <c r="E19" s="396">
        <f>'数据-取费表'!B31</f>
        <v>200</v>
      </c>
      <c r="F19" s="421"/>
      <c r="G19" s="2322"/>
    </row>
    <row r="20" spans="1:7" s="376" customFormat="1" ht="13.5" customHeight="1">
      <c r="A20" s="394" t="s">
        <v>1718</v>
      </c>
      <c r="B20" s="395" t="s">
        <v>1719</v>
      </c>
      <c r="C20" s="422">
        <f ca="1">ROUND((C5+C19)*F20,0)</f>
        <v>0</v>
      </c>
      <c r="D20" s="422"/>
      <c r="E20" s="422"/>
      <c r="F20" s="423">
        <f>'数据-取费表'!B37</f>
        <v>0.02</v>
      </c>
      <c r="G20" s="427" t="s">
        <v>1720</v>
      </c>
    </row>
    <row r="21" spans="1:7" s="376" customFormat="1" ht="13.5" customHeight="1">
      <c r="A21" s="394" t="s">
        <v>1721</v>
      </c>
      <c r="B21" s="395" t="s">
        <v>1722</v>
      </c>
      <c r="C21" s="425">
        <f>F21</f>
        <v>0.02</v>
      </c>
      <c r="D21" s="426" t="s">
        <v>1723</v>
      </c>
      <c r="E21" s="422"/>
      <c r="F21" s="423">
        <f>'数据-取费表'!B38</f>
        <v>0.02</v>
      </c>
      <c r="G21" s="427" t="s">
        <v>1724</v>
      </c>
    </row>
    <row r="22" spans="1:7" s="376" customFormat="1" ht="13.5" customHeight="1">
      <c r="A22" s="394" t="s">
        <v>1725</v>
      </c>
      <c r="B22" s="395" t="s">
        <v>1726</v>
      </c>
      <c r="C22" s="428">
        <f ca="1">ROUND(SUM(C23:C25),0)</f>
        <v>0</v>
      </c>
      <c r="D22" s="425">
        <f ca="1">C26</f>
        <v>5.9999999999999995E-4</v>
      </c>
      <c r="E22" s="426" t="s">
        <v>1723</v>
      </c>
      <c r="F22" s="429">
        <f ca="1">'数据-取费表'!B40</f>
        <v>3.1300000000000001E-2</v>
      </c>
      <c r="G22" s="427" t="str">
        <f>IF('数据-取费表'!B22&lt;=1,"单利计息","复利计息")</f>
        <v>复利计息</v>
      </c>
    </row>
    <row r="23" spans="1:7" s="376" customFormat="1" ht="13.5" customHeight="1">
      <c r="A23" s="430" t="s">
        <v>1691</v>
      </c>
      <c r="B23" s="400" t="s">
        <v>1727</v>
      </c>
      <c r="C23" s="431">
        <f ca="1">ROUND(IF('数据-取费表'!B22&lt;=1,C5*F22*'数据-取费表'!B23,C5*(POWER((1+F22),'数据-取费表'!B23)-1)),0)</f>
        <v>0</v>
      </c>
      <c r="D23" s="432"/>
      <c r="E23" s="432"/>
      <c r="F23" s="433"/>
      <c r="G23" s="434" t="s">
        <v>1728</v>
      </c>
    </row>
    <row r="24" spans="1:7" s="376" customFormat="1" ht="13.5" customHeight="1">
      <c r="A24" s="430" t="s">
        <v>1693</v>
      </c>
      <c r="B24" s="400" t="s">
        <v>1729</v>
      </c>
      <c r="C24" s="431">
        <f ca="1">ROUND(IF('数据-取费表'!B22&lt;=1,C19*F22*('数据-取费表'!B19/2+'数据-取费表'!B21),C19*(POWER((1+F22),('数据-取费表'!B19/2+'数据-取费表'!B21))-1)),0)</f>
        <v>0</v>
      </c>
      <c r="D24" s="432"/>
      <c r="E24" s="432"/>
      <c r="F24" s="433"/>
      <c r="G24" s="434" t="s">
        <v>1730</v>
      </c>
    </row>
    <row r="25" spans="1:7" s="376" customFormat="1" ht="24">
      <c r="A25" s="430" t="s">
        <v>1695</v>
      </c>
      <c r="B25" s="400" t="s">
        <v>1731</v>
      </c>
      <c r="C25" s="431">
        <f ca="1">ROUND(IF('数据-取费表'!B22&lt;=1,C20*F22*'数据-取费表'!B23/2,C20*(POWER((1+F22),'数据-取费表'!B23/2)-1)),0)</f>
        <v>0</v>
      </c>
      <c r="D25" s="432"/>
      <c r="E25" s="435"/>
      <c r="F25" s="433"/>
      <c r="G25" s="436" t="s">
        <v>1732</v>
      </c>
    </row>
    <row r="26" spans="1:7" s="376" customFormat="1">
      <c r="A26" s="430" t="s">
        <v>1733</v>
      </c>
      <c r="B26" s="400" t="s">
        <v>1734</v>
      </c>
      <c r="C26" s="432">
        <f ca="1">ROUND(IF('数据-取费表'!B22&lt;=1,F21*F22*'数据-取费表'!B23/2,F21*(POWER((1+F22),'数据-取费表'!B23/2)-1)),4)</f>
        <v>5.9999999999999995E-4</v>
      </c>
      <c r="D26" s="432"/>
      <c r="E26" s="435"/>
      <c r="F26" s="433"/>
      <c r="G26" s="437"/>
    </row>
    <row r="27" spans="1:7" s="376" customFormat="1" ht="24.75">
      <c r="A27" s="394" t="s">
        <v>1735</v>
      </c>
      <c r="B27" s="438" t="s">
        <v>1736</v>
      </c>
      <c r="C27" s="439">
        <f ca="1">C28</f>
        <v>0</v>
      </c>
      <c r="D27" s="425">
        <f ca="1">C29</f>
        <v>1E-3</v>
      </c>
      <c r="E27" s="426" t="s">
        <v>1723</v>
      </c>
      <c r="F27" s="440">
        <f ca="1">IF(B1="",'数据-取费表'!Q16,INDIRECT("'数据-取费表'!q"&amp;$G$1))</f>
        <v>0.05</v>
      </c>
      <c r="G27" s="441" t="s">
        <v>1737</v>
      </c>
    </row>
    <row r="28" spans="1:7" s="376" customFormat="1" ht="13.5" customHeight="1">
      <c r="A28" s="430" t="s">
        <v>1691</v>
      </c>
      <c r="B28" s="442" t="s">
        <v>1738</v>
      </c>
      <c r="C28" s="443">
        <f ca="1">ROUND((C5+C19+C20)*F27*'数据-取费表'!B21/'数据-取费表'!B20,0)</f>
        <v>0</v>
      </c>
      <c r="D28" s="425"/>
      <c r="E28" s="426"/>
      <c r="F28" s="440"/>
      <c r="G28" s="441"/>
    </row>
    <row r="29" spans="1:7" s="376" customFormat="1" ht="13.5" customHeight="1">
      <c r="A29" s="430" t="s">
        <v>1693</v>
      </c>
      <c r="B29" s="442" t="s">
        <v>1739</v>
      </c>
      <c r="C29" s="432">
        <f ca="1">ROUND(C21*F27*'数据-取费表'!B21/'数据-取费表'!B20,4)</f>
        <v>1E-3</v>
      </c>
      <c r="D29" s="425"/>
      <c r="E29" s="426"/>
      <c r="F29" s="440"/>
      <c r="G29" s="441"/>
    </row>
    <row r="30" spans="1:7" s="376" customFormat="1" ht="13.5" customHeight="1">
      <c r="A30" s="394" t="s">
        <v>1740</v>
      </c>
      <c r="B30" s="395" t="s">
        <v>1741</v>
      </c>
      <c r="C30" s="425">
        <f>ROUND(F30/(1+'数据-取费表'!C42),4)</f>
        <v>5.2400000000000002E-2</v>
      </c>
      <c r="D30" s="426" t="s">
        <v>1723</v>
      </c>
      <c r="E30" s="435"/>
      <c r="F30" s="429">
        <f>'数据-取费表'!B41</f>
        <v>5.5E-2</v>
      </c>
      <c r="G30" s="427" t="s">
        <v>1742</v>
      </c>
    </row>
    <row r="31" spans="1:7" ht="16.5" customHeight="1">
      <c r="A31" s="444">
        <v>1</v>
      </c>
      <c r="B31" s="395" t="s">
        <v>1743</v>
      </c>
      <c r="C31" s="396">
        <f ca="1">ROUND((C5+C19+C20+C22+C27)/(1-C21-D22-D27-C30),0)</f>
        <v>1</v>
      </c>
      <c r="D31" s="445"/>
      <c r="E31" s="396"/>
      <c r="F31" s="446"/>
      <c r="G31" s="427" t="s">
        <v>1744</v>
      </c>
    </row>
    <row r="32" spans="1:7" s="375" customFormat="1" ht="15.75">
      <c r="A32" s="447" t="s">
        <v>1745</v>
      </c>
      <c r="B32" s="448"/>
      <c r="C32" s="448"/>
      <c r="D32" s="448"/>
      <c r="E32" s="448"/>
      <c r="F32" s="448"/>
      <c r="G32" s="449"/>
    </row>
    <row r="33" spans="1:7" s="376" customFormat="1" ht="13.5" customHeight="1">
      <c r="A33" s="394" t="s">
        <v>1687</v>
      </c>
      <c r="B33" s="395" t="s">
        <v>1746</v>
      </c>
      <c r="C33" s="450">
        <f ca="1">SUM(C34:C38)</f>
        <v>14</v>
      </c>
      <c r="D33" s="422"/>
      <c r="E33" s="397"/>
      <c r="F33" s="435"/>
      <c r="G33" s="427"/>
    </row>
    <row r="34" spans="1:7" s="378" customFormat="1" ht="13.5" customHeight="1">
      <c r="A34" s="430" t="s">
        <v>1691</v>
      </c>
      <c r="B34" s="400" t="s">
        <v>1747</v>
      </c>
      <c r="C34" s="405">
        <f ca="1">IF(B1="",IF(F34=100%,'数据-取费表'!M16,'数据-取费表'!O16),IF(F34=100%,INDIRECT("'数据-取费表'!m"&amp;$G$1)+INDIRECT("'数据-取费表'!t"&amp;$G$1),INDIRECT("'数据-取费表'!o"&amp;$G$1)+INDIRECT("'数据-取费表'!aq"&amp;$G$1)))</f>
        <v>12</v>
      </c>
      <c r="D34" s="402"/>
      <c r="E34" s="405"/>
      <c r="F34" s="451">
        <f ca="1">IF('数据-取费表'!B24=0,1,IF(B1="",'数据-取费表'!N16,INDIRECT("'数据-取费表'!n"&amp;$G$1)))</f>
        <v>1</v>
      </c>
      <c r="G34" s="404" t="s">
        <v>1748</v>
      </c>
    </row>
    <row r="35" spans="1:7" ht="13.5" customHeight="1">
      <c r="A35" s="430" t="s">
        <v>1693</v>
      </c>
      <c r="B35" s="400" t="s">
        <v>1749</v>
      </c>
      <c r="C35" s="405">
        <f ca="1">ROUND(C34*F35,0)</f>
        <v>1</v>
      </c>
      <c r="D35" s="405"/>
      <c r="E35" s="405"/>
      <c r="F35" s="452">
        <f>'数据-取费表'!B33</f>
        <v>0.05</v>
      </c>
      <c r="G35" s="404" t="s">
        <v>1750</v>
      </c>
    </row>
    <row r="36" spans="1:7" ht="24">
      <c r="A36" s="430" t="s">
        <v>1695</v>
      </c>
      <c r="B36" s="400" t="s">
        <v>1751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1752</v>
      </c>
    </row>
    <row r="37" spans="1:7" s="378" customFormat="1" ht="13.5" customHeight="1">
      <c r="A37" s="430" t="s">
        <v>1733</v>
      </c>
      <c r="B37" s="400" t="s">
        <v>1753</v>
      </c>
      <c r="C37" s="443">
        <f ca="1">ROUND(E37*D37*F34/10000,0)</f>
        <v>1</v>
      </c>
      <c r="D37" s="402">
        <f ca="1">D19</f>
        <v>30.6</v>
      </c>
      <c r="E37" s="443">
        <f>'数据-取费表'!B35</f>
        <v>200</v>
      </c>
      <c r="F37" s="452"/>
      <c r="G37" s="454" t="s">
        <v>1754</v>
      </c>
    </row>
    <row r="38" spans="1:7" ht="13.5" customHeight="1">
      <c r="A38" s="430" t="s">
        <v>1755</v>
      </c>
      <c r="B38" s="400" t="s">
        <v>1329</v>
      </c>
      <c r="C38" s="405">
        <f ca="1">ROUND(C34*F38,0)</f>
        <v>0</v>
      </c>
      <c r="D38" s="405"/>
      <c r="E38" s="405"/>
      <c r="F38" s="452">
        <f>'数据-取费表'!B36</f>
        <v>0.02</v>
      </c>
      <c r="G38" s="404" t="s">
        <v>1750</v>
      </c>
    </row>
    <row r="39" spans="1:7" s="376" customFormat="1" ht="13.5" customHeight="1">
      <c r="A39" s="394" t="s">
        <v>1716</v>
      </c>
      <c r="B39" s="395" t="s">
        <v>1719</v>
      </c>
      <c r="C39" s="422">
        <f ca="1">ROUND(C33*F20,0)</f>
        <v>0</v>
      </c>
      <c r="D39" s="422"/>
      <c r="E39" s="422"/>
      <c r="F39" s="423">
        <f>F20</f>
        <v>0.02</v>
      </c>
      <c r="G39" s="427" t="s">
        <v>1756</v>
      </c>
    </row>
    <row r="40" spans="1:7" s="376" customFormat="1" ht="13.5" customHeight="1">
      <c r="A40" s="394" t="s">
        <v>1718</v>
      </c>
      <c r="B40" s="395" t="s">
        <v>1722</v>
      </c>
      <c r="C40" s="2325">
        <f>F21</f>
        <v>0.02</v>
      </c>
      <c r="D40" s="426" t="s">
        <v>1757</v>
      </c>
      <c r="E40" s="422"/>
      <c r="F40" s="423">
        <f>F21</f>
        <v>0.02</v>
      </c>
      <c r="G40" s="427" t="s">
        <v>1758</v>
      </c>
    </row>
    <row r="41" spans="1:7" s="376" customFormat="1" ht="13.5" customHeight="1">
      <c r="A41" s="394" t="s">
        <v>1721</v>
      </c>
      <c r="B41" s="395" t="s">
        <v>1726</v>
      </c>
      <c r="C41" s="422">
        <f ca="1">ROUND(SUM(C42:C43),0)</f>
        <v>0</v>
      </c>
      <c r="D41" s="425">
        <f ca="1">C44</f>
        <v>5.9999999999999995E-4</v>
      </c>
      <c r="E41" s="426" t="s">
        <v>1757</v>
      </c>
      <c r="F41" s="429">
        <f ca="1">F22</f>
        <v>3.1300000000000001E-2</v>
      </c>
      <c r="G41" s="427" t="str">
        <f>IF('数据-取费表'!B22&lt;=1,"单利计息","复利计息")</f>
        <v>复利计息</v>
      </c>
    </row>
    <row r="42" spans="1:7" ht="13.5" customHeight="1">
      <c r="A42" s="430" t="s">
        <v>1691</v>
      </c>
      <c r="B42" s="400" t="s">
        <v>1727</v>
      </c>
      <c r="C42" s="432">
        <f ca="1">ROUND(IF('数据-取费表'!B22&lt;=1,C33*F22*'数据-取费表'!B21/2,C33*(POWER((1+F22),'数据-取费表'!B21/2)-1)),0)</f>
        <v>0</v>
      </c>
      <c r="D42" s="432"/>
      <c r="E42" s="432"/>
      <c r="F42" s="433"/>
      <c r="G42" s="3725" t="s">
        <v>1759</v>
      </c>
    </row>
    <row r="43" spans="1:7" ht="13.5" customHeight="1">
      <c r="A43" s="430" t="s">
        <v>1693</v>
      </c>
      <c r="B43" s="400" t="s">
        <v>1729</v>
      </c>
      <c r="C43" s="432">
        <f ca="1">ROUND(IF('数据-取费表'!B22&lt;=1,C39*F22*'数据-取费表'!B21/2,C39*(POWER((1+F22),'数据-取费表'!B21/2)-1)),0)</f>
        <v>0</v>
      </c>
      <c r="D43" s="432"/>
      <c r="E43" s="432"/>
      <c r="F43" s="433"/>
      <c r="G43" s="3726"/>
    </row>
    <row r="44" spans="1:7" ht="13.5" customHeight="1">
      <c r="A44" s="430" t="s">
        <v>1695</v>
      </c>
      <c r="B44" s="400" t="s">
        <v>1731</v>
      </c>
      <c r="C44" s="432">
        <f ca="1">ROUND(IF('数据-取费表'!B22&lt;=1,C40*F22*'数据-取费表'!B21/2,C40*(POWER((1+F22),'数据-取费表'!B21/2)-1)),4)</f>
        <v>5.9999999999999995E-4</v>
      </c>
      <c r="D44" s="432"/>
      <c r="E44" s="432"/>
      <c r="F44" s="433"/>
      <c r="G44" s="3727"/>
    </row>
    <row r="45" spans="1:7" s="376" customFormat="1" ht="13.5" customHeight="1">
      <c r="A45" s="394" t="s">
        <v>1725</v>
      </c>
      <c r="B45" s="438" t="s">
        <v>1736</v>
      </c>
      <c r="C45" s="439">
        <f ca="1">C46</f>
        <v>1</v>
      </c>
      <c r="D45" s="425">
        <f ca="1">C47</f>
        <v>1E-3</v>
      </c>
      <c r="E45" s="426" t="s">
        <v>1757</v>
      </c>
      <c r="F45" s="440">
        <f ca="1">F27</f>
        <v>0.05</v>
      </c>
      <c r="G45" s="441" t="s">
        <v>1760</v>
      </c>
    </row>
    <row r="46" spans="1:7" s="376" customFormat="1" ht="13.5" customHeight="1">
      <c r="A46" s="430" t="s">
        <v>1691</v>
      </c>
      <c r="B46" s="442" t="s">
        <v>1761</v>
      </c>
      <c r="C46" s="443">
        <f ca="1">ROUND((C33+C39)*F27,0)</f>
        <v>1</v>
      </c>
      <c r="D46" s="456"/>
      <c r="E46" s="426"/>
      <c r="F46" s="440"/>
      <c r="G46" s="441"/>
    </row>
    <row r="47" spans="1:7" s="376" customFormat="1" ht="13.5" customHeight="1">
      <c r="A47" s="430" t="s">
        <v>1693</v>
      </c>
      <c r="B47" s="442" t="s">
        <v>1762</v>
      </c>
      <c r="C47" s="432">
        <f ca="1">ROUND(C40*F27,4)</f>
        <v>1E-3</v>
      </c>
      <c r="D47" s="456"/>
      <c r="E47" s="426"/>
      <c r="F47" s="440"/>
      <c r="G47" s="441"/>
    </row>
    <row r="48" spans="1:7" s="376" customFormat="1" ht="13.5" customHeight="1">
      <c r="A48" s="394" t="s">
        <v>1735</v>
      </c>
      <c r="B48" s="395" t="s">
        <v>1741</v>
      </c>
      <c r="C48" s="2325">
        <f>ROUND(F30/(1+'数据-取费表'!C42),4)</f>
        <v>5.2400000000000002E-2</v>
      </c>
      <c r="D48" s="426" t="s">
        <v>1757</v>
      </c>
      <c r="E48" s="422"/>
      <c r="F48" s="429">
        <f>F30</f>
        <v>5.5E-2</v>
      </c>
      <c r="G48" s="427" t="s">
        <v>1763</v>
      </c>
    </row>
    <row r="49" spans="1:7" ht="16.5" customHeight="1">
      <c r="A49" s="394" t="s">
        <v>1740</v>
      </c>
      <c r="B49" s="395" t="s">
        <v>1764</v>
      </c>
      <c r="C49" s="422">
        <f ca="1">ROUND((C33+C39+C41+C45)/(1-C40-D41-D45-C48),0)</f>
        <v>16</v>
      </c>
      <c r="D49" s="422"/>
      <c r="E49" s="422"/>
      <c r="F49" s="457"/>
      <c r="G49" s="427" t="s">
        <v>1765</v>
      </c>
    </row>
    <row r="50" spans="1:7" s="378" customFormat="1" ht="24">
      <c r="A50" s="394" t="s">
        <v>1766</v>
      </c>
      <c r="B50" s="395" t="s">
        <v>1767</v>
      </c>
      <c r="C50" s="422"/>
      <c r="D50" s="422"/>
      <c r="E50" s="422"/>
      <c r="F50" s="457">
        <f>IF('数据-取费表'!B24=0,'数据-取费表'!N16,1)</f>
        <v>0.81499999999999995</v>
      </c>
      <c r="G50" s="441" t="s">
        <v>1768</v>
      </c>
    </row>
    <row r="51" spans="1:7" ht="16.5" customHeight="1">
      <c r="A51" s="394" t="s">
        <v>1769</v>
      </c>
      <c r="B51" s="395" t="s">
        <v>1770</v>
      </c>
      <c r="C51" s="422">
        <f ca="1">ROUND(C49*F50,0)</f>
        <v>13</v>
      </c>
      <c r="D51" s="422"/>
      <c r="E51" s="422"/>
      <c r="F51" s="457"/>
      <c r="G51" s="427" t="s">
        <v>1771</v>
      </c>
    </row>
    <row r="52" spans="1:7" s="375" customFormat="1" ht="15.75">
      <c r="A52" s="458" t="s">
        <v>1772</v>
      </c>
      <c r="B52" s="459"/>
      <c r="C52" s="460">
        <f ca="1">C31+C51</f>
        <v>14</v>
      </c>
      <c r="D52" s="459"/>
      <c r="E52" s="459"/>
      <c r="F52" s="459"/>
      <c r="G52" s="461"/>
    </row>
    <row r="55" spans="1:7" ht="15">
      <c r="B55" s="462" t="s">
        <v>1773</v>
      </c>
      <c r="C55" s="463"/>
    </row>
    <row r="56" spans="1:7">
      <c r="B56" s="464" t="s">
        <v>1682</v>
      </c>
      <c r="C56" s="466">
        <f ca="1">1-C57</f>
        <v>7.0999999999999952E-2</v>
      </c>
    </row>
    <row r="57" spans="1:7">
      <c r="B57" s="464" t="s">
        <v>1683</v>
      </c>
      <c r="C57" s="465">
        <f ca="1">ROUND(C51/C52,3)</f>
        <v>0.92900000000000005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1684</v>
      </c>
      <c r="B1" s="2314"/>
      <c r="C1" s="2315" t="s">
        <v>1774</v>
      </c>
      <c r="D1" s="384"/>
      <c r="E1" s="384"/>
      <c r="F1" s="384"/>
      <c r="G1" s="2316">
        <f>MATCH(B1,'数据-取费表'!A6:A16,0)+5</f>
        <v>7</v>
      </c>
      <c r="H1" s="1692" t="str">
        <f>IF(ISERROR(FIND("住宅",B1)),"非住宅","住宅")</f>
        <v>非住宅</v>
      </c>
    </row>
    <row r="2" spans="1:8" s="374" customFormat="1" ht="18" customHeight="1">
      <c r="A2" s="386" t="s">
        <v>1392</v>
      </c>
      <c r="B2" s="2317">
        <f ca="1">ROUND(IF(D2="——",C52/10000,C52/10000-E2),4)</f>
        <v>14.7706</v>
      </c>
      <c r="C2" s="385" t="s">
        <v>1393</v>
      </c>
      <c r="D2" s="2318" t="s">
        <v>124</v>
      </c>
      <c r="E2" s="2319" t="e">
        <f ca="1">SUMIF(INDIRECT("'"&amp;G2&amp;"'"&amp;"!A:A"),"承租人权益价值",INDIRECT("'"&amp;G2&amp;"'"&amp;"!c:c"))</f>
        <v>#REF!</v>
      </c>
      <c r="F2" s="2320" t="s">
        <v>1393</v>
      </c>
      <c r="G2" s="2321"/>
    </row>
    <row r="3" spans="1:8" s="374" customFormat="1" ht="18" customHeight="1">
      <c r="A3" s="389" t="s">
        <v>1394</v>
      </c>
      <c r="B3" s="390">
        <f ca="1">ROUND(B2*10000/(IF(B1="",'数据-汇总表'!E3,INDIRECT("'数据-取费表'!k"&amp;$G$1))),0)</f>
        <v>4827</v>
      </c>
      <c r="C3" s="385" t="s">
        <v>1685</v>
      </c>
      <c r="D3" s="385"/>
      <c r="E3" s="385"/>
      <c r="F3" s="385"/>
      <c r="G3" s="385"/>
    </row>
    <row r="4" spans="1:8" s="375" customFormat="1" ht="15.75">
      <c r="A4" s="391" t="s">
        <v>1686</v>
      </c>
      <c r="B4" s="392"/>
      <c r="C4" s="392"/>
      <c r="D4" s="392"/>
      <c r="E4" s="392"/>
      <c r="F4" s="392"/>
      <c r="G4" s="393"/>
    </row>
    <row r="5" spans="1:8" s="376" customFormat="1" ht="13.5" customHeight="1">
      <c r="A5" s="394" t="s">
        <v>1687</v>
      </c>
      <c r="B5" s="395" t="s">
        <v>1688</v>
      </c>
      <c r="C5" s="396">
        <f ca="1">C6+C7+C8</f>
        <v>5814</v>
      </c>
      <c r="D5" s="396" t="s">
        <v>1689</v>
      </c>
      <c r="E5" s="397" t="s">
        <v>1690</v>
      </c>
      <c r="F5" s="397" t="s">
        <v>1293</v>
      </c>
      <c r="G5" s="398"/>
    </row>
    <row r="6" spans="1:8" s="376" customFormat="1" ht="13.5" customHeight="1">
      <c r="A6" s="399" t="s">
        <v>1691</v>
      </c>
      <c r="B6" s="400" t="s">
        <v>1692</v>
      </c>
      <c r="C6" s="401"/>
      <c r="D6" s="402"/>
      <c r="E6" s="403"/>
      <c r="F6" s="403"/>
      <c r="G6" s="404"/>
    </row>
    <row r="7" spans="1:8" s="376" customFormat="1" ht="13.5" customHeight="1">
      <c r="A7" s="399" t="s">
        <v>1693</v>
      </c>
      <c r="B7" s="400" t="s">
        <v>1694</v>
      </c>
      <c r="C7" s="405">
        <f>ROUND(C6*F7,0)</f>
        <v>0</v>
      </c>
      <c r="D7" s="405"/>
      <c r="E7" s="403"/>
      <c r="F7" s="406">
        <f>IF(项目基本情况!B8="出让",0,'数据-取费表'!B48+'数据-取费表'!B49)</f>
        <v>3.0499999999999999E-2</v>
      </c>
      <c r="G7" s="404"/>
    </row>
    <row r="8" spans="1:8" s="377" customFormat="1">
      <c r="A8" s="399" t="s">
        <v>1695</v>
      </c>
      <c r="B8" s="400" t="s">
        <v>1696</v>
      </c>
      <c r="C8" s="405">
        <f ca="1">IF(G8="已包含在土地购买价格中",0,C9+C10)</f>
        <v>5814</v>
      </c>
      <c r="D8" s="407"/>
      <c r="E8" s="405"/>
      <c r="F8" s="406"/>
      <c r="G8" s="2322"/>
    </row>
    <row r="9" spans="1:8" s="376" customFormat="1" ht="13.5" customHeight="1">
      <c r="A9" s="409" t="s">
        <v>1597</v>
      </c>
      <c r="B9" s="410" t="s">
        <v>1697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1604</v>
      </c>
      <c r="B10" s="410" t="s">
        <v>1699</v>
      </c>
      <c r="C10" s="411">
        <f ca="1">ROUND(D10*E10,0)</f>
        <v>5814</v>
      </c>
      <c r="D10" s="412">
        <f ca="1">IF(B1="",'数据-汇总表'!E6,IF(INDIRECT("'数据-取费表'!c"&amp;$G$1)="住宅",INDIRECT("'数据-取费表'!s"&amp;$G$1),INDIRECT("'数据-取费表'!k"&amp;$G$1)+INDIRECT("'数据-取费表'!s"&amp;$G$1)))</f>
        <v>30.6</v>
      </c>
      <c r="E10" s="411">
        <f>'数据-取费表'!B28</f>
        <v>190</v>
      </c>
      <c r="F10" s="406"/>
      <c r="G10" s="413"/>
    </row>
    <row r="11" spans="1:8" s="376" customFormat="1" ht="13.5" hidden="1" customHeight="1">
      <c r="A11" s="414" t="s">
        <v>1700</v>
      </c>
      <c r="B11" s="400" t="s">
        <v>1701</v>
      </c>
      <c r="C11" s="396"/>
      <c r="D11" s="415"/>
      <c r="E11" s="403"/>
      <c r="F11" s="403"/>
      <c r="G11" s="404"/>
    </row>
    <row r="12" spans="1:8" s="376" customFormat="1" ht="13.5" hidden="1" customHeight="1">
      <c r="A12" s="414" t="s">
        <v>1702</v>
      </c>
      <c r="B12" s="400" t="s">
        <v>1329</v>
      </c>
      <c r="C12" s="396">
        <v>0</v>
      </c>
      <c r="D12" s="415"/>
      <c r="E12" s="416"/>
      <c r="F12" s="406">
        <v>3.0499999999999999E-2</v>
      </c>
      <c r="G12" s="404"/>
    </row>
    <row r="13" spans="1:8" s="376" customFormat="1" ht="13.5" hidden="1" customHeight="1">
      <c r="A13" s="414" t="s">
        <v>1703</v>
      </c>
      <c r="B13" s="400" t="s">
        <v>1704</v>
      </c>
      <c r="C13" s="396"/>
      <c r="D13" s="415"/>
      <c r="E13" s="403"/>
      <c r="F13" s="403"/>
      <c r="G13" s="404"/>
    </row>
    <row r="14" spans="1:8" s="376" customFormat="1" ht="13.5" hidden="1" customHeight="1">
      <c r="A14" s="414" t="s">
        <v>1705</v>
      </c>
      <c r="B14" s="400" t="s">
        <v>1696</v>
      </c>
      <c r="C14" s="396"/>
      <c r="D14" s="415"/>
      <c r="E14" s="403"/>
      <c r="F14" s="403"/>
      <c r="G14" s="404" t="s">
        <v>1706</v>
      </c>
    </row>
    <row r="15" spans="1:8" s="376" customFormat="1" ht="13.5" hidden="1" customHeight="1">
      <c r="A15" s="414" t="s">
        <v>1707</v>
      </c>
      <c r="B15" s="400" t="s">
        <v>1708</v>
      </c>
      <c r="C15" s="405"/>
      <c r="D15" s="415"/>
      <c r="E15" s="403"/>
      <c r="F15" s="403"/>
      <c r="G15" s="404" t="s">
        <v>1709</v>
      </c>
    </row>
    <row r="16" spans="1:8" s="376" customFormat="1" ht="13.5" hidden="1" customHeight="1">
      <c r="A16" s="414" t="s">
        <v>1710</v>
      </c>
      <c r="B16" s="400" t="s">
        <v>1696</v>
      </c>
      <c r="C16" s="405"/>
      <c r="D16" s="415"/>
      <c r="E16" s="403"/>
      <c r="F16" s="403"/>
      <c r="G16" s="404"/>
    </row>
    <row r="17" spans="1:7" s="376" customFormat="1" ht="13.5" hidden="1" customHeight="1">
      <c r="A17" s="414" t="s">
        <v>1711</v>
      </c>
      <c r="B17" s="400" t="s">
        <v>1712</v>
      </c>
      <c r="C17" s="417"/>
      <c r="D17" s="418"/>
      <c r="E17" s="417"/>
      <c r="F17" s="417"/>
      <c r="G17" s="404" t="s">
        <v>1709</v>
      </c>
    </row>
    <row r="18" spans="1:7" s="376" customFormat="1" ht="13.5" hidden="1" customHeight="1">
      <c r="A18" s="414" t="s">
        <v>1713</v>
      </c>
      <c r="B18" s="400" t="s">
        <v>1714</v>
      </c>
      <c r="C18" s="405">
        <v>0</v>
      </c>
      <c r="D18" s="415"/>
      <c r="E18" s="403"/>
      <c r="F18" s="406">
        <v>3.0499999999999999E-2</v>
      </c>
      <c r="G18" s="404" t="s">
        <v>1715</v>
      </c>
    </row>
    <row r="19" spans="1:7" s="377" customFormat="1" ht="13.5" customHeight="1">
      <c r="A19" s="394" t="s">
        <v>1716</v>
      </c>
      <c r="B19" s="395" t="s">
        <v>1717</v>
      </c>
      <c r="C19" s="396">
        <f ca="1">IF(G19="已包含在土地取得成本中","0",ROUND(D19*E19,0))</f>
        <v>6120</v>
      </c>
      <c r="D19" s="420">
        <f ca="1">D9+D10</f>
        <v>30.6</v>
      </c>
      <c r="E19" s="396">
        <f>'数据-取费表'!B31</f>
        <v>200</v>
      </c>
      <c r="F19" s="421"/>
      <c r="G19" s="2322"/>
    </row>
    <row r="20" spans="1:7" s="376" customFormat="1" ht="13.5" customHeight="1">
      <c r="A20" s="394" t="s">
        <v>1718</v>
      </c>
      <c r="B20" s="395" t="s">
        <v>1719</v>
      </c>
      <c r="C20" s="422">
        <f ca="1">ROUND((C5+C19)*F20,0)</f>
        <v>239</v>
      </c>
      <c r="D20" s="422"/>
      <c r="E20" s="422"/>
      <c r="F20" s="423">
        <f>'数据-取费表'!B37</f>
        <v>0.02</v>
      </c>
      <c r="G20" s="427" t="s">
        <v>1720</v>
      </c>
    </row>
    <row r="21" spans="1:7" s="376" customFormat="1" ht="13.5" customHeight="1">
      <c r="A21" s="394" t="s">
        <v>1721</v>
      </c>
      <c r="B21" s="395" t="s">
        <v>1722</v>
      </c>
      <c r="C21" s="425">
        <f>F21</f>
        <v>0.02</v>
      </c>
      <c r="D21" s="426" t="s">
        <v>1723</v>
      </c>
      <c r="E21" s="422"/>
      <c r="F21" s="423">
        <f>'数据-取费表'!B38</f>
        <v>0.02</v>
      </c>
      <c r="G21" s="427" t="s">
        <v>1724</v>
      </c>
    </row>
    <row r="22" spans="1:7" s="376" customFormat="1" ht="13.5" customHeight="1">
      <c r="A22" s="394" t="s">
        <v>1725</v>
      </c>
      <c r="B22" s="395" t="s">
        <v>1726</v>
      </c>
      <c r="C22" s="2323">
        <f ca="1">ROUND(SUM(C23:C25),0)</f>
        <v>766</v>
      </c>
      <c r="D22" s="425">
        <f ca="1">C26</f>
        <v>5.9999999999999995E-4</v>
      </c>
      <c r="E22" s="426" t="s">
        <v>1723</v>
      </c>
      <c r="F22" s="429">
        <f ca="1">'数据-取费表'!B40</f>
        <v>3.1300000000000001E-2</v>
      </c>
      <c r="G22" s="427" t="str">
        <f>IF('数据-取费表'!B22&lt;=1,"单利计息","复利计息")</f>
        <v>复利计息</v>
      </c>
    </row>
    <row r="23" spans="1:7" s="376" customFormat="1" ht="13.5" customHeight="1">
      <c r="A23" s="430" t="s">
        <v>1691</v>
      </c>
      <c r="B23" s="400" t="s">
        <v>1727</v>
      </c>
      <c r="C23" s="2324">
        <f ca="1">ROUND(IF('数据-取费表'!B22&lt;=1,C5*F22*'数据-取费表'!B22,C5*(POWER((1+F22),'数据-取费表'!B22)-1)),0)</f>
        <v>370</v>
      </c>
      <c r="D23" s="432"/>
      <c r="E23" s="432"/>
      <c r="F23" s="433"/>
      <c r="G23" s="434" t="s">
        <v>1728</v>
      </c>
    </row>
    <row r="24" spans="1:7" s="376" customFormat="1" ht="13.5" customHeight="1">
      <c r="A24" s="430" t="s">
        <v>1693</v>
      </c>
      <c r="B24" s="400" t="s">
        <v>1729</v>
      </c>
      <c r="C24" s="2324">
        <f ca="1">ROUND(IF('数据-取费表'!B22&lt;=1,C19*F22*('数据-取费表'!B19/2+'数据-取费表'!B20),C19*(POWER((1+F22),('数据-取费表'!B19/2+'数据-取费表'!B20))-1)),0)</f>
        <v>389</v>
      </c>
      <c r="D24" s="432"/>
      <c r="E24" s="432"/>
      <c r="F24" s="433"/>
      <c r="G24" s="434" t="s">
        <v>1730</v>
      </c>
    </row>
    <row r="25" spans="1:7" s="376" customFormat="1" ht="24">
      <c r="A25" s="430" t="s">
        <v>1695</v>
      </c>
      <c r="B25" s="400" t="s">
        <v>1731</v>
      </c>
      <c r="C25" s="2324">
        <f ca="1">ROUND(IF('数据-取费表'!B22&lt;=1,C20*F22*'数据-取费表'!B22/2,C20*(POWER((1+F22),'数据-取费表'!B22/2)-1)),0)</f>
        <v>7</v>
      </c>
      <c r="D25" s="432"/>
      <c r="E25" s="435"/>
      <c r="F25" s="433"/>
      <c r="G25" s="436" t="s">
        <v>1732</v>
      </c>
    </row>
    <row r="26" spans="1:7" s="376" customFormat="1">
      <c r="A26" s="430" t="s">
        <v>1733</v>
      </c>
      <c r="B26" s="400" t="s">
        <v>1734</v>
      </c>
      <c r="C26" s="432">
        <f ca="1">ROUND(IF('数据-取费表'!B22&lt;=1,F21*F22*'数据-取费表'!B22/2,F21*(POWER((1+F22),'数据-取费表'!B22/2)-1)),4)</f>
        <v>5.9999999999999995E-4</v>
      </c>
      <c r="D26" s="432"/>
      <c r="E26" s="435"/>
      <c r="F26" s="433"/>
      <c r="G26" s="437"/>
    </row>
    <row r="27" spans="1:7" s="376" customFormat="1" ht="24.75">
      <c r="A27" s="394" t="s">
        <v>1735</v>
      </c>
      <c r="B27" s="438" t="s">
        <v>1736</v>
      </c>
      <c r="C27" s="439">
        <f ca="1">C28</f>
        <v>609</v>
      </c>
      <c r="D27" s="425">
        <f ca="1">C29</f>
        <v>1E-3</v>
      </c>
      <c r="E27" s="426" t="s">
        <v>1723</v>
      </c>
      <c r="F27" s="440">
        <f ca="1">IF(B1="",'数据-取费表'!Q16,INDIRECT("'数据-取费表'!q"&amp;$G$1))</f>
        <v>0.05</v>
      </c>
      <c r="G27" s="441" t="s">
        <v>1737</v>
      </c>
    </row>
    <row r="28" spans="1:7" s="376" customFormat="1" ht="13.5" customHeight="1">
      <c r="A28" s="430" t="s">
        <v>1691</v>
      </c>
      <c r="B28" s="442" t="s">
        <v>1738</v>
      </c>
      <c r="C28" s="443">
        <f ca="1">ROUND((C5+C19+C20)*F27,0)</f>
        <v>609</v>
      </c>
      <c r="D28" s="425"/>
      <c r="E28" s="426"/>
      <c r="F28" s="440"/>
      <c r="G28" s="441"/>
    </row>
    <row r="29" spans="1:7" s="376" customFormat="1" ht="13.5" customHeight="1">
      <c r="A29" s="430" t="s">
        <v>1693</v>
      </c>
      <c r="B29" s="442" t="s">
        <v>1739</v>
      </c>
      <c r="C29" s="432">
        <f ca="1">ROUND(C21*F27,4)</f>
        <v>1E-3</v>
      </c>
      <c r="D29" s="425"/>
      <c r="E29" s="426"/>
      <c r="F29" s="440"/>
      <c r="G29" s="441"/>
    </row>
    <row r="30" spans="1:7" s="376" customFormat="1" ht="13.5" customHeight="1">
      <c r="A30" s="394" t="s">
        <v>1740</v>
      </c>
      <c r="B30" s="395" t="s">
        <v>1741</v>
      </c>
      <c r="C30" s="425">
        <f>ROUND(F30/(1+'数据-取费表'!C42),4)</f>
        <v>5.2400000000000002E-2</v>
      </c>
      <c r="D30" s="426" t="s">
        <v>1723</v>
      </c>
      <c r="E30" s="435"/>
      <c r="F30" s="429">
        <f>'数据-取费表'!B41</f>
        <v>5.5E-2</v>
      </c>
      <c r="G30" s="427" t="s">
        <v>1742</v>
      </c>
    </row>
    <row r="31" spans="1:7" ht="16.5" customHeight="1">
      <c r="A31" s="444">
        <v>1</v>
      </c>
      <c r="B31" s="395" t="s">
        <v>1743</v>
      </c>
      <c r="C31" s="396">
        <f ca="1">ROUND((C5+C19+C20+C22+C27)/(1-C21-D22-D27-C30),0)</f>
        <v>14631</v>
      </c>
      <c r="D31" s="445"/>
      <c r="E31" s="396"/>
      <c r="F31" s="446"/>
      <c r="G31" s="427" t="s">
        <v>1744</v>
      </c>
    </row>
    <row r="32" spans="1:7" s="375" customFormat="1" ht="15.75">
      <c r="A32" s="447" t="s">
        <v>1775</v>
      </c>
      <c r="B32" s="448"/>
      <c r="C32" s="448"/>
      <c r="D32" s="448"/>
      <c r="E32" s="448"/>
      <c r="F32" s="448"/>
      <c r="G32" s="449"/>
    </row>
    <row r="33" spans="1:7" s="376" customFormat="1" ht="13.5" customHeight="1">
      <c r="A33" s="394" t="s">
        <v>1687</v>
      </c>
      <c r="B33" s="395" t="s">
        <v>1776</v>
      </c>
      <c r="C33" s="450">
        <f ca="1">SUM(C34:C38)</f>
        <v>137088</v>
      </c>
      <c r="D33" s="422"/>
      <c r="E33" s="397"/>
      <c r="F33" s="435"/>
      <c r="G33" s="427"/>
    </row>
    <row r="34" spans="1:7" s="378" customFormat="1" ht="13.5" customHeight="1">
      <c r="A34" s="430" t="s">
        <v>1691</v>
      </c>
      <c r="B34" s="400" t="s">
        <v>1747</v>
      </c>
      <c r="C34" s="405">
        <f ca="1">ROUND(IF(B1="",SUMPRODUCT('数据-取费表'!K6:K14,'数据-取费表'!L6:L14),INDIRECT("'数据-取费表'!l"&amp;$G$1)*INDIRECT("'数据-取费表'!k"&amp;$G$1)+'数据-取费表'!L14*INDIRECT("'数据-取费表'!S"&amp;$G$1)),0)</f>
        <v>122400</v>
      </c>
      <c r="D34" s="402"/>
      <c r="E34" s="405"/>
      <c r="F34" s="451"/>
      <c r="G34" s="404"/>
    </row>
    <row r="35" spans="1:7" ht="13.5" customHeight="1">
      <c r="A35" s="430" t="s">
        <v>1693</v>
      </c>
      <c r="B35" s="400" t="s">
        <v>1749</v>
      </c>
      <c r="C35" s="405">
        <f ca="1">ROUND(C34*F35,0)</f>
        <v>6120</v>
      </c>
      <c r="D35" s="405"/>
      <c r="E35" s="405"/>
      <c r="F35" s="452">
        <f>'数据-取费表'!B33</f>
        <v>0.05</v>
      </c>
      <c r="G35" s="404" t="s">
        <v>1750</v>
      </c>
    </row>
    <row r="36" spans="1:7" ht="24">
      <c r="A36" s="430" t="s">
        <v>1695</v>
      </c>
      <c r="B36" s="400" t="s">
        <v>1751</v>
      </c>
      <c r="C36" s="405">
        <f ca="1">ROUND(IF(B1="",SUM('数据-取费表'!AP6:AP13)*F36,IF(INDIRECT("'数据-取费表'!c"&amp;$G$1)="住宅",INDIRECT("'数据-取费表'!k"&amp;$G$1)*INDIRECT("'数据-取费表'!l"&amp;$G$1)*F36,0)),0)</f>
        <v>0</v>
      </c>
      <c r="D36" s="405"/>
      <c r="E36" s="405"/>
      <c r="F36" s="452">
        <f>'数据-取费表'!B34</f>
        <v>0</v>
      </c>
      <c r="G36" s="453" t="s">
        <v>1752</v>
      </c>
    </row>
    <row r="37" spans="1:7" s="378" customFormat="1" ht="13.5" customHeight="1">
      <c r="A37" s="430" t="s">
        <v>1733</v>
      </c>
      <c r="B37" s="400" t="s">
        <v>1753</v>
      </c>
      <c r="C37" s="443">
        <f ca="1">ROUND(E37*D37,0)</f>
        <v>6120</v>
      </c>
      <c r="D37" s="402">
        <f ca="1">D19</f>
        <v>30.6</v>
      </c>
      <c r="E37" s="443">
        <f>'数据-取费表'!B35</f>
        <v>200</v>
      </c>
      <c r="F37" s="452"/>
      <c r="G37" s="454"/>
    </row>
    <row r="38" spans="1:7" ht="13.5" customHeight="1">
      <c r="A38" s="430" t="s">
        <v>1755</v>
      </c>
      <c r="B38" s="400" t="s">
        <v>1329</v>
      </c>
      <c r="C38" s="405">
        <f ca="1">ROUND(C34*F38,0)</f>
        <v>2448</v>
      </c>
      <c r="D38" s="405"/>
      <c r="E38" s="405"/>
      <c r="F38" s="452">
        <f>'数据-取费表'!B36</f>
        <v>0.02</v>
      </c>
      <c r="G38" s="404" t="s">
        <v>1750</v>
      </c>
    </row>
    <row r="39" spans="1:7" s="376" customFormat="1" ht="13.5" customHeight="1">
      <c r="A39" s="394" t="s">
        <v>1716</v>
      </c>
      <c r="B39" s="395" t="s">
        <v>1719</v>
      </c>
      <c r="C39" s="422">
        <f ca="1">ROUND(C33*F20,0)</f>
        <v>2742</v>
      </c>
      <c r="D39" s="422"/>
      <c r="E39" s="422"/>
      <c r="F39" s="423">
        <f>F20</f>
        <v>0.02</v>
      </c>
      <c r="G39" s="427" t="s">
        <v>1756</v>
      </c>
    </row>
    <row r="40" spans="1:7" s="376" customFormat="1" ht="13.5" customHeight="1">
      <c r="A40" s="394" t="s">
        <v>1718</v>
      </c>
      <c r="B40" s="395" t="s">
        <v>1722</v>
      </c>
      <c r="C40" s="2325">
        <f>F21</f>
        <v>0.02</v>
      </c>
      <c r="D40" s="426" t="s">
        <v>1757</v>
      </c>
      <c r="E40" s="422"/>
      <c r="F40" s="423">
        <f>F21</f>
        <v>0.02</v>
      </c>
      <c r="G40" s="427" t="s">
        <v>1758</v>
      </c>
    </row>
    <row r="41" spans="1:7" s="376" customFormat="1" ht="13.5" customHeight="1">
      <c r="A41" s="394" t="s">
        <v>1721</v>
      </c>
      <c r="B41" s="395" t="s">
        <v>1726</v>
      </c>
      <c r="C41" s="422">
        <f ca="1">ROUND(SUM(C42:C43),0)</f>
        <v>4377</v>
      </c>
      <c r="D41" s="425">
        <f ca="1">C44</f>
        <v>5.9999999999999995E-4</v>
      </c>
      <c r="E41" s="426" t="s">
        <v>1757</v>
      </c>
      <c r="F41" s="429">
        <f ca="1">F22</f>
        <v>3.1300000000000001E-2</v>
      </c>
      <c r="G41" s="427" t="str">
        <f>IF('数据-取费表'!B22&lt;=1,"单利计息","复利计息")</f>
        <v>复利计息</v>
      </c>
    </row>
    <row r="42" spans="1:7" ht="13.5" customHeight="1">
      <c r="A42" s="430" t="s">
        <v>1691</v>
      </c>
      <c r="B42" s="400" t="s">
        <v>1727</v>
      </c>
      <c r="C42" s="432">
        <f ca="1">ROUND(IF('数据-取费表'!B22&lt;=1,C33*F22*'数据-取费表'!B20/2,C33*(POWER((1+F22),'数据-取费表'!B20/2)-1)),0)</f>
        <v>4291</v>
      </c>
      <c r="D42" s="432"/>
      <c r="E42" s="432"/>
      <c r="F42" s="433"/>
      <c r="G42" s="3725" t="s">
        <v>1777</v>
      </c>
    </row>
    <row r="43" spans="1:7" ht="13.5" customHeight="1">
      <c r="A43" s="430" t="s">
        <v>1693</v>
      </c>
      <c r="B43" s="400" t="s">
        <v>1729</v>
      </c>
      <c r="C43" s="432">
        <f ca="1">ROUND(IF('数据-取费表'!B22&lt;=1,C39*F22*'数据-取费表'!B20/2,C39*(POWER((1+F22),'数据-取费表'!B20/2)-1)),0)</f>
        <v>86</v>
      </c>
      <c r="D43" s="432"/>
      <c r="E43" s="432"/>
      <c r="F43" s="433"/>
      <c r="G43" s="3726"/>
    </row>
    <row r="44" spans="1:7" ht="13.5" customHeight="1">
      <c r="A44" s="430" t="s">
        <v>1695</v>
      </c>
      <c r="B44" s="400" t="s">
        <v>1731</v>
      </c>
      <c r="C44" s="432">
        <f ca="1">ROUND(IF('数据-取费表'!B22&lt;=1,C40*F22*'数据-取费表'!B20/2,C40*(POWER((1+F22),'数据-取费表'!B20/2)-1)),4)</f>
        <v>5.9999999999999995E-4</v>
      </c>
      <c r="D44" s="432"/>
      <c r="E44" s="432"/>
      <c r="F44" s="433"/>
      <c r="G44" s="3727"/>
    </row>
    <row r="45" spans="1:7" s="376" customFormat="1" ht="13.5" customHeight="1">
      <c r="A45" s="394" t="s">
        <v>1725</v>
      </c>
      <c r="B45" s="438" t="s">
        <v>1736</v>
      </c>
      <c r="C45" s="439">
        <f ca="1">C46</f>
        <v>6992</v>
      </c>
      <c r="D45" s="425">
        <f ca="1">C47</f>
        <v>1E-3</v>
      </c>
      <c r="E45" s="426" t="s">
        <v>1757</v>
      </c>
      <c r="F45" s="440">
        <f ca="1">F27</f>
        <v>0.05</v>
      </c>
      <c r="G45" s="441" t="s">
        <v>1760</v>
      </c>
    </row>
    <row r="46" spans="1:7" s="376" customFormat="1" ht="13.5" customHeight="1">
      <c r="A46" s="430" t="s">
        <v>1691</v>
      </c>
      <c r="B46" s="442" t="s">
        <v>1761</v>
      </c>
      <c r="C46" s="443">
        <f ca="1">ROUND((C33+C39)*F27,0)</f>
        <v>6992</v>
      </c>
      <c r="D46" s="456"/>
      <c r="E46" s="426"/>
      <c r="F46" s="440"/>
      <c r="G46" s="441"/>
    </row>
    <row r="47" spans="1:7" s="376" customFormat="1" ht="13.5" customHeight="1">
      <c r="A47" s="430" t="s">
        <v>1693</v>
      </c>
      <c r="B47" s="442" t="s">
        <v>1762</v>
      </c>
      <c r="C47" s="432">
        <f ca="1">ROUND(C40*F27,4)</f>
        <v>1E-3</v>
      </c>
      <c r="D47" s="456"/>
      <c r="E47" s="426"/>
      <c r="F47" s="440"/>
      <c r="G47" s="441"/>
    </row>
    <row r="48" spans="1:7" s="376" customFormat="1" ht="13.5" customHeight="1">
      <c r="A48" s="394" t="s">
        <v>1735</v>
      </c>
      <c r="B48" s="395" t="s">
        <v>1741</v>
      </c>
      <c r="C48" s="455">
        <f>ROUND(F30/(1+'数据-取费表'!C42),4)</f>
        <v>5.2400000000000002E-2</v>
      </c>
      <c r="D48" s="426" t="s">
        <v>1757</v>
      </c>
      <c r="E48" s="422"/>
      <c r="F48" s="429">
        <f>F30</f>
        <v>5.5E-2</v>
      </c>
      <c r="G48" s="427" t="s">
        <v>1763</v>
      </c>
    </row>
    <row r="49" spans="1:7" ht="16.5" customHeight="1">
      <c r="A49" s="394" t="s">
        <v>1740</v>
      </c>
      <c r="B49" s="395" t="s">
        <v>1778</v>
      </c>
      <c r="C49" s="422">
        <f ca="1">ROUND((C33+C39+C41+C45)/(1-C40-D41-D45-C48),0)</f>
        <v>163282</v>
      </c>
      <c r="D49" s="422"/>
      <c r="E49" s="422"/>
      <c r="F49" s="457"/>
      <c r="G49" s="427" t="s">
        <v>1765</v>
      </c>
    </row>
    <row r="50" spans="1:7" s="378" customFormat="1">
      <c r="A50" s="394" t="s">
        <v>1766</v>
      </c>
      <c r="B50" s="395" t="s">
        <v>1767</v>
      </c>
      <c r="C50" s="422"/>
      <c r="D50" s="422"/>
      <c r="E50" s="422"/>
      <c r="F50" s="457">
        <f>IF('数据-取费表'!B24=0,'数据-取费表'!N16,1)</f>
        <v>0.81499999999999995</v>
      </c>
      <c r="G50" s="441"/>
    </row>
    <row r="51" spans="1:7" ht="16.5" customHeight="1">
      <c r="A51" s="394" t="s">
        <v>1769</v>
      </c>
      <c r="B51" s="395" t="s">
        <v>1779</v>
      </c>
      <c r="C51" s="422">
        <f ca="1">ROUND(C49*F50,0)</f>
        <v>133075</v>
      </c>
      <c r="D51" s="422"/>
      <c r="E51" s="422"/>
      <c r="F51" s="457"/>
      <c r="G51" s="427" t="s">
        <v>1771</v>
      </c>
    </row>
    <row r="52" spans="1:7" s="375" customFormat="1" ht="15.75">
      <c r="A52" s="458" t="s">
        <v>1772</v>
      </c>
      <c r="B52" s="459"/>
      <c r="C52" s="460">
        <f ca="1">C31+C51</f>
        <v>147706</v>
      </c>
      <c r="D52" s="459"/>
      <c r="E52" s="459"/>
      <c r="F52" s="459"/>
      <c r="G52" s="461"/>
    </row>
    <row r="55" spans="1:7" ht="15">
      <c r="B55" s="462" t="s">
        <v>1773</v>
      </c>
      <c r="C55" s="463"/>
    </row>
    <row r="56" spans="1:7">
      <c r="B56" s="464" t="s">
        <v>1682</v>
      </c>
      <c r="C56" s="466">
        <f ca="1">1-C57</f>
        <v>9.8999999999999977E-2</v>
      </c>
    </row>
    <row r="57" spans="1:7">
      <c r="B57" s="464" t="s">
        <v>1683</v>
      </c>
      <c r="C57" s="465">
        <f ca="1">ROUND(C51/C52,3)</f>
        <v>0.90100000000000002</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63" customWidth="1"/>
    <col min="2" max="2" width="25.75" style="2228" customWidth="1"/>
    <col min="3" max="3" width="10.375" style="2229" customWidth="1"/>
    <col min="4" max="4" width="9.875" style="2228" customWidth="1"/>
    <col min="5" max="5" width="9.5" style="663"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spans="1:33" ht="20.25">
      <c r="A1" s="382" t="s">
        <v>1780</v>
      </c>
      <c r="B1" s="2048"/>
      <c r="C1" s="2230"/>
      <c r="D1" s="2231"/>
      <c r="E1" s="2232"/>
      <c r="F1" s="2232"/>
      <c r="G1" s="2233"/>
      <c r="H1" s="2232"/>
      <c r="I1" s="2232"/>
      <c r="J1" s="2232"/>
      <c r="K1" s="2301">
        <f>MATCH(C1,'数据-取费表'!A6:A16,0)+5</f>
        <v>7</v>
      </c>
    </row>
    <row r="2" spans="1:33" ht="18" customHeight="1">
      <c r="A2" s="386" t="s">
        <v>1392</v>
      </c>
      <c r="B2" s="390">
        <f ca="1">C32</f>
        <v>-1</v>
      </c>
      <c r="C2" s="2234" t="s">
        <v>1781</v>
      </c>
      <c r="D2" s="2234"/>
      <c r="E2" s="2232"/>
      <c r="F2" s="2232"/>
      <c r="G2" s="2232"/>
      <c r="H2" s="2232"/>
      <c r="I2" s="2232"/>
      <c r="J2" s="2232"/>
      <c r="K2" s="2232"/>
    </row>
    <row r="3" spans="1:33" ht="18" customHeight="1">
      <c r="A3" s="389" t="s">
        <v>1394</v>
      </c>
      <c r="B3" s="390">
        <f ca="1">ROUND(B2*10000/IF(C1="",'数据-汇总表'!E3,INDIRECT("'数据-取费表'!K"&amp;$K$1)),0)</f>
        <v>-327</v>
      </c>
      <c r="C3" s="2234" t="s">
        <v>1782</v>
      </c>
      <c r="D3" s="2234"/>
      <c r="E3" s="2232"/>
      <c r="F3" s="2232"/>
      <c r="G3" s="2232"/>
      <c r="H3" s="2232"/>
      <c r="I3" s="2232"/>
      <c r="J3" s="2232"/>
      <c r="K3" s="2232"/>
    </row>
    <row r="4" spans="1:33" s="2219" customFormat="1" ht="16.5" customHeight="1">
      <c r="A4" s="2235" t="s">
        <v>1783</v>
      </c>
      <c r="B4" s="2236"/>
      <c r="C4" s="2237">
        <f>SUM(C8:K8)</f>
        <v>0</v>
      </c>
      <c r="D4" s="2236"/>
      <c r="E4" s="2236"/>
      <c r="F4" s="2236"/>
      <c r="G4" s="2236"/>
      <c r="H4" s="2236"/>
      <c r="I4" s="2236"/>
      <c r="J4" s="2236"/>
      <c r="K4" s="2302"/>
    </row>
    <row r="5" spans="1:33" s="2220" customFormat="1" ht="15">
      <c r="A5" s="2238" t="s">
        <v>1784</v>
      </c>
      <c r="B5" s="2239" t="s">
        <v>1785</v>
      </c>
      <c r="C5" s="2240"/>
      <c r="D5" s="2240"/>
      <c r="E5" s="2240"/>
      <c r="F5" s="2240"/>
      <c r="G5" s="2240"/>
      <c r="H5" s="2240"/>
      <c r="I5" s="2240"/>
      <c r="J5" s="2240"/>
      <c r="K5" s="2240"/>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pans="1:33" s="2221" customFormat="1" ht="13.5" customHeight="1">
      <c r="A6" s="2241" t="s">
        <v>1298</v>
      </c>
      <c r="B6" s="2011" t="s">
        <v>1786</v>
      </c>
      <c r="C6" s="2242"/>
      <c r="D6" s="2242"/>
      <c r="E6" s="2242"/>
      <c r="F6" s="2242"/>
      <c r="G6" s="2242"/>
      <c r="H6" s="2242"/>
      <c r="I6" s="2242"/>
      <c r="J6" s="2242"/>
      <c r="K6" s="2304"/>
      <c r="L6" s="2305"/>
      <c r="M6" s="2305"/>
      <c r="N6" s="2305"/>
      <c r="O6" s="2305"/>
      <c r="P6" s="2305"/>
      <c r="Q6" s="2305"/>
      <c r="R6" s="2305"/>
      <c r="S6" s="2305"/>
      <c r="T6" s="2305"/>
      <c r="U6" s="2305"/>
      <c r="V6" s="2305"/>
      <c r="W6" s="2305"/>
      <c r="X6" s="2305"/>
      <c r="Y6" s="2305"/>
      <c r="Z6" s="2305"/>
      <c r="AA6" s="2305"/>
      <c r="AB6" s="2305"/>
      <c r="AC6" s="2305"/>
      <c r="AD6" s="2305"/>
      <c r="AE6" s="2305"/>
      <c r="AF6" s="2305"/>
      <c r="AG6" s="2305"/>
    </row>
    <row r="7" spans="1:33" s="2221" customFormat="1" ht="13.5" customHeight="1">
      <c r="A7" s="2241" t="s">
        <v>1302</v>
      </c>
      <c r="B7" s="2011" t="s">
        <v>505</v>
      </c>
      <c r="C7" s="2243">
        <f>SUMIF('数据-汇总表'!$C19:$C33,假设开发法!C5,'数据-汇总表'!$E19:$E33)</f>
        <v>0</v>
      </c>
      <c r="D7" s="2243">
        <f>SUMIF('数据-汇总表'!$C19:$C33,假设开发法!D5,'数据-汇总表'!$E19:$E33)</f>
        <v>0</v>
      </c>
      <c r="E7" s="2243">
        <f>SUMIF('数据-汇总表'!$C19:$C33,假设开发法!E5,'数据-汇总表'!$E19:$E33)</f>
        <v>0</v>
      </c>
      <c r="F7" s="2243">
        <f>SUMIF('数据-汇总表'!$C19:$C33,假设开发法!F5,'数据-汇总表'!$E19:$E33)</f>
        <v>0</v>
      </c>
      <c r="G7" s="2243">
        <f>SUMIF('数据-汇总表'!$C19:$C33,假设开发法!G5,'数据-汇总表'!$E19:$E33)</f>
        <v>0</v>
      </c>
      <c r="H7" s="2243">
        <f>SUMIF('数据-汇总表'!$C19:$C33,假设开发法!H5,'数据-汇总表'!$E19:$E33)</f>
        <v>0</v>
      </c>
      <c r="I7" s="2243">
        <f>SUMIF('数据-汇总表'!$C19:$C33,假设开发法!I5,'数据-汇总表'!$E19:$E33)</f>
        <v>0</v>
      </c>
      <c r="J7" s="2243">
        <f>SUMIF('数据-汇总表'!$C19:$C33,假设开发法!J5,'数据-汇总表'!$E19:$E33)</f>
        <v>0</v>
      </c>
      <c r="K7" s="2306">
        <f>SUMIF('数据-汇总表'!$C19:$C33,假设开发法!K5,'数据-汇总表'!$E19:$E33)</f>
        <v>0</v>
      </c>
      <c r="L7" s="2305"/>
      <c r="M7" s="2305"/>
      <c r="N7" s="2305"/>
      <c r="O7" s="2305"/>
      <c r="P7" s="2305"/>
      <c r="Q7" s="2305"/>
      <c r="R7" s="2305"/>
      <c r="S7" s="2305"/>
      <c r="T7" s="2305"/>
      <c r="U7" s="2305"/>
      <c r="V7" s="2305"/>
      <c r="W7" s="2305"/>
      <c r="X7" s="2305"/>
      <c r="Y7" s="2305"/>
      <c r="Z7" s="2305"/>
      <c r="AA7" s="2305"/>
      <c r="AB7" s="2305"/>
      <c r="AC7" s="2305"/>
      <c r="AD7" s="2305"/>
      <c r="AE7" s="2305"/>
      <c r="AF7" s="2305"/>
      <c r="AG7" s="2305"/>
    </row>
    <row r="8" spans="1:33" s="2221" customFormat="1" ht="13.5" customHeight="1">
      <c r="A8" s="2244" t="s">
        <v>1347</v>
      </c>
      <c r="B8" s="2245" t="s">
        <v>1787</v>
      </c>
      <c r="C8" s="2246"/>
      <c r="D8" s="2246"/>
      <c r="E8" s="2246"/>
      <c r="F8" s="2247"/>
      <c r="G8" s="2247"/>
      <c r="H8" s="2247"/>
      <c r="I8" s="2247"/>
      <c r="J8" s="2247"/>
      <c r="K8" s="2307"/>
      <c r="L8" s="2305"/>
      <c r="M8" s="2305"/>
      <c r="N8" s="2305"/>
      <c r="O8" s="2305"/>
      <c r="P8" s="2305"/>
      <c r="Q8" s="2305"/>
      <c r="R8" s="2305"/>
      <c r="S8" s="2305"/>
      <c r="T8" s="2305"/>
      <c r="U8" s="2305"/>
      <c r="V8" s="2305"/>
      <c r="W8" s="2305"/>
      <c r="X8" s="2305"/>
      <c r="Y8" s="2305"/>
      <c r="Z8" s="2305"/>
      <c r="AA8" s="2305"/>
      <c r="AB8" s="2305"/>
      <c r="AC8" s="2305"/>
      <c r="AD8" s="2305"/>
      <c r="AE8" s="2305"/>
      <c r="AF8" s="2305"/>
      <c r="AG8" s="2305"/>
    </row>
    <row r="9" spans="1:33" s="2219" customFormat="1" ht="16.5" customHeight="1">
      <c r="A9" s="2235" t="s">
        <v>1788</v>
      </c>
      <c r="B9" s="2236"/>
      <c r="C9" s="2236"/>
      <c r="D9" s="2236"/>
      <c r="E9" s="2236"/>
      <c r="F9" s="2236"/>
      <c r="G9" s="2236"/>
      <c r="H9" s="2236"/>
      <c r="I9" s="2236"/>
      <c r="J9" s="2236"/>
      <c r="K9" s="2302"/>
    </row>
    <row r="10" spans="1:33" s="2222" customFormat="1" ht="13.5" customHeight="1">
      <c r="A10" s="2238" t="s">
        <v>1784</v>
      </c>
      <c r="B10" s="2248" t="s">
        <v>1785</v>
      </c>
      <c r="C10" s="2249" t="s">
        <v>1789</v>
      </c>
      <c r="D10" s="2250" t="s">
        <v>1790</v>
      </c>
      <c r="E10" s="2250" t="s">
        <v>1791</v>
      </c>
      <c r="F10" s="2250" t="s">
        <v>1792</v>
      </c>
      <c r="G10" s="2248"/>
      <c r="H10" s="2251"/>
      <c r="I10" s="2251"/>
      <c r="J10" s="2251"/>
      <c r="K10" s="2308"/>
    </row>
    <row r="11" spans="1:33" s="2223" customFormat="1" ht="13.5" customHeight="1">
      <c r="A11" s="2252" t="s">
        <v>1597</v>
      </c>
      <c r="B11" s="2253" t="s">
        <v>1793</v>
      </c>
      <c r="C11" s="2254">
        <f ca="1">IF(C1="",'数据-取费表'!P16,INDIRECT("'数据-取费表'!p"&amp;$K$1)+INDIRECT("'数据-取费表'!ar"&amp;$K$1))</f>
        <v>0</v>
      </c>
      <c r="D11" s="2255"/>
      <c r="E11" s="2014"/>
      <c r="F11" s="2256">
        <f ca="1">1-IF('数据-取费表'!B24=0,1,IF(C1="",'数据-取费表'!N16,INDIRECT("'数据-取费表'!n"&amp;$K$1)))</f>
        <v>0</v>
      </c>
      <c r="G11" s="2248"/>
      <c r="H11" s="2251"/>
      <c r="I11" s="2251"/>
      <c r="J11" s="2251"/>
      <c r="K11" s="2308"/>
    </row>
    <row r="12" spans="1:33" s="2223" customFormat="1" ht="13.5" customHeight="1">
      <c r="A12" s="2252" t="s">
        <v>1604</v>
      </c>
      <c r="B12" s="2253" t="s">
        <v>1514</v>
      </c>
      <c r="C12" s="621">
        <f ca="1">ROUND(C11*F12,0)</f>
        <v>0</v>
      </c>
      <c r="D12" s="2255"/>
      <c r="E12" s="2014"/>
      <c r="F12" s="2256">
        <f>'数据-取费表'!B33</f>
        <v>0.05</v>
      </c>
      <c r="G12" s="2248" t="s">
        <v>1794</v>
      </c>
      <c r="H12" s="2251"/>
      <c r="I12" s="2251"/>
      <c r="J12" s="2251"/>
      <c r="K12" s="2308"/>
    </row>
    <row r="13" spans="1:33" s="2223" customFormat="1" ht="13.5" customHeight="1">
      <c r="A13" s="2252" t="s">
        <v>1632</v>
      </c>
      <c r="B13" s="2253" t="s">
        <v>1517</v>
      </c>
      <c r="C13" s="621">
        <f ca="1">ROUND(IF(C1="",SUMIF('数据-取费表'!C:C,"住宅",'数据-取费表'!P:P)*F13,IF(INDIRECT("'数据-取费表'!c"&amp;$K$1)="住宅",INDIRECT("'数据-取费表'!P"&amp;$K$1)*F13,0)),0)</f>
        <v>0</v>
      </c>
      <c r="D13" s="2257"/>
      <c r="E13" s="2014"/>
      <c r="F13" s="2256">
        <f>'数据-取费表'!B34</f>
        <v>0</v>
      </c>
      <c r="G13" s="2248" t="s">
        <v>1795</v>
      </c>
      <c r="H13" s="2251"/>
      <c r="I13" s="2251"/>
      <c r="J13" s="2251"/>
      <c r="K13" s="2308"/>
    </row>
    <row r="14" spans="1:33" s="2224" customFormat="1" ht="13.5" customHeight="1">
      <c r="A14" s="2252" t="s">
        <v>1796</v>
      </c>
      <c r="B14" s="2253" t="s">
        <v>1797</v>
      </c>
      <c r="C14" s="621">
        <f ca="1">ROUND(D14*E14*F11/10000,0)</f>
        <v>0</v>
      </c>
      <c r="D14" s="2257">
        <f ca="1">IF(C1="",'数据-汇总表'!E3,INDIRECT("'数据-取费表'!K"&amp;$K$1)+INDIRECT("'数据-取费表'!S"&amp;$K$1))</f>
        <v>30.6</v>
      </c>
      <c r="E14" s="621">
        <f>'数据-取费表'!B35</f>
        <v>200</v>
      </c>
      <c r="F14" s="2258"/>
      <c r="G14" s="2248" t="s">
        <v>1798</v>
      </c>
      <c r="H14" s="2251"/>
      <c r="I14" s="2251"/>
      <c r="J14" s="2251"/>
      <c r="K14" s="2308"/>
      <c r="L14" s="2223"/>
      <c r="M14" s="2223"/>
      <c r="N14" s="2223"/>
      <c r="O14" s="2223"/>
      <c r="P14" s="2223"/>
      <c r="Q14" s="2223"/>
      <c r="R14" s="2223"/>
      <c r="S14" s="2223"/>
      <c r="T14" s="2223"/>
      <c r="U14" s="2223"/>
      <c r="V14" s="2223"/>
      <c r="W14" s="2223"/>
      <c r="X14" s="2223"/>
      <c r="Y14" s="2223"/>
      <c r="Z14" s="2223"/>
      <c r="AA14" s="2223"/>
      <c r="AB14" s="2223"/>
      <c r="AC14" s="2223"/>
      <c r="AD14" s="2223"/>
      <c r="AE14" s="2223"/>
      <c r="AF14" s="2223"/>
      <c r="AG14" s="2223"/>
    </row>
    <row r="15" spans="1:33" s="2224" customFormat="1" ht="13.5" customHeight="1">
      <c r="A15" s="2252" t="s">
        <v>1799</v>
      </c>
      <c r="B15" s="2253" t="s">
        <v>1529</v>
      </c>
      <c r="C15" s="2259">
        <f ca="1">ROUND(C11*F15,0)</f>
        <v>0</v>
      </c>
      <c r="D15" s="2260"/>
      <c r="E15" s="2259"/>
      <c r="F15" s="2256">
        <f>'数据-取费表'!B36</f>
        <v>0.02</v>
      </c>
      <c r="G15" s="2011" t="s">
        <v>1800</v>
      </c>
      <c r="H15" s="2124"/>
      <c r="I15" s="2124"/>
      <c r="J15" s="2124"/>
      <c r="K15" s="2125"/>
      <c r="L15" s="2223"/>
      <c r="M15" s="2223"/>
      <c r="N15" s="2223"/>
      <c r="O15" s="2223"/>
      <c r="P15" s="2223"/>
      <c r="Q15" s="2223"/>
      <c r="R15" s="2223"/>
      <c r="S15" s="2223"/>
      <c r="T15" s="2223"/>
      <c r="U15" s="2223"/>
      <c r="V15" s="2223"/>
      <c r="W15" s="2223"/>
      <c r="X15" s="2223"/>
      <c r="Y15" s="2223"/>
      <c r="Z15" s="2223"/>
      <c r="AA15" s="2223"/>
      <c r="AB15" s="2223"/>
      <c r="AC15" s="2223"/>
      <c r="AD15" s="2223"/>
      <c r="AE15" s="2223"/>
      <c r="AF15" s="2223"/>
      <c r="AG15" s="2223"/>
    </row>
    <row r="16" spans="1:33" s="2224" customFormat="1" ht="13.5" customHeight="1">
      <c r="A16" s="2252" t="s">
        <v>1321</v>
      </c>
      <c r="B16" s="2253" t="s">
        <v>1801</v>
      </c>
      <c r="C16" s="2259">
        <f ca="1">SUM(C11:C15)</f>
        <v>0</v>
      </c>
      <c r="D16" s="2260"/>
      <c r="E16" s="2259"/>
      <c r="F16" s="2256"/>
      <c r="G16" s="2011"/>
      <c r="H16" s="2261"/>
      <c r="I16" s="2124"/>
      <c r="J16" s="2124"/>
      <c r="K16" s="2125"/>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row>
    <row r="17" spans="1:33" s="2224" customFormat="1" ht="13.5" customHeight="1">
      <c r="A17" s="2252" t="s">
        <v>1325</v>
      </c>
      <c r="B17" s="2253" t="s">
        <v>1802</v>
      </c>
      <c r="C17" s="621">
        <f ca="1">ROUND(D17*E17/10000,0)</f>
        <v>0</v>
      </c>
      <c r="D17" s="2257">
        <f ca="1">D14</f>
        <v>30.6</v>
      </c>
      <c r="E17" s="621">
        <f>'数据-取费表'!B32</f>
        <v>0</v>
      </c>
      <c r="F17" s="2260"/>
      <c r="G17" s="2011" t="s">
        <v>1803</v>
      </c>
      <c r="H17" s="2261"/>
      <c r="I17" s="2124"/>
      <c r="J17" s="2124"/>
      <c r="K17" s="2125"/>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row>
    <row r="18" spans="1:33" s="2223" customFormat="1" ht="13.5" customHeight="1">
      <c r="A18" s="2252" t="s">
        <v>1804</v>
      </c>
      <c r="B18" s="2253" t="s">
        <v>1805</v>
      </c>
      <c r="C18" s="621">
        <f ca="1">C19+C20-IF(C1="",'数据-取费表'!B29,IF(G18="已全部缴纳",C19+C20,H18))</f>
        <v>1</v>
      </c>
      <c r="D18" s="2257"/>
      <c r="E18" s="621"/>
      <c r="F18" s="2258"/>
      <c r="G18" s="2262"/>
      <c r="H18" s="2263"/>
      <c r="I18" s="2309" t="s">
        <v>1806</v>
      </c>
      <c r="J18" s="2124"/>
      <c r="K18" s="2125"/>
    </row>
    <row r="19" spans="1:33" s="2223" customFormat="1" ht="13.5" customHeight="1">
      <c r="A19" s="2252" t="s">
        <v>1597</v>
      </c>
      <c r="B19" s="2253" t="s">
        <v>492</v>
      </c>
      <c r="C19" s="621">
        <f ca="1">ROUND(D19*E19/10000,0)</f>
        <v>0</v>
      </c>
      <c r="D19" s="2257">
        <f ca="1">IF(C1="",'数据-汇总表'!E5,IF(INDIRECT("'数据-取费表'!c"&amp;$K$1)="住宅",INDIRECT("'数据-取费表'!k"&amp;$K$1),0))</f>
        <v>0</v>
      </c>
      <c r="E19" s="621">
        <f>'数据-取费表'!B27</f>
        <v>0</v>
      </c>
      <c r="F19" s="2258"/>
      <c r="G19" s="2123"/>
      <c r="H19" s="2264"/>
      <c r="I19" s="2265"/>
      <c r="J19" s="2265"/>
      <c r="K19" s="2310"/>
    </row>
    <row r="20" spans="1:33" s="2223" customFormat="1" ht="13.5" customHeight="1">
      <c r="A20" s="2252" t="s">
        <v>1604</v>
      </c>
      <c r="B20" s="2253" t="s">
        <v>1807</v>
      </c>
      <c r="C20" s="621">
        <f ca="1">ROUND(D20*E20/10000,0)</f>
        <v>1</v>
      </c>
      <c r="D20" s="2257">
        <f ca="1">IF(C1="",'数据-汇总表'!E6,IF(INDIRECT("'数据-取费表'!c"&amp;$K$1)="住宅",INDIRECT("'数据-取费表'!s"&amp;$K$1),INDIRECT("'数据-取费表'!k"&amp;$K$1)+INDIRECT("'数据-取费表'!s"&amp;$K$1)))</f>
        <v>30.6</v>
      </c>
      <c r="E20" s="621">
        <f>'数据-取费表'!B28</f>
        <v>190</v>
      </c>
      <c r="F20" s="2258"/>
      <c r="G20" s="2123"/>
      <c r="H20" s="2265"/>
      <c r="I20" s="2265"/>
      <c r="J20" s="2265"/>
      <c r="K20" s="2310"/>
    </row>
    <row r="21" spans="1:33" s="2223" customFormat="1" ht="13.5" customHeight="1">
      <c r="A21" s="2241" t="s">
        <v>1298</v>
      </c>
      <c r="B21" s="2266" t="s">
        <v>1808</v>
      </c>
      <c r="C21" s="2267">
        <f ca="1">C16+C17+C18</f>
        <v>1</v>
      </c>
      <c r="D21" s="2268"/>
      <c r="E21" s="2269"/>
      <c r="F21" s="2269"/>
      <c r="G21" s="2011" t="s">
        <v>1809</v>
      </c>
      <c r="H21" s="2124"/>
      <c r="I21" s="2124"/>
      <c r="J21" s="2124"/>
      <c r="K21" s="2125"/>
    </row>
    <row r="22" spans="1:33" s="2223" customFormat="1" ht="13.5" customHeight="1">
      <c r="A22" s="2241" t="s">
        <v>1302</v>
      </c>
      <c r="B22" s="2266" t="s">
        <v>1810</v>
      </c>
      <c r="C22" s="2267">
        <f ca="1">ROUND(C21*F22,0)</f>
        <v>0</v>
      </c>
      <c r="D22" s="2269"/>
      <c r="E22" s="2269"/>
      <c r="F22" s="2270">
        <f>'数据-取费表'!B37</f>
        <v>0.02</v>
      </c>
      <c r="G22" s="2248" t="s">
        <v>1811</v>
      </c>
      <c r="H22" s="2251"/>
      <c r="I22" s="2251"/>
      <c r="J22" s="2251"/>
      <c r="K22" s="2308"/>
    </row>
    <row r="23" spans="1:33" s="2223" customFormat="1" ht="13.5" customHeight="1">
      <c r="A23" s="2241" t="s">
        <v>1347</v>
      </c>
      <c r="B23" s="2266" t="s">
        <v>1812</v>
      </c>
      <c r="C23" s="2267">
        <f ca="1">ROUND(C4*F23*F11,0)</f>
        <v>0</v>
      </c>
      <c r="D23" s="2269"/>
      <c r="E23" s="2269"/>
      <c r="F23" s="2270">
        <f>'数据-取费表'!B38</f>
        <v>0.02</v>
      </c>
      <c r="G23" s="2248" t="s">
        <v>1813</v>
      </c>
      <c r="H23" s="2251"/>
      <c r="I23" s="2251"/>
      <c r="J23" s="2251"/>
      <c r="K23" s="2308"/>
    </row>
    <row r="24" spans="1:33" s="2223" customFormat="1" ht="13.5" customHeight="1">
      <c r="A24" s="2241" t="s">
        <v>1350</v>
      </c>
      <c r="B24" s="2266" t="s">
        <v>1814</v>
      </c>
      <c r="C24" s="2271">
        <f>ROUND(F24/(1+'数据-取费表'!C42),4)</f>
        <v>2.9000000000000001E-2</v>
      </c>
      <c r="D24" s="2269" t="s">
        <v>1815</v>
      </c>
      <c r="E24" s="2269"/>
      <c r="F24" s="2270">
        <f>IF(项目基本情况!B8="出让",0,'数据-取费表'!B48+'数据-取费表'!B49)</f>
        <v>3.0499999999999999E-2</v>
      </c>
      <c r="G24" s="2248" t="s">
        <v>1816</v>
      </c>
      <c r="H24" s="2272"/>
      <c r="I24" s="2272"/>
      <c r="J24" s="2272"/>
      <c r="K24" s="2311"/>
    </row>
    <row r="25" spans="1:33" s="2223" customFormat="1" ht="13.5" customHeight="1">
      <c r="A25" s="2241" t="s">
        <v>1354</v>
      </c>
      <c r="B25" s="2268" t="s">
        <v>1817</v>
      </c>
      <c r="C25" s="2273">
        <f ca="1">C27</f>
        <v>0</v>
      </c>
      <c r="D25" s="2271">
        <f ca="1">C26</f>
        <v>0</v>
      </c>
      <c r="E25" s="2274" t="s">
        <v>1815</v>
      </c>
      <c r="F25" s="2275">
        <f ca="1">'数据-取费表'!B40</f>
        <v>3.1300000000000001E-2</v>
      </c>
      <c r="G25" s="2011" t="str">
        <f>IF('数据-取费表'!B22&lt;=1,"单利计息。","复利计息。")&amp;"后续开发成本、管理费用及销售费用产生的利息。"</f>
        <v>复利计息。后续开发成本、管理费用及销售费用产生的利息。</v>
      </c>
      <c r="H25" s="2272"/>
      <c r="I25" s="2272"/>
      <c r="J25" s="2272"/>
      <c r="K25" s="2311"/>
    </row>
    <row r="26" spans="1:33" s="2225" customFormat="1" ht="13.5" customHeight="1">
      <c r="A26" s="2252" t="s">
        <v>1321</v>
      </c>
      <c r="B26" s="2276" t="s">
        <v>1818</v>
      </c>
      <c r="C26" s="2277">
        <f ca="1">ROUND(IF('数据-取费表'!B22&lt;=1,(1+C24)*F25*'数据-取费表'!B24,(1+C24)*(POWER((1+F25),'数据-取费表'!B24)-1)),4)</f>
        <v>0</v>
      </c>
      <c r="D26" s="2278"/>
      <c r="E26" s="2279"/>
      <c r="F26" s="2280"/>
      <c r="G26" s="2281" t="str">
        <f>IF('数据-取费表'!B22&lt;=1,"（(1)+取得税费率/(1+5%)）×年利率×建设期","（(1)+取得税费率）/(1+5%)×((1+年利率)^建设期-1)")</f>
        <v>（(1)+取得税费率）/(1+5%)×((1+年利率)^建设期-1)</v>
      </c>
      <c r="H26" s="2124"/>
      <c r="I26" s="2124"/>
      <c r="J26" s="2124"/>
      <c r="K26" s="2125"/>
    </row>
    <row r="27" spans="1:33" s="2225" customFormat="1" ht="13.5" customHeight="1">
      <c r="A27" s="2252" t="s">
        <v>1325</v>
      </c>
      <c r="B27" s="2276" t="s">
        <v>1819</v>
      </c>
      <c r="C27" s="2282">
        <f ca="1">ROUND(IF('数据-取费表'!B22&lt;=1,(C21+C22+C23)*F25*'数据-取费表'!B24/2,(C21+C22+C23)*(POWER((1+F25),'数据-取费表'!B24/2)-1)),0)</f>
        <v>0</v>
      </c>
      <c r="D27" s="2278"/>
      <c r="E27" s="2279"/>
      <c r="F27" s="2280"/>
      <c r="G27" s="2281" t="str">
        <f>IF('数据-取费表'!B22&lt;=1,"（1）-（3）项×年利率×建设期÷2","（1）-（3）项×((1+年利率)^(建设期÷2)-1)")</f>
        <v>（1）-（3）项×((1+年利率)^(建设期÷2)-1)</v>
      </c>
      <c r="H27" s="2124"/>
      <c r="I27" s="2124"/>
      <c r="J27" s="2124"/>
      <c r="K27" s="2125"/>
    </row>
    <row r="28" spans="1:33" s="2226" customFormat="1" ht="13.5" customHeight="1">
      <c r="A28" s="2241" t="s">
        <v>1355</v>
      </c>
      <c r="B28" s="2283" t="s">
        <v>1820</v>
      </c>
      <c r="C28" s="2284">
        <f ca="1">C30</f>
        <v>0</v>
      </c>
      <c r="D28" s="2271">
        <f ca="1">C29</f>
        <v>0</v>
      </c>
      <c r="E28" s="2274" t="s">
        <v>1815</v>
      </c>
      <c r="F28" s="1327">
        <f ca="1">IF(C1="",'数据-取费表'!Q16,INDIRECT("'数据-取费表'!q"&amp;$K$1))</f>
        <v>0.05</v>
      </c>
      <c r="G28" s="2285"/>
      <c r="H28" s="2272"/>
      <c r="I28" s="2272"/>
      <c r="J28" s="2272"/>
      <c r="K28" s="2311"/>
    </row>
    <row r="29" spans="1:33" s="2227" customFormat="1" ht="13.5" customHeight="1">
      <c r="A29" s="2252" t="s">
        <v>1321</v>
      </c>
      <c r="B29" s="2286" t="s">
        <v>1821</v>
      </c>
      <c r="C29" s="2278">
        <f ca="1">ROUND((1+C24)*F28*'数据-取费表'!B24/'数据-取费表'!B20,4)</f>
        <v>0</v>
      </c>
      <c r="D29" s="2278"/>
      <c r="E29" s="2279"/>
      <c r="F29" s="2287"/>
      <c r="G29" s="2011" t="s">
        <v>1822</v>
      </c>
      <c r="H29" s="2124"/>
      <c r="I29" s="2124"/>
      <c r="J29" s="2124"/>
      <c r="K29" s="2125"/>
    </row>
    <row r="30" spans="1:33" s="2227" customFormat="1" ht="13.5" customHeight="1">
      <c r="A30" s="2252" t="s">
        <v>1325</v>
      </c>
      <c r="B30" s="2286" t="s">
        <v>1823</v>
      </c>
      <c r="C30" s="2288">
        <f ca="1">ROUND((C21+C22+C23)*F28,0)</f>
        <v>0</v>
      </c>
      <c r="D30" s="2278"/>
      <c r="E30" s="2279"/>
      <c r="F30" s="2287"/>
      <c r="G30" s="2011"/>
      <c r="H30" s="2124"/>
      <c r="I30" s="2124"/>
      <c r="J30" s="2124"/>
      <c r="K30" s="2125"/>
    </row>
    <row r="31" spans="1:33" s="2223" customFormat="1" ht="13.5" customHeight="1">
      <c r="A31" s="2289" t="s">
        <v>1574</v>
      </c>
      <c r="B31" s="2290" t="s">
        <v>1824</v>
      </c>
      <c r="C31" s="2291">
        <f>ROUND(C4*F31/(1+'数据-取费表'!C42),0)</f>
        <v>0</v>
      </c>
      <c r="D31" s="2292"/>
      <c r="E31" s="2293"/>
      <c r="F31" s="2294">
        <f>'数据-取费表'!B41</f>
        <v>5.5E-2</v>
      </c>
      <c r="G31" s="2295" t="s">
        <v>1825</v>
      </c>
      <c r="H31" s="2296"/>
      <c r="I31" s="2296"/>
      <c r="J31" s="2296"/>
      <c r="K31" s="2312"/>
    </row>
    <row r="32" spans="1:33" s="2222" customFormat="1" ht="13.5" customHeight="1">
      <c r="A32" s="2297" t="s">
        <v>1826</v>
      </c>
      <c r="B32" s="2298"/>
      <c r="C32" s="2299">
        <f ca="1">ROUND((C4-C21-C22-C23-C25-C28-C31)/(1+C24+D25+D28),0)</f>
        <v>-1</v>
      </c>
      <c r="D32" s="2298"/>
      <c r="E32" s="2298"/>
      <c r="F32" s="2298"/>
      <c r="G32" s="2300" t="s">
        <v>1827</v>
      </c>
      <c r="H32" s="2298"/>
      <c r="I32" s="2298"/>
      <c r="J32" s="2298"/>
      <c r="K32" s="2313"/>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557" customWidth="1"/>
    <col min="3" max="3" width="11.875" style="557"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41" customWidth="1"/>
    <col min="12" max="12" width="16.375" style="378" customWidth="1"/>
    <col min="13" max="13" width="13" style="378"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378"/>
  </cols>
  <sheetData>
    <row r="1" spans="1:37" s="1939" customFormat="1" ht="21">
      <c r="A1" s="1942" t="s">
        <v>1477</v>
      </c>
      <c r="B1" s="1317"/>
      <c r="C1" s="1943"/>
      <c r="D1" s="1944" t="s">
        <v>124</v>
      </c>
      <c r="E1" s="1945" t="s">
        <v>1478</v>
      </c>
      <c r="F1" s="1946">
        <f ca="1">J53</f>
        <v>0</v>
      </c>
      <c r="G1" s="1947">
        <f>MATCH(C1,'数据-取费表'!A6:A16,0)+5</f>
        <v>7</v>
      </c>
      <c r="H1" s="1948"/>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spans="1:37" ht="18" customHeight="1">
      <c r="A2" s="1775" t="s">
        <v>1479</v>
      </c>
      <c r="B2" s="1949" t="e">
        <f ca="1">C40+J29+L46</f>
        <v>#DIV/0!</v>
      </c>
      <c r="C2" s="1950" t="s">
        <v>1480</v>
      </c>
      <c r="D2" s="1950"/>
      <c r="E2" s="1951"/>
      <c r="F2" s="1952"/>
      <c r="G2" s="1953"/>
      <c r="H2" s="1954"/>
      <c r="I2" s="1954"/>
      <c r="J2" s="1954"/>
      <c r="K2" s="2113"/>
      <c r="L2" s="1954"/>
      <c r="M2" s="1954"/>
    </row>
    <row r="3" spans="1:37" ht="18" customHeight="1">
      <c r="A3" s="1955" t="s">
        <v>1482</v>
      </c>
      <c r="B3" s="1956">
        <f ca="1">IF(ISERROR(B2*10000/F43),0,ROUND(B2*10000/F43,0))</f>
        <v>0</v>
      </c>
      <c r="C3" s="1950" t="s">
        <v>1483</v>
      </c>
      <c r="D3" s="1950"/>
      <c r="E3" s="1951"/>
      <c r="F3" s="1952"/>
      <c r="G3" s="1953"/>
      <c r="H3" s="1957" t="s">
        <v>1484</v>
      </c>
      <c r="I3" s="2114"/>
      <c r="J3" s="2114"/>
      <c r="K3" s="2115"/>
      <c r="L3" s="2114"/>
      <c r="M3" s="2114"/>
    </row>
    <row r="4" spans="1:37" ht="18" customHeight="1">
      <c r="A4" s="1958" t="s">
        <v>1485</v>
      </c>
      <c r="B4" s="1959" t="s">
        <v>1486</v>
      </c>
      <c r="C4" s="1959" t="s">
        <v>1487</v>
      </c>
      <c r="D4" s="1959" t="s">
        <v>1488</v>
      </c>
      <c r="E4" s="1960" t="s">
        <v>1489</v>
      </c>
      <c r="F4" s="1961"/>
      <c r="G4" s="912"/>
      <c r="H4" s="1958" t="s">
        <v>1485</v>
      </c>
      <c r="I4" s="1959" t="s">
        <v>1486</v>
      </c>
      <c r="J4" s="1959" t="s">
        <v>1487</v>
      </c>
      <c r="K4" s="1959" t="s">
        <v>1488</v>
      </c>
      <c r="L4" s="1960" t="s">
        <v>1489</v>
      </c>
      <c r="M4" s="1961"/>
    </row>
    <row r="5" spans="1:37" ht="18" customHeight="1">
      <c r="A5" s="1962">
        <v>1</v>
      </c>
      <c r="B5" s="1963" t="s">
        <v>1490</v>
      </c>
      <c r="C5" s="1964">
        <f ca="1">C6+C10+C12</f>
        <v>0</v>
      </c>
      <c r="D5" s="1965" t="s">
        <v>1491</v>
      </c>
      <c r="E5" s="1966"/>
      <c r="F5" s="1967"/>
      <c r="G5" s="912"/>
      <c r="H5" s="1962">
        <v>1</v>
      </c>
      <c r="I5" s="1963" t="s">
        <v>1490</v>
      </c>
      <c r="J5" s="1964">
        <f ca="1">J6+J10+J12</f>
        <v>0</v>
      </c>
      <c r="K5" s="1965" t="s">
        <v>1491</v>
      </c>
      <c r="L5" s="1966"/>
      <c r="M5" s="1967"/>
    </row>
    <row r="6" spans="1:37" ht="18" customHeight="1">
      <c r="A6" s="1968" t="s">
        <v>1298</v>
      </c>
      <c r="B6" s="3722" t="s">
        <v>1492</v>
      </c>
      <c r="C6" s="1969">
        <f ca="1">ROUND(F6*F8*F7*(1-F9)/10000,0)</f>
        <v>0</v>
      </c>
      <c r="D6" s="1970" t="s">
        <v>1828</v>
      </c>
      <c r="E6" s="1971" t="s">
        <v>1494</v>
      </c>
      <c r="F6" s="1972">
        <f ca="1">INDIRECT("'数据-取费表'!u"&amp;$G$1)</f>
        <v>0</v>
      </c>
      <c r="G6" s="912"/>
      <c r="H6" s="1968" t="s">
        <v>1298</v>
      </c>
      <c r="I6" s="3722" t="s">
        <v>1492</v>
      </c>
      <c r="J6" s="2043">
        <f ca="1">ROUND(M6*M8*M7*(1-M9)/10000,0)</f>
        <v>0</v>
      </c>
      <c r="K6" s="1970" t="s">
        <v>1829</v>
      </c>
      <c r="L6" s="1971" t="s">
        <v>1494</v>
      </c>
      <c r="M6" s="1972">
        <f ca="1">INDIRECT("'数据-取费表'!z"&amp;$G$1)</f>
        <v>0</v>
      </c>
    </row>
    <row r="7" spans="1:37" ht="18" customHeight="1">
      <c r="A7" s="1973"/>
      <c r="B7" s="3723"/>
      <c r="C7" s="1974"/>
      <c r="D7" s="1975"/>
      <c r="E7" s="1976" t="s">
        <v>1496</v>
      </c>
      <c r="F7" s="1972">
        <f ca="1">IF(INDIRECT("'数据-取费表'!ah"&amp;$G$1)="",INDIRECT("'数据-取费表'!k"&amp;$G$1),INDIRECT("'数据-取费表'!ah"&amp;$G$1))</f>
        <v>0</v>
      </c>
      <c r="G7" s="912"/>
      <c r="H7" s="1977"/>
      <c r="I7" s="3723"/>
      <c r="J7" s="1978"/>
      <c r="K7" s="1975"/>
      <c r="L7" s="1971" t="s">
        <v>1496</v>
      </c>
      <c r="M7" s="1972">
        <f ca="1">F7</f>
        <v>0</v>
      </c>
    </row>
    <row r="8" spans="1:37" ht="18" customHeight="1">
      <c r="A8" s="1977"/>
      <c r="B8" s="3723"/>
      <c r="C8" s="1978"/>
      <c r="D8" s="1975"/>
      <c r="E8" s="1971" t="s">
        <v>1497</v>
      </c>
      <c r="F8" s="1972">
        <f ca="1">INDIRECT("'数据-取费表'!ai"&amp;$G$1)</f>
        <v>0</v>
      </c>
      <c r="G8" s="912"/>
      <c r="H8" s="1977"/>
      <c r="I8" s="3723"/>
      <c r="J8" s="1978"/>
      <c r="K8" s="1975"/>
      <c r="L8" s="1971" t="s">
        <v>1497</v>
      </c>
      <c r="M8" s="1972">
        <f ca="1">INDIRECT("'数据-取费表'!ai"&amp;$G$1)</f>
        <v>0</v>
      </c>
    </row>
    <row r="9" spans="1:37" ht="18" customHeight="1">
      <c r="A9" s="1977"/>
      <c r="B9" s="3724"/>
      <c r="C9" s="1978"/>
      <c r="D9" s="1975"/>
      <c r="E9" s="1971" t="s">
        <v>1498</v>
      </c>
      <c r="F9" s="1979">
        <f ca="1">INDIRECT("'数据-取费表'!w"&amp;$G$1)</f>
        <v>0</v>
      </c>
      <c r="G9" s="912"/>
      <c r="H9" s="1977"/>
      <c r="I9" s="3724"/>
      <c r="J9" s="1978"/>
      <c r="K9" s="1975"/>
      <c r="L9" s="1982" t="s">
        <v>1498</v>
      </c>
      <c r="M9" s="1987">
        <f ca="1">INDIRECT("'数据-取费表'!ab"&amp;$G$1)</f>
        <v>0</v>
      </c>
    </row>
    <row r="10" spans="1:37" ht="18" customHeight="1">
      <c r="A10" s="1968" t="s">
        <v>1302</v>
      </c>
      <c r="B10" s="1980" t="s">
        <v>1499</v>
      </c>
      <c r="C10" s="620">
        <f ca="1">ROUND(IF(F10="押一",C6/12*F11,IF(F10="押二",C6/12*2*F11,IF(F10="押三",C6/12*3*F11,C11*F11))),0)</f>
        <v>0</v>
      </c>
      <c r="D10" s="1981" t="s">
        <v>1500</v>
      </c>
      <c r="E10" s="1982" t="s">
        <v>1501</v>
      </c>
      <c r="F10" s="1983"/>
      <c r="G10" s="912"/>
      <c r="H10" s="1968" t="s">
        <v>1302</v>
      </c>
      <c r="I10" s="1980" t="s">
        <v>1499</v>
      </c>
      <c r="J10" s="2043">
        <f ca="1">ROUND(IF(M10="押一",J6/12*M11,IF(M10="押二",J6/12*2*M11,IF(M10="押三",J6/12*3*M11,J11*M11))),0)</f>
        <v>0</v>
      </c>
      <c r="K10" s="1981" t="s">
        <v>1500</v>
      </c>
      <c r="L10" s="1982" t="s">
        <v>1501</v>
      </c>
      <c r="M10" s="1983"/>
    </row>
    <row r="11" spans="1:37" ht="18" customHeight="1">
      <c r="A11" s="1984"/>
      <c r="B11" s="1985" t="s">
        <v>1830</v>
      </c>
      <c r="C11" s="689"/>
      <c r="D11" s="1986"/>
      <c r="E11" s="1982" t="s">
        <v>1505</v>
      </c>
      <c r="F11" s="1987">
        <f ca="1">'数据-取费表'!B39</f>
        <v>1.4999999999999999E-2</v>
      </c>
      <c r="G11" s="912"/>
      <c r="H11" s="1988"/>
      <c r="I11" s="1985" t="s">
        <v>1830</v>
      </c>
      <c r="J11" s="689"/>
      <c r="K11" s="2116"/>
      <c r="L11" s="1982" t="s">
        <v>1505</v>
      </c>
      <c r="M11" s="2117">
        <f ca="1">'数据-取费表'!B39</f>
        <v>1.4999999999999999E-2</v>
      </c>
    </row>
    <row r="12" spans="1:37" ht="18" customHeight="1">
      <c r="A12" s="1989" t="s">
        <v>1347</v>
      </c>
      <c r="B12" s="1990" t="s">
        <v>1507</v>
      </c>
      <c r="C12" s="1991"/>
      <c r="D12" s="1992"/>
      <c r="E12" s="1993"/>
      <c r="F12" s="1994"/>
      <c r="G12" s="912"/>
      <c r="H12" s="1989" t="s">
        <v>1347</v>
      </c>
      <c r="I12" s="1990" t="s">
        <v>1507</v>
      </c>
      <c r="J12" s="1991"/>
      <c r="K12" s="2118"/>
      <c r="L12" s="1993"/>
      <c r="M12" s="2119"/>
    </row>
    <row r="13" spans="1:37" ht="18" customHeight="1">
      <c r="A13" s="1995">
        <v>2</v>
      </c>
      <c r="B13" s="1996" t="s">
        <v>1508</v>
      </c>
      <c r="C13" s="1997">
        <f ca="1">ROUND(C29*F13,0)</f>
        <v>0</v>
      </c>
      <c r="D13" s="1998" t="s">
        <v>1509</v>
      </c>
      <c r="E13" s="1998" t="s">
        <v>1510</v>
      </c>
      <c r="F13" s="1999">
        <f ca="1">INDIRECT("'数据-取费表'!y"&amp;$G$1)</f>
        <v>0</v>
      </c>
      <c r="G13" s="912"/>
      <c r="H13" s="1995">
        <v>2</v>
      </c>
      <c r="I13" s="1996" t="s">
        <v>1508</v>
      </c>
      <c r="J13" s="2120">
        <f ca="1">ROUND(J14*J15,0)</f>
        <v>0</v>
      </c>
      <c r="K13" s="2021" t="s">
        <v>1509</v>
      </c>
      <c r="L13" s="2121"/>
      <c r="M13" s="2122"/>
    </row>
    <row r="14" spans="1:37" ht="18" customHeight="1">
      <c r="A14" s="2000" t="s">
        <v>1321</v>
      </c>
      <c r="B14" s="1971" t="s">
        <v>1511</v>
      </c>
      <c r="C14" s="2001">
        <f ca="1">INDIRECT("'数据-取费表'!m"&amp;$G$1)+INDIRECT("'数据-取费表'!t"&amp;$G$1)</f>
        <v>0</v>
      </c>
      <c r="D14" s="2002" t="s">
        <v>1512</v>
      </c>
      <c r="E14" s="2003"/>
      <c r="F14" s="2004"/>
      <c r="G14" s="912"/>
      <c r="H14" s="2000" t="s">
        <v>1298</v>
      </c>
      <c r="I14" s="1971" t="s">
        <v>1513</v>
      </c>
      <c r="J14" s="621">
        <f ca="1">C29</f>
        <v>0</v>
      </c>
      <c r="K14" s="2123"/>
      <c r="L14" s="2124"/>
      <c r="M14" s="2125"/>
    </row>
    <row r="15" spans="1:37" s="1940" customFormat="1" ht="18" customHeight="1">
      <c r="A15" s="2000" t="s">
        <v>1325</v>
      </c>
      <c r="B15" s="1971" t="s">
        <v>1514</v>
      </c>
      <c r="C15" s="621">
        <f ca="1">ROUND(C14*F15,0)</f>
        <v>0</v>
      </c>
      <c r="D15" s="2005" t="s">
        <v>1515</v>
      </c>
      <c r="E15" s="2005" t="s">
        <v>1516</v>
      </c>
      <c r="F15" s="2006">
        <f>'数据-取费表'!B33</f>
        <v>0.05</v>
      </c>
      <c r="G15" s="2007"/>
      <c r="H15" s="2008" t="s">
        <v>1302</v>
      </c>
      <c r="I15" s="1993" t="s">
        <v>1510</v>
      </c>
      <c r="J15" s="2119">
        <f ca="1">INDIRECT("'数据-取费表'!ad"&amp;$G$1)</f>
        <v>0</v>
      </c>
      <c r="K15" s="2126"/>
      <c r="L15" s="2127"/>
      <c r="M15" s="2128"/>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spans="1:37" ht="18" customHeight="1">
      <c r="A16" s="2000" t="s">
        <v>1328</v>
      </c>
      <c r="B16" s="1971" t="s">
        <v>1517</v>
      </c>
      <c r="C16" s="621">
        <f ca="1">ROUND(INDIRECT("'数据-取费表'!m"&amp;$G$1)*F16,0)</f>
        <v>0</v>
      </c>
      <c r="D16" s="1971" t="s">
        <v>1515</v>
      </c>
      <c r="E16" s="1971" t="s">
        <v>1516</v>
      </c>
      <c r="F16" s="2009">
        <f ca="1">IF(INDIRECT("'数据-取费表'!c"&amp;$G$1)="住宅",'数据-取费表'!B34,0)</f>
        <v>0</v>
      </c>
      <c r="G16" s="912"/>
      <c r="H16" s="1995" t="s">
        <v>1518</v>
      </c>
      <c r="I16" s="1996" t="s">
        <v>1519</v>
      </c>
      <c r="J16" s="1997">
        <f ca="1">ROUND(J17+J22+J23+J24,0)</f>
        <v>0</v>
      </c>
      <c r="K16" s="2021" t="s">
        <v>1520</v>
      </c>
      <c r="L16" s="2022"/>
      <c r="M16" s="1967"/>
    </row>
    <row r="17" spans="1:37" s="1940" customFormat="1" ht="18" customHeight="1">
      <c r="A17" s="2000" t="s">
        <v>1521</v>
      </c>
      <c r="B17" s="1971" t="s">
        <v>1522</v>
      </c>
      <c r="C17" s="621">
        <f ca="1">ROUND(F17*(F43+INDIRECT("'数据-取费表'!S"&amp;$G$1))/10000,0)</f>
        <v>0</v>
      </c>
      <c r="D17" s="1971" t="s">
        <v>1523</v>
      </c>
      <c r="E17" s="1971" t="s">
        <v>1524</v>
      </c>
      <c r="F17" s="2010">
        <f>'数据-取费表'!B35</f>
        <v>200</v>
      </c>
      <c r="G17" s="2007"/>
      <c r="H17" s="2000" t="s">
        <v>1298</v>
      </c>
      <c r="I17" s="1971" t="s">
        <v>1525</v>
      </c>
      <c r="J17" s="2024">
        <f ca="1">ROUND(IF(AND(项目基本情况!B11="自然人",项目基本情况!B10="北京市"),J6*M17/(1+'数据-取费表'!C42),J18+J19+J20),2)</f>
        <v>0</v>
      </c>
      <c r="K17" s="2002" t="s">
        <v>1526</v>
      </c>
      <c r="L17" s="2025" t="s">
        <v>1527</v>
      </c>
      <c r="M17" s="2026" t="str">
        <f>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pans="1:37" s="1940" customFormat="1" ht="18" customHeight="1">
      <c r="A18" s="2000" t="s">
        <v>1528</v>
      </c>
      <c r="B18" s="1971" t="s">
        <v>1529</v>
      </c>
      <c r="C18" s="621">
        <f ca="1">ROUND(C14*F18,0)</f>
        <v>0</v>
      </c>
      <c r="D18" s="1971" t="s">
        <v>1515</v>
      </c>
      <c r="E18" s="1971" t="s">
        <v>1516</v>
      </c>
      <c r="F18" s="2009">
        <f>'数据-取费表'!B36</f>
        <v>0.02</v>
      </c>
      <c r="G18" s="2007"/>
      <c r="H18" s="2000" t="s">
        <v>1321</v>
      </c>
      <c r="I18" s="1971" t="s">
        <v>1530</v>
      </c>
      <c r="J18" s="621">
        <f ca="1">ROUND(J6*M18/(1+'数据-取费表'!C42),2)</f>
        <v>0</v>
      </c>
      <c r="K18" s="2025" t="s">
        <v>1531</v>
      </c>
      <c r="L18" s="1971" t="s">
        <v>1516</v>
      </c>
      <c r="M18" s="2009">
        <f>'数据-取费表'!B41</f>
        <v>5.5E-2</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spans="1:37" ht="18" customHeight="1">
      <c r="A19" s="2000" t="s">
        <v>1298</v>
      </c>
      <c r="B19" s="1971" t="s">
        <v>1532</v>
      </c>
      <c r="C19" s="621">
        <f ca="1">SUM(C14:C18)</f>
        <v>0</v>
      </c>
      <c r="D19" s="2011" t="s">
        <v>1533</v>
      </c>
      <c r="E19" s="623"/>
      <c r="F19" s="2010"/>
      <c r="G19" s="912"/>
      <c r="H19" s="2000" t="s">
        <v>1325</v>
      </c>
      <c r="I19" s="1971" t="s">
        <v>1534</v>
      </c>
      <c r="J19" s="621">
        <f ca="1">IF(K19="按租金收入计税",ROUND(J6*M19/(1+'数据-取费表'!C42),2),ROUND(C29*M19*0.7,2))</f>
        <v>0</v>
      </c>
      <c r="K19" s="2028" t="s">
        <v>1535</v>
      </c>
      <c r="L19" s="1971" t="s">
        <v>1516</v>
      </c>
      <c r="M19" s="2009">
        <f>IF(K19="按租金收入计税",'数据-取费表'!B51,'数据-取费表'!B50)</f>
        <v>0.12</v>
      </c>
    </row>
    <row r="20" spans="1:37" s="1940" customFormat="1" ht="18" customHeight="1">
      <c r="A20" s="2000" t="s">
        <v>1302</v>
      </c>
      <c r="B20" s="1971" t="s">
        <v>1536</v>
      </c>
      <c r="C20" s="621">
        <f ca="1">ROUND(C19*F20,0)</f>
        <v>0</v>
      </c>
      <c r="D20" s="2012" t="s">
        <v>1537</v>
      </c>
      <c r="E20" s="1971" t="s">
        <v>1516</v>
      </c>
      <c r="F20" s="2009">
        <f>'数据-取费表'!B37</f>
        <v>0.02</v>
      </c>
      <c r="G20" s="2007"/>
      <c r="H20" s="2000" t="s">
        <v>1328</v>
      </c>
      <c r="I20" s="1970" t="s">
        <v>1538</v>
      </c>
      <c r="J20" s="2030">
        <f ca="1">ROUND(M20*M21/10000,2)</f>
        <v>0</v>
      </c>
      <c r="K20" s="2031" t="s">
        <v>1539</v>
      </c>
      <c r="L20" s="1971" t="s">
        <v>1540</v>
      </c>
      <c r="M20" s="2015">
        <f>'数据-取费表'!B52</f>
        <v>0</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pans="1:37" s="1940" customFormat="1" ht="18" customHeight="1">
      <c r="A21" s="2000" t="s">
        <v>1347</v>
      </c>
      <c r="B21" s="1971" t="s">
        <v>1541</v>
      </c>
      <c r="C21" s="621" t="s">
        <v>124</v>
      </c>
      <c r="D21" s="2012" t="s">
        <v>1542</v>
      </c>
      <c r="E21" s="1971" t="s">
        <v>1543</v>
      </c>
      <c r="F21" s="2009">
        <f>'数据-取费表'!B38</f>
        <v>0.02</v>
      </c>
      <c r="G21" s="2007"/>
      <c r="H21" s="2013"/>
      <c r="I21" s="2129"/>
      <c r="J21" s="2034"/>
      <c r="K21" s="2035"/>
      <c r="L21" s="1971" t="s">
        <v>1544</v>
      </c>
      <c r="M21" s="1972">
        <f ca="1">INDIRECT("'数据-取费表'!r"&amp;$G$1)</f>
        <v>0</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spans="1:37" ht="18" customHeight="1">
      <c r="A22" s="2000" t="s">
        <v>1350</v>
      </c>
      <c r="B22" s="1971" t="s">
        <v>1545</v>
      </c>
      <c r="C22" s="621"/>
      <c r="D22" s="2011" t="str">
        <f>IF(F23&lt;=1,"单利计息。","复利计息。")&amp;"建造成本、管理费用、销售费用产生的利息。"</f>
        <v>复利计息。建造成本、管理费用、销售费用产生的利息。</v>
      </c>
      <c r="E22" s="623"/>
      <c r="F22" s="2010"/>
      <c r="G22" s="912"/>
      <c r="H22" s="2000" t="s">
        <v>1302</v>
      </c>
      <c r="I22" s="1971" t="s">
        <v>1546</v>
      </c>
      <c r="J22" s="621">
        <f ca="1">ROUND(J14*M22,2)</f>
        <v>0</v>
      </c>
      <c r="K22" s="2025" t="s">
        <v>1547</v>
      </c>
      <c r="L22" s="1971" t="s">
        <v>1516</v>
      </c>
      <c r="M22" s="2037">
        <f ca="1">INDIRECT("'数据-取费表'!Ak"&amp;$G$1)</f>
        <v>0</v>
      </c>
    </row>
    <row r="23" spans="1:37" s="1940" customFormat="1" ht="18" customHeight="1">
      <c r="A23" s="2000" t="s">
        <v>1321</v>
      </c>
      <c r="B23" s="1971" t="s">
        <v>1548</v>
      </c>
      <c r="C23" s="621">
        <f ca="1">IF('数据-取费表'!B22&lt;=1,ROUND(C19*F24*F23/2,0)+ROUND(C20*F24*F23/2,0),ROUND(C19*(POWER((1+F24),F23/2)-1),0)+ROUND(C20*(POWER((1+F24),F23/2)-1),0))</f>
        <v>0</v>
      </c>
      <c r="D23" s="2014" t="str">
        <f>IF(F23&lt;=1,"(建造成本+管理费用)×利率×(建设周期÷2)","(建造成本+管理费用)×((1+利率)^(建设周期÷2)-1)")</f>
        <v>(建造成本+管理费用)×((1+利率)^(建设周期÷2)-1)</v>
      </c>
      <c r="E23" s="1971" t="s">
        <v>1549</v>
      </c>
      <c r="F23" s="2015">
        <f>'数据-取费表'!B20</f>
        <v>2</v>
      </c>
      <c r="G23" s="2007"/>
      <c r="H23" s="2000" t="s">
        <v>1347</v>
      </c>
      <c r="I23" s="1971" t="s">
        <v>1550</v>
      </c>
      <c r="J23" s="621">
        <f ca="1">ROUND(J13*M23,2)</f>
        <v>0</v>
      </c>
      <c r="K23" s="2025" t="s">
        <v>1551</v>
      </c>
      <c r="L23" s="1971" t="s">
        <v>1516</v>
      </c>
      <c r="M23" s="2038">
        <f ca="1">INDIRECT("'数据-取费表'!Al"&amp;$G$1)</f>
        <v>0</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pans="1:37" s="1940" customFormat="1" ht="18" customHeight="1">
      <c r="A24" s="2000" t="s">
        <v>1325</v>
      </c>
      <c r="B24" s="1971" t="s">
        <v>1552</v>
      </c>
      <c r="C24" s="621">
        <f ca="1">ROUND(IF('数据-取费表'!B22&lt;=1,F21*F24*F23/2,F21*(POWER((1+F24),F23/2)-1)),4)</f>
        <v>5.9999999999999995E-4</v>
      </c>
      <c r="D24" s="2014" t="str">
        <f>IF(F23&lt;=1,"销售费用×利率×(建设周期÷2)","销售费用×((1+利率)^(建设周期÷2)-1)")</f>
        <v>销售费用×((1+利率)^(建设周期÷2)-1)</v>
      </c>
      <c r="E24" s="1971" t="s">
        <v>1553</v>
      </c>
      <c r="F24" s="2016">
        <f ca="1">'数据-取费表'!B40</f>
        <v>3.1300000000000001E-2</v>
      </c>
      <c r="G24" s="2007"/>
      <c r="H24" s="2008" t="s">
        <v>1350</v>
      </c>
      <c r="I24" s="1993" t="s">
        <v>1536</v>
      </c>
      <c r="J24" s="2017">
        <f ca="1">ROUND(J5*M24,2)</f>
        <v>0</v>
      </c>
      <c r="K24" s="2018" t="s">
        <v>1554</v>
      </c>
      <c r="L24" s="1993" t="s">
        <v>1516</v>
      </c>
      <c r="M24" s="1994">
        <f ca="1">INDIRECT("'数据-取费表'!Am"&amp;$G$1)</f>
        <v>0</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spans="1:37" ht="24" customHeight="1">
      <c r="A25" s="2000" t="s">
        <v>1354</v>
      </c>
      <c r="B25" s="1971" t="s">
        <v>1555</v>
      </c>
      <c r="C25" s="621"/>
      <c r="D25" s="2011" t="s">
        <v>1556</v>
      </c>
      <c r="E25" s="623"/>
      <c r="F25" s="2010"/>
      <c r="G25" s="912"/>
      <c r="H25" s="1995" t="s">
        <v>1557</v>
      </c>
      <c r="I25" s="2039" t="s">
        <v>1558</v>
      </c>
      <c r="J25" s="1997">
        <f ca="1">J5-J16</f>
        <v>0</v>
      </c>
      <c r="K25" s="2040" t="s">
        <v>1559</v>
      </c>
      <c r="L25" s="2041"/>
      <c r="M25" s="2042"/>
    </row>
    <row r="26" spans="1:37">
      <c r="A26" s="2000" t="s">
        <v>1321</v>
      </c>
      <c r="B26" s="1971" t="s">
        <v>1560</v>
      </c>
      <c r="C26" s="621">
        <f ca="1">ROUND((C19+C20)*F26,0)</f>
        <v>0</v>
      </c>
      <c r="D26" s="2012" t="s">
        <v>1561</v>
      </c>
      <c r="E26" s="1982" t="s">
        <v>1562</v>
      </c>
      <c r="F26" s="1979">
        <f ca="1">INDIRECT("'数据-取费表'!q"&amp;$G$1)</f>
        <v>0</v>
      </c>
      <c r="G26" s="912"/>
      <c r="H26" s="1962" t="s">
        <v>1563</v>
      </c>
      <c r="I26" s="1963" t="s">
        <v>1564</v>
      </c>
      <c r="J26" s="2043">
        <f ca="1">IF(J5&lt;&gt;0,ROUND(J25*(1-((1+M28)/(1+M26))^M27)/(M26-M28),0),0)</f>
        <v>0</v>
      </c>
      <c r="K26" s="2031" t="s">
        <v>1565</v>
      </c>
      <c r="L26" s="1971" t="s">
        <v>1566</v>
      </c>
      <c r="M26" s="1979">
        <f ca="1">INDIRECT("'数据-取费表'!I"&amp;$G$1)</f>
        <v>0</v>
      </c>
    </row>
    <row r="27" spans="1:37" ht="18" customHeight="1">
      <c r="A27" s="2000" t="s">
        <v>1325</v>
      </c>
      <c r="B27" s="1971" t="s">
        <v>1567</v>
      </c>
      <c r="C27" s="621">
        <f ca="1">ROUND(F21*F26,4)</f>
        <v>0</v>
      </c>
      <c r="D27" s="2012" t="s">
        <v>1568</v>
      </c>
      <c r="E27" s="2005"/>
      <c r="F27" s="2006"/>
      <c r="G27" s="912"/>
      <c r="H27" s="1977"/>
      <c r="I27" s="2045"/>
      <c r="J27" s="1978"/>
      <c r="K27" s="2046" t="s">
        <v>1569</v>
      </c>
      <c r="L27" s="1971" t="s">
        <v>1570</v>
      </c>
      <c r="M27" s="2047">
        <f ca="1">INDIRECT("'数据-取费表'!ag"&amp;$G$1)</f>
        <v>0</v>
      </c>
    </row>
    <row r="28" spans="1:37" s="1940" customFormat="1" ht="18" customHeight="1">
      <c r="A28" s="2000" t="s">
        <v>1355</v>
      </c>
      <c r="B28" s="1971" t="s">
        <v>1571</v>
      </c>
      <c r="C28" s="621">
        <f>ROUND(F28/(1+'数据-取费表'!C42),4)</f>
        <v>5.2400000000000002E-2</v>
      </c>
      <c r="D28" s="2012" t="s">
        <v>1572</v>
      </c>
      <c r="E28" s="1971" t="s">
        <v>1516</v>
      </c>
      <c r="F28" s="2009">
        <f>'数据-取费表'!B41</f>
        <v>5.5E-2</v>
      </c>
      <c r="G28" s="2007"/>
      <c r="H28" s="1984"/>
      <c r="I28" s="2049"/>
      <c r="J28" s="1997"/>
      <c r="K28" s="2035"/>
      <c r="L28" s="1971" t="s">
        <v>1573</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pans="1:37" s="1940" customFormat="1" ht="18" customHeight="1">
      <c r="A29" s="2008" t="s">
        <v>1574</v>
      </c>
      <c r="B29" s="1993" t="s">
        <v>1575</v>
      </c>
      <c r="C29" s="2017">
        <f ca="1">ROUND((C19+C20+C23+C26)/(1-F21-C24-C27-C28),0)</f>
        <v>0</v>
      </c>
      <c r="D29" s="2018"/>
      <c r="E29" s="1993"/>
      <c r="F29" s="2019"/>
      <c r="G29" s="2007"/>
      <c r="H29" s="2020" t="s">
        <v>1576</v>
      </c>
      <c r="I29" s="2050" t="s">
        <v>1577</v>
      </c>
      <c r="J29" s="2051">
        <f ca="1">ROUND(J26/(1+F40)^F41,0)</f>
        <v>0</v>
      </c>
      <c r="K29" s="2052" t="s">
        <v>1578</v>
      </c>
      <c r="L29" s="2053"/>
      <c r="M29" s="2054">
        <f ca="1">INDIRECT("'数据-取费表'!k"&amp;$G$1)</f>
        <v>0</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spans="1:37" ht="18" customHeight="1">
      <c r="A30" s="1995" t="s">
        <v>1518</v>
      </c>
      <c r="B30" s="1996" t="s">
        <v>1519</v>
      </c>
      <c r="C30" s="1997">
        <f ca="1">ROUND(C31+C36+C37+C38,0)</f>
        <v>0</v>
      </c>
      <c r="D30" s="2021" t="s">
        <v>1520</v>
      </c>
      <c r="E30" s="2022"/>
      <c r="F30" s="1967"/>
      <c r="G30" s="912"/>
      <c r="H30" s="2023"/>
      <c r="I30" s="2130"/>
      <c r="J30" s="2131"/>
      <c r="K30" s="2132"/>
      <c r="L30" s="2133"/>
      <c r="M30" s="2134"/>
    </row>
    <row r="31" spans="1:37" ht="18" customHeight="1">
      <c r="A31" s="2000" t="s">
        <v>1298</v>
      </c>
      <c r="B31" s="1971" t="s">
        <v>1525</v>
      </c>
      <c r="C31" s="2024">
        <f ca="1">ROUND(IF(AND(项目基本情况!B11="自然人",项目基本情况!B10="北京市"),C6*F31/(1+'数据-取费表'!C42),C32+C33+C34),2)</f>
        <v>0</v>
      </c>
      <c r="D31" s="2002" t="s">
        <v>1526</v>
      </c>
      <c r="E31" s="2025" t="s">
        <v>1527</v>
      </c>
      <c r="F31" s="2026" t="str">
        <f>IF(项目基本情况!B11="企业","——",IF(M47="住宅",IF(F6*F7*F8/12/(1+'数据-取费表'!F30)&gt;100000,4%,2.5%),IF(F6*F7*F8/12/(1+'数据-取费表'!F30)&gt;100000,12%,7%)))</f>
        <v>——</v>
      </c>
      <c r="G31" s="912"/>
      <c r="H31" s="2027" t="s">
        <v>1579</v>
      </c>
      <c r="I31" s="2130"/>
      <c r="J31" s="2131"/>
      <c r="K31" s="2132"/>
      <c r="L31" s="2133"/>
      <c r="M31" s="2134"/>
    </row>
    <row r="32" spans="1:37" ht="18" customHeight="1">
      <c r="A32" s="2000" t="s">
        <v>1321</v>
      </c>
      <c r="B32" s="1971" t="s">
        <v>1530</v>
      </c>
      <c r="C32" s="621">
        <f ca="1">IF(项目基本情况!B11="自然人","——",ROUND(C6*F32/(1+'数据-取费表'!C42),2))</f>
        <v>0</v>
      </c>
      <c r="D32" s="2025" t="s">
        <v>1531</v>
      </c>
      <c r="E32" s="1971" t="s">
        <v>1516</v>
      </c>
      <c r="F32" s="2016">
        <f>'数据-取费表'!B41</f>
        <v>5.5E-2</v>
      </c>
      <c r="G32" s="912"/>
      <c r="H32" s="2023"/>
      <c r="I32" s="2130"/>
      <c r="J32" s="2131"/>
      <c r="K32" s="2132"/>
      <c r="L32" s="2133"/>
      <c r="M32" s="2134"/>
    </row>
    <row r="33" spans="1:18" ht="18" customHeight="1">
      <c r="A33" s="2000" t="s">
        <v>1325</v>
      </c>
      <c r="B33" s="1971" t="s">
        <v>1534</v>
      </c>
      <c r="C33" s="621">
        <f ca="1">IF(项目基本情况!B11="自然人","——",IF(D33="按租金收入计税",ROUND(C6*F33/(1+'数据-取费表'!C42),2),IF(D33="按房产原值计税",ROUND(C29*F33*0.7,2),INDIRECT("'数据-取费表'!Aj"&amp;$G$1))))</f>
        <v>0</v>
      </c>
      <c r="D33" s="2028" t="s">
        <v>1535</v>
      </c>
      <c r="E33" s="1971" t="s">
        <v>1516</v>
      </c>
      <c r="F33" s="2009">
        <f>IF(D33="按票据","——",IF(D33="按租金收入计税",'数据-取费表'!B51,'数据-取费表'!B50))</f>
        <v>0.12</v>
      </c>
      <c r="G33" s="912"/>
      <c r="H33" s="2029"/>
      <c r="I33" s="2130"/>
      <c r="J33" s="2131"/>
      <c r="K33" s="2135"/>
      <c r="L33" s="2029"/>
      <c r="M33" s="2029"/>
    </row>
    <row r="34" spans="1:18" ht="18" customHeight="1">
      <c r="A34" s="1968" t="s">
        <v>1328</v>
      </c>
      <c r="B34" s="1970" t="s">
        <v>1538</v>
      </c>
      <c r="C34" s="2030">
        <f ca="1">IF(项目基本情况!B11="自然人","——",ROUND(F34*F35/10000,2))</f>
        <v>0</v>
      </c>
      <c r="D34" s="2031" t="s">
        <v>1539</v>
      </c>
      <c r="E34" s="1971" t="s">
        <v>1540</v>
      </c>
      <c r="F34" s="2015">
        <f>'数据-取费表'!B52</f>
        <v>0</v>
      </c>
      <c r="G34" s="912"/>
      <c r="H34" s="2023"/>
      <c r="I34" s="2130"/>
      <c r="J34" s="2131"/>
      <c r="K34" s="2136"/>
      <c r="L34" s="2137"/>
      <c r="M34" s="2137"/>
    </row>
    <row r="35" spans="1:18" ht="18" customHeight="1">
      <c r="A35" s="2032"/>
      <c r="B35" s="2033"/>
      <c r="C35" s="2034"/>
      <c r="D35" s="2035"/>
      <c r="E35" s="1971" t="s">
        <v>1544</v>
      </c>
      <c r="F35" s="1972">
        <f ca="1">INDIRECT("'数据-取费表'!r"&amp;$G$1)</f>
        <v>0</v>
      </c>
      <c r="G35" s="912"/>
      <c r="H35" s="2023"/>
      <c r="I35" s="2130"/>
      <c r="J35" s="2131"/>
      <c r="K35" s="2135"/>
      <c r="L35" s="2029"/>
      <c r="M35" s="2029"/>
    </row>
    <row r="36" spans="1:18" ht="18" customHeight="1">
      <c r="A36" s="2036" t="s">
        <v>1302</v>
      </c>
      <c r="B36" s="1971" t="s">
        <v>1546</v>
      </c>
      <c r="C36" s="621">
        <f ca="1">ROUND(C29*F36,2)</f>
        <v>0</v>
      </c>
      <c r="D36" s="2025" t="s">
        <v>1580</v>
      </c>
      <c r="E36" s="1971" t="s">
        <v>1516</v>
      </c>
      <c r="F36" s="2037">
        <f ca="1">INDIRECT("'数据-取费表'!Ak"&amp;$G$1)</f>
        <v>0</v>
      </c>
      <c r="G36" s="912"/>
      <c r="H36" s="2029"/>
      <c r="I36" s="2130"/>
      <c r="J36" s="2131"/>
      <c r="K36" s="2138"/>
      <c r="L36" s="2029"/>
      <c r="M36" s="2029"/>
    </row>
    <row r="37" spans="1:18" ht="18" customHeight="1">
      <c r="A37" s="2000" t="s">
        <v>1347</v>
      </c>
      <c r="B37" s="1971" t="s">
        <v>1550</v>
      </c>
      <c r="C37" s="621">
        <f ca="1">ROUND(C13*F37,2)</f>
        <v>0</v>
      </c>
      <c r="D37" s="2025" t="s">
        <v>1551</v>
      </c>
      <c r="E37" s="1971" t="s">
        <v>1516</v>
      </c>
      <c r="F37" s="2038">
        <f ca="1">INDIRECT("'数据-取费表'!Al"&amp;$G$1)</f>
        <v>0</v>
      </c>
      <c r="G37" s="912"/>
      <c r="H37" s="2029"/>
      <c r="I37" s="2130"/>
      <c r="J37" s="2131"/>
      <c r="K37" s="2138"/>
      <c r="L37" s="2029"/>
      <c r="M37" s="2029"/>
    </row>
    <row r="38" spans="1:18" ht="18" customHeight="1">
      <c r="A38" s="2008" t="s">
        <v>1350</v>
      </c>
      <c r="B38" s="1993" t="s">
        <v>1536</v>
      </c>
      <c r="C38" s="2017">
        <f ca="1">ROUND(C5*F38,2)</f>
        <v>0</v>
      </c>
      <c r="D38" s="2018" t="s">
        <v>1554</v>
      </c>
      <c r="E38" s="1993" t="s">
        <v>1516</v>
      </c>
      <c r="F38" s="1994">
        <f ca="1">INDIRECT("'数据-取费表'!Am"&amp;$G$1)</f>
        <v>0</v>
      </c>
      <c r="G38" s="912"/>
      <c r="H38" s="2029"/>
      <c r="I38" s="2130"/>
      <c r="J38" s="2131"/>
      <c r="K38" s="2139"/>
      <c r="L38" s="2029"/>
      <c r="M38" s="2029"/>
    </row>
    <row r="39" spans="1:18" ht="24.6" customHeight="1">
      <c r="A39" s="1995" t="s">
        <v>1557</v>
      </c>
      <c r="B39" s="2039" t="s">
        <v>1558</v>
      </c>
      <c r="C39" s="1997">
        <f ca="1">C5-C30</f>
        <v>0</v>
      </c>
      <c r="D39" s="2040" t="s">
        <v>1559</v>
      </c>
      <c r="E39" s="2041"/>
      <c r="F39" s="2042"/>
      <c r="G39" s="912"/>
      <c r="H39" s="2029"/>
      <c r="I39" s="2130"/>
      <c r="J39" s="2131"/>
      <c r="K39" s="2139"/>
      <c r="L39" s="2029"/>
      <c r="M39" s="2029"/>
    </row>
    <row r="40" spans="1:18" ht="18" customHeight="1">
      <c r="A40" s="1962" t="s">
        <v>1563</v>
      </c>
      <c r="B40" s="1963" t="s">
        <v>1581</v>
      </c>
      <c r="C40" s="2043" t="e">
        <f ca="1">ROUND(C39*(1-((1+F42)/(1+F40))^F41)/(F40-F42),0)</f>
        <v>#DIV/0!</v>
      </c>
      <c r="D40" s="2031" t="s">
        <v>1565</v>
      </c>
      <c r="E40" s="1971" t="s">
        <v>1566</v>
      </c>
      <c r="F40" s="1979">
        <f ca="1">INDIRECT("'数据-取费表'!I"&amp;$G$1)</f>
        <v>0</v>
      </c>
      <c r="G40" s="912"/>
      <c r="H40" s="2044"/>
      <c r="I40" s="2130"/>
      <c r="J40" s="2131"/>
      <c r="K40" s="2139"/>
      <c r="L40" s="2044"/>
      <c r="M40" s="2044"/>
    </row>
    <row r="41" spans="1:18" ht="18" customHeight="1">
      <c r="A41" s="1977"/>
      <c r="B41" s="2045"/>
      <c r="C41" s="1978"/>
      <c r="D41" s="2046" t="s">
        <v>1569</v>
      </c>
      <c r="E41" s="1971" t="s">
        <v>1570</v>
      </c>
      <c r="F41" s="2047">
        <f ca="1">IF(INDIRECT("'数据-取费表'!af"&amp;$G$1)=0,INDIRECT("'数据-取费表'!ae"&amp;$G$1),INDIRECT("'数据-取费表'!af"&amp;$G$1))</f>
        <v>0</v>
      </c>
      <c r="G41" s="912"/>
      <c r="H41" s="2048"/>
      <c r="I41" s="2130"/>
      <c r="J41" s="2131"/>
      <c r="K41" s="2138"/>
      <c r="L41" s="2048"/>
      <c r="M41" s="2048"/>
    </row>
    <row r="42" spans="1:18" ht="18" customHeight="1">
      <c r="A42" s="1984"/>
      <c r="B42" s="2049"/>
      <c r="C42" s="1997"/>
      <c r="D42" s="2035"/>
      <c r="E42" s="1971" t="s">
        <v>1573</v>
      </c>
      <c r="F42" s="1979">
        <f ca="1">INDIRECT("'数据-取费表'!v"&amp;$G$1)</f>
        <v>0</v>
      </c>
      <c r="G42" s="912"/>
      <c r="H42" s="2048"/>
      <c r="I42" s="2130"/>
      <c r="J42" s="2131"/>
      <c r="K42" s="2138"/>
      <c r="L42" s="2048"/>
      <c r="M42" s="2048"/>
    </row>
    <row r="43" spans="1:18" ht="18" customHeight="1">
      <c r="A43" s="2020" t="s">
        <v>1576</v>
      </c>
      <c r="B43" s="2050" t="s">
        <v>1582</v>
      </c>
      <c r="C43" s="2051" t="e">
        <f ca="1">ROUND(C40*10000/F43,0)</f>
        <v>#DIV/0!</v>
      </c>
      <c r="D43" s="2052" t="s">
        <v>1583</v>
      </c>
      <c r="E43" s="2053" t="s">
        <v>1584</v>
      </c>
      <c r="F43" s="2054">
        <f ca="1">INDIRECT("'数据-取费表'!k"&amp;$G$1)</f>
        <v>0</v>
      </c>
      <c r="G43" s="912"/>
      <c r="H43" s="2048"/>
      <c r="I43" s="2048"/>
      <c r="J43" s="2048"/>
      <c r="K43" s="2138"/>
      <c r="L43" s="2048"/>
      <c r="M43" s="2048"/>
    </row>
    <row r="44" spans="1:18" s="912" customFormat="1" ht="18" customHeight="1">
      <c r="A44" s="2055"/>
      <c r="B44" s="2055"/>
      <c r="C44" s="2056"/>
      <c r="D44" s="2055"/>
      <c r="E44" s="2055"/>
      <c r="F44" s="2055"/>
      <c r="K44" s="2140"/>
    </row>
    <row r="45" spans="1:18" s="912" customFormat="1" ht="18" customHeight="1">
      <c r="A45" s="2055"/>
      <c r="B45" s="2055"/>
      <c r="C45" s="2056"/>
      <c r="D45" s="2055"/>
      <c r="E45" s="2055"/>
      <c r="F45" s="2055"/>
      <c r="J45" s="655"/>
      <c r="O45" s="2141" t="s">
        <v>1587</v>
      </c>
      <c r="P45" s="2044"/>
      <c r="Q45" s="2044"/>
      <c r="R45" s="2044"/>
    </row>
    <row r="46" spans="1:18" s="912" customFormat="1">
      <c r="A46" s="2057" t="s">
        <v>1588</v>
      </c>
      <c r="C46" s="2058" t="e">
        <f ca="1">C68-C40</f>
        <v>#DIV/0!</v>
      </c>
      <c r="D46" s="2059" t="str">
        <f>C2</f>
        <v>万元</v>
      </c>
      <c r="E46" s="2055"/>
      <c r="F46" s="2055"/>
      <c r="I46" s="2142" t="s">
        <v>1589</v>
      </c>
      <c r="J46" s="2143"/>
      <c r="K46" s="2144"/>
      <c r="L46" s="2145" t="e">
        <f ca="1">IF(M47="住宅",0,IF(L48&gt;J51,L60,J60))</f>
        <v>#DIV/0!</v>
      </c>
      <c r="O46" s="2146" t="s">
        <v>1590</v>
      </c>
      <c r="P46" s="2147" t="s">
        <v>1591</v>
      </c>
      <c r="Q46" s="2193" t="s">
        <v>1592</v>
      </c>
      <c r="R46" s="2193" t="s">
        <v>1593</v>
      </c>
    </row>
    <row r="47" spans="1:18" s="912" customFormat="1">
      <c r="A47" s="2060" t="s">
        <v>1485</v>
      </c>
      <c r="B47" s="2061" t="s">
        <v>1486</v>
      </c>
      <c r="C47" s="2062" t="s">
        <v>1487</v>
      </c>
      <c r="D47" s="2061" t="s">
        <v>1488</v>
      </c>
      <c r="E47" s="2063" t="s">
        <v>1489</v>
      </c>
      <c r="F47" s="614"/>
      <c r="G47" s="2064"/>
      <c r="I47" s="2148" t="s">
        <v>1594</v>
      </c>
      <c r="J47" s="2149"/>
      <c r="K47" s="2150" t="s">
        <v>1596</v>
      </c>
      <c r="L47" s="2151">
        <f ca="1">INDIRECT("'数据-取费表'!d"&amp;$G$1)</f>
        <v>0</v>
      </c>
      <c r="M47" s="2152" t="str">
        <f>IF(ISNUMBER(FIND("住宅",C1)),"住宅","非住宅")</f>
        <v>非住宅</v>
      </c>
      <c r="O47" s="2153" t="s">
        <v>1597</v>
      </c>
      <c r="P47" s="2154" t="s">
        <v>1598</v>
      </c>
      <c r="Q47" s="2194" t="e">
        <f ca="1">C40+J29</f>
        <v>#DIV/0!</v>
      </c>
      <c r="R47" s="2194" t="s">
        <v>1599</v>
      </c>
    </row>
    <row r="48" spans="1:18" s="912" customFormat="1" ht="27.75">
      <c r="A48" s="2065" t="s">
        <v>1600</v>
      </c>
      <c r="B48" s="1963" t="s">
        <v>1490</v>
      </c>
      <c r="C48" s="622">
        <f ca="1">C49+C53+C55</f>
        <v>0</v>
      </c>
      <c r="D48" s="2066"/>
      <c r="E48" s="2067"/>
      <c r="F48" s="2068"/>
      <c r="G48" s="2064"/>
      <c r="H48" s="2069"/>
      <c r="I48" s="2155" t="s">
        <v>1601</v>
      </c>
      <c r="J48" s="2156"/>
      <c r="K48" s="2157" t="s">
        <v>1603</v>
      </c>
      <c r="L48" s="2158">
        <f ca="1">INDIRECT("'数据-取费表'!f"&amp;$G$1)</f>
        <v>0</v>
      </c>
      <c r="O48" s="2153" t="s">
        <v>1604</v>
      </c>
      <c r="P48" s="2154" t="s">
        <v>1605</v>
      </c>
      <c r="Q48" s="2194" t="e">
        <f ca="1">J60</f>
        <v>#DIV/0!</v>
      </c>
      <c r="R48" s="2194" t="s">
        <v>1606</v>
      </c>
    </row>
    <row r="49" spans="1:18" s="912" customFormat="1">
      <c r="A49" s="2070" t="s">
        <v>1607</v>
      </c>
      <c r="B49" s="2071" t="s">
        <v>1608</v>
      </c>
      <c r="C49" s="2072">
        <f ca="1">ROUND(F49*F51*F50*(1-F52)/10000,0)</f>
        <v>0</v>
      </c>
      <c r="D49" s="2073" t="s">
        <v>1829</v>
      </c>
      <c r="E49" s="2074" t="s">
        <v>1610</v>
      </c>
      <c r="F49" s="2075"/>
      <c r="G49" s="2076"/>
      <c r="H49" s="2069"/>
      <c r="I49" s="2155" t="s">
        <v>1611</v>
      </c>
      <c r="J49" s="2159"/>
      <c r="K49" s="2157" t="s">
        <v>1612</v>
      </c>
      <c r="L49" s="2160"/>
      <c r="O49" s="2161" t="s">
        <v>1613</v>
      </c>
      <c r="P49" s="2154" t="s">
        <v>1614</v>
      </c>
      <c r="Q49" s="2194">
        <f ca="1">C29</f>
        <v>0</v>
      </c>
      <c r="R49" s="2194" t="s">
        <v>1599</v>
      </c>
    </row>
    <row r="50" spans="1:18" s="912" customFormat="1">
      <c r="A50" s="2077"/>
      <c r="B50" s="2078"/>
      <c r="C50" s="2079"/>
      <c r="D50" s="2080"/>
      <c r="E50" s="2081" t="s">
        <v>1496</v>
      </c>
      <c r="F50" s="2082">
        <f ca="1">F7</f>
        <v>0</v>
      </c>
      <c r="H50" s="2069"/>
      <c r="I50" s="2155" t="s">
        <v>1615</v>
      </c>
      <c r="J50" s="2162">
        <f>SUMPRODUCT((I63:I65=J47)*(J62:L62=J48)*(J63:L65))</f>
        <v>0</v>
      </c>
      <c r="K50" s="2157" t="s">
        <v>1616</v>
      </c>
      <c r="L50" s="2160"/>
      <c r="M50" s="2163"/>
      <c r="O50" s="2161" t="s">
        <v>1617</v>
      </c>
      <c r="P50" s="2154" t="s">
        <v>1618</v>
      </c>
      <c r="Q50" s="2195" t="e">
        <f ca="1">J58</f>
        <v>#DIV/0!</v>
      </c>
      <c r="R50" s="2194"/>
    </row>
    <row r="51" spans="1:18" s="912" customFormat="1">
      <c r="A51" s="2083"/>
      <c r="B51" s="2078"/>
      <c r="C51" s="2084"/>
      <c r="D51" s="2080"/>
      <c r="E51" s="2085" t="s">
        <v>1497</v>
      </c>
      <c r="F51" s="1972">
        <f ca="1">F8</f>
        <v>0</v>
      </c>
      <c r="I51" s="2164" t="s">
        <v>1619</v>
      </c>
      <c r="J51" s="2165">
        <f>IF(J49="",J50,J49+J50-YEAR('数据-取费表'!B2))</f>
        <v>0</v>
      </c>
      <c r="K51" s="2166" t="s">
        <v>1620</v>
      </c>
      <c r="L51" s="2167">
        <f ca="1">ROUND(-PV(INDIRECT("'数据-取费表'!h"&amp;$G$1),J51,(C39-C13*C76),0),0)</f>
        <v>0</v>
      </c>
      <c r="M51" s="2168"/>
      <c r="O51" s="2161" t="s">
        <v>1621</v>
      </c>
      <c r="P51" s="2154" t="s">
        <v>1622</v>
      </c>
      <c r="Q51" s="2195">
        <f>J52</f>
        <v>0</v>
      </c>
      <c r="R51" s="2194"/>
    </row>
    <row r="52" spans="1:18" s="912" customFormat="1">
      <c r="A52" s="2083"/>
      <c r="B52" s="2078"/>
      <c r="C52" s="2084"/>
      <c r="D52" s="2080"/>
      <c r="E52" s="2085" t="s">
        <v>1498</v>
      </c>
      <c r="F52" s="2086"/>
      <c r="I52" s="2169" t="s">
        <v>1623</v>
      </c>
      <c r="J52" s="2170"/>
      <c r="K52" s="2169" t="s">
        <v>1624</v>
      </c>
      <c r="L52" s="2170"/>
      <c r="O52" s="2161" t="s">
        <v>1625</v>
      </c>
      <c r="P52" s="2154" t="s">
        <v>1626</v>
      </c>
      <c r="Q52" s="2194">
        <f ca="1">J53</f>
        <v>0</v>
      </c>
      <c r="R52" s="2194" t="s">
        <v>1627</v>
      </c>
    </row>
    <row r="53" spans="1:18" s="912" customFormat="1" ht="24">
      <c r="A53" s="2087" t="s">
        <v>1628</v>
      </c>
      <c r="B53" s="2088" t="s">
        <v>1499</v>
      </c>
      <c r="C53" s="620">
        <f ca="1">ROUND(IF(F53="押一",C49/12*F11,IF(F53="押二",C49/12*2*F11,IF(F53="押三",C49/12*3*F11,C54*F11))),0)</f>
        <v>0</v>
      </c>
      <c r="D53" s="1981" t="s">
        <v>1500</v>
      </c>
      <c r="E53" s="1982" t="s">
        <v>1501</v>
      </c>
      <c r="F53" s="1983"/>
      <c r="I53" s="2171" t="s">
        <v>1630</v>
      </c>
      <c r="J53" s="2172">
        <f ca="1">IF(M47="住宅",IF(D1="——",MAX(J51,L48),MAX(J51,L48-'数据-取费表'!B24)),IF(D1="——",MIN(J51,L48),MIN(J51,L48-'数据-取费表'!B24)))</f>
        <v>0</v>
      </c>
      <c r="K53" s="3720" t="s">
        <v>1631</v>
      </c>
      <c r="L53" s="3721"/>
      <c r="O53" s="2153" t="s">
        <v>1632</v>
      </c>
      <c r="P53" s="2154" t="s">
        <v>1633</v>
      </c>
      <c r="Q53" s="2194" t="e">
        <f ca="1">Q47+Q48</f>
        <v>#DIV/0!</v>
      </c>
      <c r="R53" s="2194" t="s">
        <v>1634</v>
      </c>
    </row>
    <row r="54" spans="1:18" s="912" customFormat="1">
      <c r="A54" s="2089"/>
      <c r="B54" s="1985" t="s">
        <v>1830</v>
      </c>
      <c r="C54" s="689"/>
      <c r="D54" s="1981"/>
      <c r="E54" s="2090"/>
      <c r="F54" s="2091"/>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4"/>
      <c r="K54" s="2174"/>
      <c r="L54" s="2174"/>
      <c r="M54" s="2076"/>
      <c r="O54" s="2175" t="s">
        <v>1635</v>
      </c>
      <c r="P54" s="2176"/>
      <c r="Q54" s="2176"/>
      <c r="R54" s="2176"/>
    </row>
    <row r="55" spans="1:18" s="912" customFormat="1">
      <c r="A55" s="1989" t="s">
        <v>1347</v>
      </c>
      <c r="B55" s="1990" t="s">
        <v>1507</v>
      </c>
      <c r="C55" s="1991"/>
      <c r="D55" s="1981"/>
      <c r="E55" s="2090"/>
      <c r="F55" s="2091"/>
      <c r="I55" s="2177" t="s">
        <v>1636</v>
      </c>
      <c r="J55" s="2178" t="e">
        <f ca="1">ROUND(IF(J47="钢混",J57/J50,1-(1-2%)*(J50-J57)/J50),3)</f>
        <v>#DIV/0!</v>
      </c>
      <c r="K55" s="2179" t="s">
        <v>1637</v>
      </c>
      <c r="L55" s="2180"/>
      <c r="O55" s="2146" t="s">
        <v>1590</v>
      </c>
      <c r="P55" s="2147" t="s">
        <v>1591</v>
      </c>
      <c r="Q55" s="2193" t="s">
        <v>1592</v>
      </c>
      <c r="R55" s="2193" t="s">
        <v>1593</v>
      </c>
    </row>
    <row r="56" spans="1:18" s="912" customFormat="1" ht="24">
      <c r="A56" s="2092">
        <v>2</v>
      </c>
      <c r="B56" s="2093" t="s">
        <v>1508</v>
      </c>
      <c r="C56" s="422">
        <f ca="1">C13</f>
        <v>0</v>
      </c>
      <c r="D56" s="2094"/>
      <c r="E56" s="2095"/>
      <c r="F56" s="2091"/>
      <c r="I56" s="2181" t="s">
        <v>1638</v>
      </c>
      <c r="J56" s="2182"/>
      <c r="K56" s="2155" t="s">
        <v>1640</v>
      </c>
      <c r="L56" s="2158">
        <f ca="1">IF(L48&lt;J51,"——",L48-J53)</f>
        <v>0</v>
      </c>
      <c r="O56" s="2153" t="s">
        <v>1597</v>
      </c>
      <c r="P56" s="2154" t="s">
        <v>1598</v>
      </c>
      <c r="Q56" s="2194" t="e">
        <f ca="1">C40+J29</f>
        <v>#DIV/0!</v>
      </c>
      <c r="R56" s="2194" t="s">
        <v>1599</v>
      </c>
    </row>
    <row r="57" spans="1:18" s="912" customFormat="1" ht="24">
      <c r="A57" s="2096"/>
      <c r="B57" s="2097" t="s">
        <v>1575</v>
      </c>
      <c r="C57" s="432">
        <f ca="1">C29</f>
        <v>0</v>
      </c>
      <c r="D57" s="2098"/>
      <c r="E57" s="2099"/>
      <c r="F57" s="2100"/>
      <c r="I57" s="2183" t="s">
        <v>1641</v>
      </c>
      <c r="J57" s="2184">
        <f ca="1">IF(OR(M47="住宅",J51&lt;L48,J56="是"),"——",J51-L48)</f>
        <v>0</v>
      </c>
      <c r="K57" s="2155" t="s">
        <v>1831</v>
      </c>
      <c r="L57" s="2158">
        <f ca="1">IF(L48&lt;J51,"——",IF(L55="比较法",L49,IF(L55="基准地价",L50,L51)))</f>
        <v>0</v>
      </c>
      <c r="O57" s="2153" t="s">
        <v>1604</v>
      </c>
      <c r="P57" s="2154" t="s">
        <v>1643</v>
      </c>
      <c r="Q57" s="2194" t="e">
        <f ca="1">L60</f>
        <v>#DIV/0!</v>
      </c>
      <c r="R57" s="2194" t="s">
        <v>1644</v>
      </c>
    </row>
    <row r="58" spans="1:18" s="912" customFormat="1" ht="24">
      <c r="A58" s="2101" t="s">
        <v>1518</v>
      </c>
      <c r="B58" s="2093" t="s">
        <v>1519</v>
      </c>
      <c r="C58" s="620">
        <f ca="1">ROUND(C59+C64+C65+C66,0)</f>
        <v>0</v>
      </c>
      <c r="D58" s="2102" t="s">
        <v>1520</v>
      </c>
      <c r="E58" s="2103"/>
      <c r="F58" s="2068"/>
      <c r="I58" s="2183" t="s">
        <v>1645</v>
      </c>
      <c r="J58" s="2185" t="e">
        <f ca="1">IF(J55&lt;0.4,0.4,J55)</f>
        <v>#DIV/0!</v>
      </c>
      <c r="K58" s="2166" t="s">
        <v>1832</v>
      </c>
      <c r="L58" s="2158" t="e">
        <f ca="1">ROUND(POWER(1+L52,L47-L48)*(POWER(1+L52,L48)-1)/(POWER(1+L52,L47)-1),4)</f>
        <v>#DIV/0!</v>
      </c>
      <c r="O58" s="2161" t="s">
        <v>1613</v>
      </c>
      <c r="P58" s="2154" t="s">
        <v>1647</v>
      </c>
      <c r="Q58" s="2194">
        <f>IF(L55="比较法",L49,IF(L55="基准地价",L50,0))</f>
        <v>0</v>
      </c>
      <c r="R58" s="2194" t="s">
        <v>1599</v>
      </c>
    </row>
    <row r="59" spans="1:18" s="912" customFormat="1" ht="24">
      <c r="A59" s="2000" t="s">
        <v>1298</v>
      </c>
      <c r="B59" s="2097" t="s">
        <v>1525</v>
      </c>
      <c r="C59" s="2024">
        <f ca="1">ROUND(IF(AND(项目基本情况!B11="自然人",项目基本情况!B10="北京市"),C49*F59/(1+'数据-取费表'!C42),C60+C61+C62),0)</f>
        <v>0</v>
      </c>
      <c r="D59" s="2104" t="s">
        <v>1526</v>
      </c>
      <c r="E59" s="2105" t="s">
        <v>1527</v>
      </c>
      <c r="F59" s="2026" t="str">
        <f>IF(项目基本情况!B11="企业","——",IF('数据-取费表'!B10="住宅",IF(F49*F50*F51/12/(1+'数据-取费表'!F30)&gt;100000,4%,2.5%),IF(F49*F50*F51/12/(1+'数据-取费表'!F30)&gt;100000,12%,7%)))</f>
        <v>——</v>
      </c>
      <c r="I59" s="2183" t="s">
        <v>1648</v>
      </c>
      <c r="J59" s="2184" t="e">
        <f ca="1">IF(OR(M47="住宅",J51&lt;L48,J56="是"),"——",ROUND(C29*J58,0))</f>
        <v>#DIV/0!</v>
      </c>
      <c r="K59" s="21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8" t="e">
        <f ca="1">ROUND(IF(D1="在建（套用方法）",M59,IF(D1="土地（套用方法）",N59,POWER(1+L52,L47-J51)*(POWER(1+L52,J51)-1)/(POWER(1+L52,L47)-1))),4)</f>
        <v>#DIV/0!</v>
      </c>
      <c r="M59" s="2152" t="e">
        <f ca="1">ROUND(POWER(1+L52,L47-(J51+'数据-取费表'!B24))*(POWER(1+L52,(J51+'数据-取费表'!B24))-1)/(POWER(1+L52,L47)-1),4)</f>
        <v>#DIV/0!</v>
      </c>
      <c r="N59" s="2152" t="e">
        <f ca="1">ROUND(POWER(1+L52,L47-(J51+'数据-取费表'!B20))*(POWER(1+L52,(J51+'数据-取费表'!B20))-1)/(POWER(1+L52,L47)-1),4)</f>
        <v>#DIV/0!</v>
      </c>
      <c r="O59" s="2161" t="s">
        <v>1617</v>
      </c>
      <c r="P59" s="2154" t="s">
        <v>1649</v>
      </c>
      <c r="Q59" s="2195">
        <f>L52</f>
        <v>0</v>
      </c>
      <c r="R59" s="2194"/>
    </row>
    <row r="60" spans="1:18" s="912" customFormat="1" ht="15.75">
      <c r="A60" s="2000" t="s">
        <v>1321</v>
      </c>
      <c r="B60" s="2097" t="s">
        <v>1530</v>
      </c>
      <c r="C60" s="621">
        <f ca="1">IF(项目基本情况!B11="自然人","——",ROUND(C48*F60/(1+'数据-取费表'!C42),2))</f>
        <v>0</v>
      </c>
      <c r="D60" s="2105" t="s">
        <v>1531</v>
      </c>
      <c r="E60" s="2097" t="s">
        <v>1516</v>
      </c>
      <c r="F60" s="2016">
        <f t="shared" ref="F60:F66" si="0">F32</f>
        <v>5.5E-2</v>
      </c>
      <c r="I60" s="2186" t="s">
        <v>1650</v>
      </c>
      <c r="J60" s="2187" t="e">
        <f ca="1">IF(OR(M47="住宅",J51&lt;L48,J56="是"),"0",ROUND(J59/(1+J52)^J53,0))</f>
        <v>#DIV/0!</v>
      </c>
      <c r="K60" s="2188" t="s">
        <v>1651</v>
      </c>
      <c r="L60" s="2187" t="e">
        <f ca="1">IF(OR(M47="住宅",L48&lt;J51),0,ROUND(L57*(L58/L59-1),0))</f>
        <v>#DIV/0!</v>
      </c>
      <c r="O60" s="2161" t="s">
        <v>1621</v>
      </c>
      <c r="P60" s="2154" t="s">
        <v>1652</v>
      </c>
      <c r="Q60" s="2194" t="e">
        <f ca="1">L58</f>
        <v>#DIV/0!</v>
      </c>
      <c r="R60" s="2194" t="s">
        <v>1653</v>
      </c>
    </row>
    <row r="61" spans="1:18" s="912" customFormat="1">
      <c r="A61" s="2000" t="s">
        <v>1325</v>
      </c>
      <c r="B61" s="2097" t="s">
        <v>1534</v>
      </c>
      <c r="C61" s="621">
        <f ca="1">IF(项目基本情况!B11="自然人","——",IF(D61="按租金收入计税",ROUND(C49*F61/(1+'数据-取费表'!C42),2),IF(D61="按房产原值计税",ROUND(C57*F61*0.7,2),INDIRECT("'数据-取费表'!Aj"&amp;$G$1))))</f>
        <v>0</v>
      </c>
      <c r="D61" s="2028" t="s">
        <v>1535</v>
      </c>
      <c r="E61" s="2097" t="s">
        <v>1516</v>
      </c>
      <c r="F61" s="2009">
        <f t="shared" si="0"/>
        <v>0.12</v>
      </c>
      <c r="I61" s="2044"/>
      <c r="J61" s="2044"/>
      <c r="K61" s="2044"/>
      <c r="L61" s="2044"/>
      <c r="O61" s="2161" t="s">
        <v>1625</v>
      </c>
      <c r="P61" s="2154" t="str">
        <f>K59</f>
        <v>建筑物剩余耐用年限下的土地年期修正系数Kn</v>
      </c>
      <c r="Q61" s="2194" t="e">
        <f ca="1">L59</f>
        <v>#DIV/0!</v>
      </c>
      <c r="R61" s="2194" t="s">
        <v>1654</v>
      </c>
    </row>
    <row r="62" spans="1:18" s="912" customFormat="1">
      <c r="A62" s="2000" t="s">
        <v>1328</v>
      </c>
      <c r="B62" s="2106" t="s">
        <v>1538</v>
      </c>
      <c r="C62" s="2030">
        <f ca="1">IF(项目基本情况!B11="自然人","——",ROUND(F62*F63/10000,2))</f>
        <v>0</v>
      </c>
      <c r="D62" s="2107" t="s">
        <v>1539</v>
      </c>
      <c r="E62" s="2097" t="s">
        <v>1540</v>
      </c>
      <c r="F62" s="2015">
        <f t="shared" si="0"/>
        <v>0</v>
      </c>
      <c r="I62" s="2189" t="s">
        <v>1655</v>
      </c>
      <c r="J62" s="2190" t="s">
        <v>1656</v>
      </c>
      <c r="K62" s="2190" t="s">
        <v>1657</v>
      </c>
      <c r="L62" s="2190" t="s">
        <v>1658</v>
      </c>
      <c r="M62" s="2191" t="s">
        <v>1659</v>
      </c>
      <c r="O62" s="2153" t="s">
        <v>1632</v>
      </c>
      <c r="P62" s="2154" t="s">
        <v>1633</v>
      </c>
      <c r="Q62" s="2194" t="e">
        <f ca="1">Q56+Q57</f>
        <v>#DIV/0!</v>
      </c>
      <c r="R62" s="2194" t="s">
        <v>1634</v>
      </c>
    </row>
    <row r="63" spans="1:18" s="912" customFormat="1">
      <c r="A63" s="2013"/>
      <c r="B63" s="2108"/>
      <c r="C63" s="2034"/>
      <c r="D63" s="2109"/>
      <c r="E63" s="2097" t="s">
        <v>1544</v>
      </c>
      <c r="F63" s="1972">
        <f t="shared" ca="1" si="0"/>
        <v>0</v>
      </c>
      <c r="I63" s="2189" t="s">
        <v>1660</v>
      </c>
      <c r="J63" s="2190">
        <v>70</v>
      </c>
      <c r="K63" s="2190">
        <v>50</v>
      </c>
      <c r="L63" s="2190">
        <v>80</v>
      </c>
      <c r="M63" s="2192">
        <v>0.02</v>
      </c>
      <c r="O63" s="2175" t="s">
        <v>1661</v>
      </c>
      <c r="P63" s="2176"/>
      <c r="Q63" s="2176"/>
      <c r="R63" s="2176"/>
    </row>
    <row r="64" spans="1:18" s="912" customFormat="1">
      <c r="A64" s="2000" t="s">
        <v>1302</v>
      </c>
      <c r="B64" s="2097" t="s">
        <v>1546</v>
      </c>
      <c r="C64" s="621">
        <f ca="1">ROUND(C57*F64,2)</f>
        <v>0</v>
      </c>
      <c r="D64" s="2105" t="s">
        <v>1580</v>
      </c>
      <c r="E64" s="2097" t="s">
        <v>1516</v>
      </c>
      <c r="F64" s="2037">
        <f t="shared" ca="1" si="0"/>
        <v>0</v>
      </c>
      <c r="I64" s="2189" t="s">
        <v>1662</v>
      </c>
      <c r="J64" s="2190">
        <v>50</v>
      </c>
      <c r="K64" s="2190">
        <v>35</v>
      </c>
      <c r="L64" s="2190">
        <v>60</v>
      </c>
      <c r="M64" s="2191">
        <v>0</v>
      </c>
      <c r="O64" s="2146" t="s">
        <v>1590</v>
      </c>
      <c r="P64" s="2147" t="s">
        <v>1591</v>
      </c>
      <c r="Q64" s="2193" t="s">
        <v>1592</v>
      </c>
      <c r="R64" s="2193" t="s">
        <v>1593</v>
      </c>
    </row>
    <row r="65" spans="1:18" s="912" customFormat="1">
      <c r="A65" s="2000" t="s">
        <v>1347</v>
      </c>
      <c r="B65" s="2097" t="s">
        <v>1550</v>
      </c>
      <c r="C65" s="621">
        <f ca="1">ROUND(C56*F65,2)</f>
        <v>0</v>
      </c>
      <c r="D65" s="2105" t="s">
        <v>1551</v>
      </c>
      <c r="E65" s="2097" t="s">
        <v>1516</v>
      </c>
      <c r="F65" s="2038">
        <f t="shared" ca="1" si="0"/>
        <v>0</v>
      </c>
      <c r="I65" s="2189" t="s">
        <v>1663</v>
      </c>
      <c r="J65" s="2190">
        <v>40</v>
      </c>
      <c r="K65" s="2190">
        <v>30</v>
      </c>
      <c r="L65" s="2190">
        <v>50</v>
      </c>
      <c r="M65" s="2192">
        <v>0.02</v>
      </c>
      <c r="O65" s="2153" t="s">
        <v>1597</v>
      </c>
      <c r="P65" s="2154" t="s">
        <v>1598</v>
      </c>
      <c r="Q65" s="2194" t="e">
        <f ca="1">C40+J29</f>
        <v>#DIV/0!</v>
      </c>
      <c r="R65" s="2194" t="s">
        <v>1599</v>
      </c>
    </row>
    <row r="66" spans="1:18" s="912" customFormat="1" ht="15.75">
      <c r="A66" s="2000" t="s">
        <v>1350</v>
      </c>
      <c r="B66" s="2097" t="s">
        <v>1536</v>
      </c>
      <c r="C66" s="621">
        <f ca="1">ROUND(C48*F66,2)</f>
        <v>0</v>
      </c>
      <c r="D66" s="2105" t="s">
        <v>1554</v>
      </c>
      <c r="E66" s="2097" t="s">
        <v>1516</v>
      </c>
      <c r="F66" s="1979">
        <f t="shared" ca="1" si="0"/>
        <v>0</v>
      </c>
      <c r="O66" s="2153" t="s">
        <v>1604</v>
      </c>
      <c r="P66" s="2154" t="s">
        <v>1643</v>
      </c>
      <c r="Q66" s="2194" t="e">
        <f ca="1">L60</f>
        <v>#DIV/0!</v>
      </c>
      <c r="R66" s="2194" t="s">
        <v>1644</v>
      </c>
    </row>
    <row r="67" spans="1:18" s="912" customFormat="1" ht="15.75">
      <c r="A67" s="2092" t="s">
        <v>1557</v>
      </c>
      <c r="B67" s="2196" t="s">
        <v>1558</v>
      </c>
      <c r="C67" s="620">
        <f ca="1">C48-C58</f>
        <v>0</v>
      </c>
      <c r="D67" s="2104" t="s">
        <v>1559</v>
      </c>
      <c r="E67" s="2197"/>
      <c r="F67" s="2198"/>
      <c r="O67" s="2161" t="s">
        <v>1613</v>
      </c>
      <c r="P67" s="2154" t="s">
        <v>1647</v>
      </c>
      <c r="Q67" s="2218">
        <f ca="1">L51</f>
        <v>0</v>
      </c>
      <c r="R67" s="2194" t="s">
        <v>1664</v>
      </c>
    </row>
    <row r="68" spans="1:18" s="912" customFormat="1" ht="15.75">
      <c r="A68" s="2199" t="s">
        <v>1563</v>
      </c>
      <c r="B68" s="2200" t="s">
        <v>1581</v>
      </c>
      <c r="C68" s="2043" t="e">
        <f ca="1">ROUND(C67*(1-((1+F70)/(1+F68))^F69)/(F68-F70),0)</f>
        <v>#DIV/0!</v>
      </c>
      <c r="D68" s="2107" t="s">
        <v>1565</v>
      </c>
      <c r="E68" s="2097" t="s">
        <v>1566</v>
      </c>
      <c r="F68" s="1979">
        <f ca="1">F40</f>
        <v>0</v>
      </c>
      <c r="O68" s="2161" t="s">
        <v>1617</v>
      </c>
      <c r="P68" s="2217" t="s">
        <v>1665</v>
      </c>
      <c r="Q68" s="2194">
        <f ca="1">ROUND(Q69-Q70*Q71,0)</f>
        <v>0</v>
      </c>
      <c r="R68" s="2194" t="s">
        <v>1666</v>
      </c>
    </row>
    <row r="69" spans="1:18" s="912" customFormat="1">
      <c r="A69" s="2201"/>
      <c r="B69" s="2202"/>
      <c r="C69" s="1978"/>
      <c r="D69" s="2203" t="s">
        <v>1569</v>
      </c>
      <c r="E69" s="2097" t="s">
        <v>1570</v>
      </c>
      <c r="F69" s="2047">
        <f ca="1">F41</f>
        <v>0</v>
      </c>
      <c r="O69" s="2161" t="s">
        <v>1667</v>
      </c>
      <c r="P69" s="2217" t="s">
        <v>1668</v>
      </c>
      <c r="Q69" s="2194">
        <f ca="1">C39</f>
        <v>0</v>
      </c>
      <c r="R69" s="2194" t="s">
        <v>1599</v>
      </c>
    </row>
    <row r="70" spans="1:18" s="912" customFormat="1">
      <c r="A70" s="2204"/>
      <c r="B70" s="2205"/>
      <c r="C70" s="1997"/>
      <c r="D70" s="2109"/>
      <c r="E70" s="2097" t="s">
        <v>1573</v>
      </c>
      <c r="F70" s="2086"/>
      <c r="O70" s="2161" t="s">
        <v>1669</v>
      </c>
      <c r="P70" s="2217" t="s">
        <v>1670</v>
      </c>
      <c r="Q70" s="2194">
        <f ca="1">C13</f>
        <v>0</v>
      </c>
      <c r="R70" s="2194" t="s">
        <v>1599</v>
      </c>
    </row>
    <row r="71" spans="1:18" s="912" customFormat="1">
      <c r="A71" s="2206" t="s">
        <v>1576</v>
      </c>
      <c r="B71" s="2207" t="s">
        <v>1582</v>
      </c>
      <c r="C71" s="2051" t="e">
        <f ca="1">ROUND(C68*10000/F71,0)</f>
        <v>#DIV/0!</v>
      </c>
      <c r="D71" s="2208" t="s">
        <v>1583</v>
      </c>
      <c r="E71" s="2209" t="s">
        <v>1584</v>
      </c>
      <c r="F71" s="2054">
        <f ca="1">F43</f>
        <v>0</v>
      </c>
      <c r="O71" s="2161" t="s">
        <v>1671</v>
      </c>
      <c r="P71" s="2217" t="s">
        <v>1672</v>
      </c>
      <c r="Q71" s="2195">
        <f ca="1">C76</f>
        <v>0</v>
      </c>
      <c r="R71" s="2194"/>
    </row>
    <row r="72" spans="1:18" s="912" customFormat="1">
      <c r="B72" s="655"/>
      <c r="C72" s="655"/>
      <c r="O72" s="2161" t="s">
        <v>1621</v>
      </c>
      <c r="P72" s="2154" t="s">
        <v>1649</v>
      </c>
      <c r="Q72" s="2195">
        <f>L52</f>
        <v>0</v>
      </c>
      <c r="R72" s="2194"/>
    </row>
    <row r="73" spans="1:18" ht="15.75">
      <c r="A73" s="912"/>
      <c r="B73" s="655"/>
      <c r="C73" s="655"/>
      <c r="D73" s="912"/>
      <c r="E73" s="912"/>
      <c r="F73" s="912"/>
      <c r="O73" s="2161" t="s">
        <v>1625</v>
      </c>
      <c r="P73" s="2154" t="s">
        <v>1652</v>
      </c>
      <c r="Q73" s="2194" t="e">
        <f ca="1">L58</f>
        <v>#DIV/0!</v>
      </c>
      <c r="R73" s="2194" t="s">
        <v>1653</v>
      </c>
    </row>
    <row r="74" spans="1:18">
      <c r="A74" s="912"/>
      <c r="B74" s="464" t="s">
        <v>1673</v>
      </c>
      <c r="C74" s="2210"/>
      <c r="D74" s="912"/>
      <c r="E74" s="912"/>
      <c r="F74" s="912"/>
      <c r="O74" s="2161" t="s">
        <v>1674</v>
      </c>
      <c r="P74" s="2154" t="str">
        <f>K59</f>
        <v>建筑物剩余耐用年限下的土地年期修正系数Kn</v>
      </c>
      <c r="Q74" s="2194" t="e">
        <f ca="1">L59</f>
        <v>#DIV/0!</v>
      </c>
      <c r="R74" s="2194" t="s">
        <v>1654</v>
      </c>
    </row>
    <row r="75" spans="1:18">
      <c r="A75" s="912"/>
      <c r="B75" s="2211" t="s">
        <v>1675</v>
      </c>
      <c r="C75" s="2212">
        <f ca="1">ROUND(C13*C76,0)</f>
        <v>0</v>
      </c>
      <c r="D75" s="912"/>
      <c r="E75" s="912"/>
      <c r="F75" s="912"/>
      <c r="K75" s="2140"/>
      <c r="L75" s="912"/>
      <c r="O75" s="2153" t="s">
        <v>1632</v>
      </c>
      <c r="P75" s="2154" t="s">
        <v>1633</v>
      </c>
      <c r="Q75" s="2194" t="e">
        <f ca="1">Q65+Q66</f>
        <v>#DIV/0!</v>
      </c>
      <c r="R75" s="2194" t="s">
        <v>1634</v>
      </c>
    </row>
    <row r="76" spans="1:18">
      <c r="B76" s="698" t="s">
        <v>1676</v>
      </c>
      <c r="C76" s="2213">
        <f ca="1">INDIRECT("'数据-取费表'!j"&amp;$G$1)</f>
        <v>0</v>
      </c>
      <c r="I76" s="912"/>
      <c r="J76" s="912"/>
      <c r="K76" s="2140"/>
      <c r="L76" s="912"/>
    </row>
    <row r="77" spans="1:18">
      <c r="B77" s="2214" t="s">
        <v>1677</v>
      </c>
      <c r="C77" s="2215"/>
      <c r="I77" s="912"/>
      <c r="J77" s="912"/>
      <c r="K77" s="2140"/>
      <c r="L77" s="912"/>
    </row>
    <row r="78" spans="1:18">
      <c r="B78" s="462" t="s">
        <v>1678</v>
      </c>
      <c r="C78" s="2216"/>
    </row>
    <row r="79" spans="1:18">
      <c r="B79" s="2211" t="s">
        <v>1679</v>
      </c>
      <c r="C79" s="465" t="e">
        <f ca="1">1-C80</f>
        <v>#DIV/0!</v>
      </c>
    </row>
    <row r="80" spans="1:18">
      <c r="B80" s="2211" t="s">
        <v>1680</v>
      </c>
      <c r="C80" s="465" t="e">
        <f ca="1">ROUND(C75/C39,3)</f>
        <v>#DIV/0!</v>
      </c>
    </row>
    <row r="81" spans="2:3">
      <c r="B81" s="462" t="s">
        <v>1681</v>
      </c>
      <c r="C81" s="432"/>
    </row>
    <row r="82" spans="2:3">
      <c r="B82" s="464" t="s">
        <v>1682</v>
      </c>
      <c r="C82" s="466" t="e">
        <f ca="1">1-C83</f>
        <v>#DIV/0!</v>
      </c>
    </row>
    <row r="83" spans="2:3">
      <c r="B83" s="464" t="s">
        <v>1683</v>
      </c>
      <c r="C83" s="465"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1833</v>
      </c>
      <c r="B1" s="1770"/>
      <c r="C1" s="1771"/>
      <c r="D1" s="1771"/>
      <c r="E1" s="1772"/>
      <c r="F1" s="1773"/>
      <c r="G1" s="1774"/>
      <c r="J1" s="1876" t="s">
        <v>1834</v>
      </c>
      <c r="K1" s="1877"/>
      <c r="L1" s="1877"/>
      <c r="M1" s="1877"/>
      <c r="N1" s="1877"/>
      <c r="O1" s="1877"/>
      <c r="P1" s="1877"/>
      <c r="Q1" s="1877"/>
      <c r="R1" s="1916"/>
      <c r="S1" s="1917"/>
      <c r="T1" s="1917"/>
      <c r="U1" s="1917"/>
    </row>
    <row r="2" spans="1:22" s="1762" customFormat="1" ht="13.15" customHeight="1">
      <c r="A2" s="1775" t="s">
        <v>1479</v>
      </c>
      <c r="B2" s="1776" t="e">
        <f>IF(D2="——",C40,C40+E2)</f>
        <v>#DIV/0!</v>
      </c>
      <c r="C2" s="1771" t="s">
        <v>1480</v>
      </c>
      <c r="D2" s="1777" t="s">
        <v>1835</v>
      </c>
      <c r="E2" s="1778"/>
      <c r="F2" s="1779"/>
      <c r="G2" s="1780"/>
      <c r="H2" s="1781"/>
      <c r="I2" s="1878"/>
      <c r="J2" s="3728" t="s">
        <v>1836</v>
      </c>
      <c r="K2" s="3729"/>
      <c r="L2" s="1879" t="s">
        <v>1837</v>
      </c>
      <c r="M2" s="1879" t="s">
        <v>1838</v>
      </c>
      <c r="N2" s="1879" t="s">
        <v>1839</v>
      </c>
      <c r="O2" s="1879" t="s">
        <v>1840</v>
      </c>
      <c r="P2" s="1879" t="s">
        <v>1841</v>
      </c>
      <c r="Q2" s="1918" t="s">
        <v>1842</v>
      </c>
      <c r="R2" s="1919" t="s">
        <v>1843</v>
      </c>
      <c r="S2" s="1917"/>
      <c r="T2" s="1917"/>
      <c r="U2" s="1917"/>
      <c r="V2" s="1878"/>
    </row>
    <row r="3" spans="1:22" s="1762" customFormat="1" ht="13.15" customHeight="1">
      <c r="A3" s="1782" t="s">
        <v>1482</v>
      </c>
      <c r="B3" s="1783" t="e">
        <f>ROUND(B2*10000/B4,0)</f>
        <v>#DIV/0!</v>
      </c>
      <c r="C3" s="1771" t="s">
        <v>1483</v>
      </c>
      <c r="D3" s="1771"/>
      <c r="E3" s="1784"/>
      <c r="F3" s="1779"/>
      <c r="G3" s="1780"/>
      <c r="H3" s="1781"/>
      <c r="I3" s="1878"/>
      <c r="J3" s="3730" t="s">
        <v>1844</v>
      </c>
      <c r="K3" s="3731"/>
      <c r="L3" s="1880"/>
      <c r="M3" s="1880"/>
      <c r="N3" s="1880"/>
      <c r="O3" s="1880"/>
      <c r="P3" s="1880"/>
      <c r="Q3" s="1920"/>
      <c r="R3" s="1921">
        <f>SUM(L3:Q3)</f>
        <v>0</v>
      </c>
      <c r="S3" s="1917"/>
      <c r="T3" s="1917"/>
      <c r="U3" s="1917"/>
      <c r="V3" s="1878"/>
    </row>
    <row r="4" spans="1:22" s="1762" customFormat="1" ht="13.15" customHeight="1">
      <c r="A4" s="1785" t="s">
        <v>1845</v>
      </c>
      <c r="B4" s="1786"/>
      <c r="C4" s="1771"/>
      <c r="D4" s="1771"/>
      <c r="E4" s="1784"/>
      <c r="F4" s="1779"/>
      <c r="G4" s="1780"/>
      <c r="H4" s="1781"/>
      <c r="I4" s="1878"/>
      <c r="J4" s="3730" t="s">
        <v>1846</v>
      </c>
      <c r="K4" s="3731"/>
      <c r="L4" s="1881"/>
      <c r="M4" s="1881"/>
      <c r="N4" s="1881"/>
      <c r="O4" s="1881"/>
      <c r="P4" s="1881"/>
      <c r="Q4" s="1922"/>
      <c r="R4" s="1923">
        <f>SUM(L4:Q4)</f>
        <v>0</v>
      </c>
      <c r="S4" s="1917"/>
      <c r="T4" s="1917"/>
      <c r="U4" s="1917"/>
      <c r="V4" s="1878"/>
    </row>
    <row r="5" spans="1:22" s="1762" customFormat="1" ht="13.15" customHeight="1">
      <c r="A5" s="1787" t="s">
        <v>1847</v>
      </c>
      <c r="B5" s="1788"/>
      <c r="C5" s="1771"/>
      <c r="D5" s="1789"/>
      <c r="E5" s="1779"/>
      <c r="F5" s="1779"/>
      <c r="G5" s="1780"/>
      <c r="H5" s="1781"/>
      <c r="I5" s="1878"/>
      <c r="J5" s="1882" t="s">
        <v>1848</v>
      </c>
      <c r="K5" s="1883"/>
      <c r="L5" s="1883"/>
      <c r="M5" s="1884"/>
      <c r="N5" s="1884"/>
      <c r="O5" s="1884"/>
      <c r="P5" s="1884"/>
      <c r="Q5" s="1884"/>
      <c r="R5" s="1919">
        <f>SUM(R14,R19,R24,R25,R27,R28)</f>
        <v>0</v>
      </c>
      <c r="S5" s="1917"/>
      <c r="T5" s="1917" t="s">
        <v>1849</v>
      </c>
      <c r="U5" s="1917" t="e">
        <f>ROUND(R5*10000/365/R3,1)</f>
        <v>#DIV/0!</v>
      </c>
      <c r="V5" s="1878"/>
    </row>
    <row r="6" spans="1:22" s="1762" customFormat="1" ht="13.15" customHeight="1">
      <c r="A6" s="3732" t="s">
        <v>1850</v>
      </c>
      <c r="B6" s="3733"/>
      <c r="C6" s="3734"/>
      <c r="D6" s="1790"/>
      <c r="E6" s="1791"/>
      <c r="F6" s="1792"/>
      <c r="G6" s="1793"/>
      <c r="H6" s="1781"/>
      <c r="I6" s="1878"/>
      <c r="J6" s="3741">
        <v>1</v>
      </c>
      <c r="K6" s="3744" t="s">
        <v>1851</v>
      </c>
      <c r="L6" s="1886" t="s">
        <v>1852</v>
      </c>
      <c r="M6" s="1887" t="s">
        <v>1853</v>
      </c>
      <c r="N6" s="1887" t="s">
        <v>1854</v>
      </c>
      <c r="O6" s="1887" t="s">
        <v>1855</v>
      </c>
      <c r="P6" s="1887" t="s">
        <v>1856</v>
      </c>
      <c r="Q6" s="1887" t="s">
        <v>1857</v>
      </c>
      <c r="R6" s="1921" t="s">
        <v>1858</v>
      </c>
      <c r="S6" s="1917"/>
      <c r="T6" s="1917" t="s">
        <v>1859</v>
      </c>
      <c r="U6" s="1917"/>
      <c r="V6" s="1878"/>
    </row>
    <row r="7" spans="1:22" s="1762" customFormat="1" ht="13.15" customHeight="1">
      <c r="A7" s="1794" t="s">
        <v>1860</v>
      </c>
      <c r="B7" s="1795"/>
      <c r="C7" s="1796"/>
      <c r="D7" s="1797">
        <f>SUM(D9,D10,D11,D17,0)</f>
        <v>0</v>
      </c>
      <c r="E7" s="1798" t="e">
        <f>E9+E10+E11+E17</f>
        <v>#DIV/0!</v>
      </c>
      <c r="F7" s="1799"/>
      <c r="G7" s="1800"/>
      <c r="H7" s="1781"/>
      <c r="I7" s="1878"/>
      <c r="J7" s="3741"/>
      <c r="K7" s="3745"/>
      <c r="L7" s="1888" t="s">
        <v>1861</v>
      </c>
      <c r="M7" s="1889"/>
      <c r="N7" s="1786"/>
      <c r="O7" s="1890"/>
      <c r="P7" s="1890"/>
      <c r="Q7" s="1819">
        <v>365</v>
      </c>
      <c r="R7" s="1924">
        <f>ROUND(M7*N7*O7*P7*Q7/10000,0)</f>
        <v>0</v>
      </c>
      <c r="S7" s="1917"/>
      <c r="T7" s="1917" t="s">
        <v>1862</v>
      </c>
      <c r="U7" s="1917"/>
      <c r="V7" s="1878"/>
    </row>
    <row r="8" spans="1:22" s="1762" customFormat="1" ht="13.15" customHeight="1">
      <c r="A8" s="1801" t="s">
        <v>1863</v>
      </c>
      <c r="B8" s="3735" t="s">
        <v>1864</v>
      </c>
      <c r="C8" s="3736"/>
      <c r="D8" s="1804" t="s">
        <v>1865</v>
      </c>
      <c r="E8" s="1805" t="s">
        <v>1866</v>
      </c>
      <c r="F8" s="1806" t="s">
        <v>1867</v>
      </c>
      <c r="G8" s="1807"/>
      <c r="H8" s="1781"/>
      <c r="I8" s="1878"/>
      <c r="J8" s="3741"/>
      <c r="K8" s="3745"/>
      <c r="L8" s="1888" t="s">
        <v>1868</v>
      </c>
      <c r="M8" s="1889"/>
      <c r="N8" s="1786"/>
      <c r="O8" s="1890"/>
      <c r="P8" s="1890"/>
      <c r="Q8" s="1819">
        <v>365</v>
      </c>
      <c r="R8" s="1924">
        <f t="shared" ref="R8:R13" si="0">ROUND(M8*N8*O8*P8*Q8/10000,0)</f>
        <v>0</v>
      </c>
      <c r="S8" s="1917"/>
      <c r="T8" s="1917" t="s">
        <v>1869</v>
      </c>
      <c r="U8" s="1917"/>
      <c r="V8" s="1878"/>
    </row>
    <row r="9" spans="1:22" s="1762" customFormat="1" ht="13.15" customHeight="1">
      <c r="A9" s="1801">
        <v>1</v>
      </c>
      <c r="B9" s="3735" t="s">
        <v>1870</v>
      </c>
      <c r="C9" s="3736"/>
      <c r="D9" s="1804">
        <f>ROUND(D6*E9,0)</f>
        <v>0</v>
      </c>
      <c r="E9" s="1808"/>
      <c r="F9" s="1809" t="s">
        <v>1871</v>
      </c>
      <c r="G9" s="1793"/>
      <c r="H9" s="1781"/>
      <c r="I9" s="1878"/>
      <c r="J9" s="3741"/>
      <c r="K9" s="3745"/>
      <c r="L9" s="1888" t="s">
        <v>1872</v>
      </c>
      <c r="M9" s="1889"/>
      <c r="N9" s="1786"/>
      <c r="O9" s="1890"/>
      <c r="P9" s="1890"/>
      <c r="Q9" s="1819">
        <v>365</v>
      </c>
      <c r="R9" s="1924">
        <f t="shared" si="0"/>
        <v>0</v>
      </c>
      <c r="S9" s="1917"/>
      <c r="T9" s="1917"/>
      <c r="U9" s="1917"/>
      <c r="V9" s="1878"/>
    </row>
    <row r="10" spans="1:22" s="1762" customFormat="1" ht="13.15" customHeight="1">
      <c r="A10" s="1801">
        <v>2</v>
      </c>
      <c r="B10" s="3735" t="s">
        <v>1873</v>
      </c>
      <c r="C10" s="3736"/>
      <c r="D10" s="1804">
        <f>ROUND(D6*E10,0)</f>
        <v>0</v>
      </c>
      <c r="E10" s="1808"/>
      <c r="F10" s="1809" t="s">
        <v>1874</v>
      </c>
      <c r="G10" s="1793"/>
      <c r="H10" s="1781"/>
      <c r="I10" s="1878"/>
      <c r="J10" s="3741"/>
      <c r="K10" s="3745"/>
      <c r="L10" s="1888" t="s">
        <v>1875</v>
      </c>
      <c r="M10" s="1889"/>
      <c r="N10" s="1786"/>
      <c r="O10" s="1890"/>
      <c r="P10" s="1890"/>
      <c r="Q10" s="1819">
        <v>365</v>
      </c>
      <c r="R10" s="1924">
        <f t="shared" si="0"/>
        <v>0</v>
      </c>
      <c r="S10" s="1917"/>
      <c r="T10" s="1917"/>
      <c r="U10" s="1917"/>
      <c r="V10" s="1878"/>
    </row>
    <row r="11" spans="1:22" s="1762" customFormat="1" ht="13.15" customHeight="1">
      <c r="A11" s="1801">
        <v>3</v>
      </c>
      <c r="B11" s="3735" t="s">
        <v>1876</v>
      </c>
      <c r="C11" s="3736"/>
      <c r="D11" s="1804">
        <f>D12+D14+D15+D16</f>
        <v>0</v>
      </c>
      <c r="E11" s="1810" t="e">
        <f>D11/D6</f>
        <v>#DIV/0!</v>
      </c>
      <c r="F11" s="1806"/>
      <c r="G11" s="1807"/>
      <c r="H11" s="1781"/>
      <c r="I11" s="1878"/>
      <c r="J11" s="3741"/>
      <c r="K11" s="3745"/>
      <c r="L11" s="1888" t="s">
        <v>1877</v>
      </c>
      <c r="M11" s="1889"/>
      <c r="N11" s="1786"/>
      <c r="O11" s="1890"/>
      <c r="P11" s="1890"/>
      <c r="Q11" s="1819">
        <v>365</v>
      </c>
      <c r="R11" s="1924">
        <f t="shared" si="0"/>
        <v>0</v>
      </c>
      <c r="S11" s="1917"/>
      <c r="T11" s="1917"/>
      <c r="U11" s="1917"/>
      <c r="V11" s="1878"/>
    </row>
    <row r="12" spans="1:22" s="1762" customFormat="1" ht="13.15" customHeight="1">
      <c r="A12" s="1811" t="s">
        <v>1878</v>
      </c>
      <c r="B12" s="3737" t="s">
        <v>1879</v>
      </c>
      <c r="C12" s="3738"/>
      <c r="D12" s="1814">
        <f>ROUND(D13*1.2%*(1-30%),0)</f>
        <v>0</v>
      </c>
      <c r="E12" s="1815">
        <v>1.2E-2</v>
      </c>
      <c r="F12" s="1806" t="s">
        <v>1880</v>
      </c>
      <c r="G12" s="1807"/>
      <c r="H12" s="1781"/>
      <c r="I12" s="1878"/>
      <c r="J12" s="3741"/>
      <c r="K12" s="3745"/>
      <c r="L12" s="1888" t="s">
        <v>1881</v>
      </c>
      <c r="M12" s="1889"/>
      <c r="N12" s="1786"/>
      <c r="O12" s="1890"/>
      <c r="P12" s="1890"/>
      <c r="Q12" s="1819">
        <v>365</v>
      </c>
      <c r="R12" s="1924">
        <f t="shared" si="0"/>
        <v>0</v>
      </c>
      <c r="S12" s="1917"/>
      <c r="T12" s="1917"/>
      <c r="U12" s="1917"/>
      <c r="V12" s="1878"/>
    </row>
    <row r="13" spans="1:22" s="1762" customFormat="1" ht="13.15" customHeight="1">
      <c r="A13" s="1811"/>
      <c r="B13" s="1812"/>
      <c r="C13" s="1816" t="s">
        <v>1882</v>
      </c>
      <c r="D13" s="1817"/>
      <c r="E13" s="1818"/>
      <c r="F13" s="1806"/>
      <c r="G13" s="1807"/>
      <c r="H13" s="1781"/>
      <c r="I13" s="1878"/>
      <c r="J13" s="3741"/>
      <c r="K13" s="3745"/>
      <c r="L13" s="1888" t="s">
        <v>1883</v>
      </c>
      <c r="M13" s="1889"/>
      <c r="N13" s="1786"/>
      <c r="O13" s="1890"/>
      <c r="P13" s="1890"/>
      <c r="Q13" s="1819">
        <v>365</v>
      </c>
      <c r="R13" s="1924">
        <f t="shared" si="0"/>
        <v>0</v>
      </c>
      <c r="S13" s="1917"/>
      <c r="T13" s="1917"/>
      <c r="U13" s="1917"/>
      <c r="V13" s="1878"/>
    </row>
    <row r="14" spans="1:22" s="1762" customFormat="1" ht="13.15" customHeight="1">
      <c r="A14" s="1811" t="s">
        <v>1884</v>
      </c>
      <c r="B14" s="3737" t="s">
        <v>1885</v>
      </c>
      <c r="C14" s="3738"/>
      <c r="D14" s="1814">
        <f>ROUND(E14*B5/10000,0)</f>
        <v>0</v>
      </c>
      <c r="E14" s="1819"/>
      <c r="F14" s="1806" t="s">
        <v>1886</v>
      </c>
      <c r="G14" s="1807"/>
      <c r="H14" s="1781"/>
      <c r="I14" s="1878"/>
      <c r="J14" s="3741"/>
      <c r="K14" s="3746"/>
      <c r="L14" s="1891" t="s">
        <v>1887</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1888</v>
      </c>
      <c r="B15" s="3737" t="s">
        <v>1889</v>
      </c>
      <c r="C15" s="3738"/>
      <c r="D15" s="1814">
        <f>ROUND(D6*E15,0)</f>
        <v>0</v>
      </c>
      <c r="E15" s="1815">
        <v>5.5E-2</v>
      </c>
      <c r="F15" s="1806" t="s">
        <v>1890</v>
      </c>
      <c r="G15" s="1793"/>
      <c r="H15" s="1781"/>
      <c r="I15" s="1878"/>
      <c r="J15" s="3741">
        <v>2</v>
      </c>
      <c r="K15" s="3744" t="s">
        <v>1891</v>
      </c>
      <c r="L15" s="1888" t="s">
        <v>1892</v>
      </c>
      <c r="M15" s="1889" t="s">
        <v>1893</v>
      </c>
      <c r="N15" s="1889" t="s">
        <v>1894</v>
      </c>
      <c r="O15" s="1890" t="s">
        <v>1895</v>
      </c>
      <c r="P15" s="1890" t="s">
        <v>1857</v>
      </c>
      <c r="Q15" s="1786" t="s">
        <v>124</v>
      </c>
      <c r="R15" s="1926" t="s">
        <v>1858</v>
      </c>
      <c r="S15" s="1917"/>
      <c r="T15" s="1917"/>
      <c r="U15" s="1917"/>
      <c r="V15" s="1878"/>
    </row>
    <row r="16" spans="1:22" s="1762" customFormat="1" ht="13.15" customHeight="1">
      <c r="A16" s="1811" t="s">
        <v>1896</v>
      </c>
      <c r="B16" s="3737" t="s">
        <v>1897</v>
      </c>
      <c r="C16" s="3738"/>
      <c r="D16" s="1820">
        <f>D6*E16</f>
        <v>0</v>
      </c>
      <c r="E16" s="1821"/>
      <c r="F16" s="1809" t="s">
        <v>1898</v>
      </c>
      <c r="G16" s="1793"/>
      <c r="H16" s="1781"/>
      <c r="I16" s="1878"/>
      <c r="J16" s="3741"/>
      <c r="K16" s="3745"/>
      <c r="L16" s="1888" t="s">
        <v>1899</v>
      </c>
      <c r="M16" s="1889"/>
      <c r="N16" s="1889"/>
      <c r="O16" s="1890"/>
      <c r="P16" s="1819">
        <v>365</v>
      </c>
      <c r="Q16" s="1786"/>
      <c r="R16" s="1926">
        <f>ROUND(M16*N16*O16*P16/10000,0)</f>
        <v>0</v>
      </c>
      <c r="S16" s="1917"/>
      <c r="T16" s="1917"/>
      <c r="U16" s="1917"/>
      <c r="V16" s="1878"/>
    </row>
    <row r="17" spans="1:22" s="1762" customFormat="1" ht="13.15" customHeight="1">
      <c r="A17" s="1822">
        <v>4</v>
      </c>
      <c r="B17" s="3739" t="s">
        <v>1900</v>
      </c>
      <c r="C17" s="3740"/>
      <c r="D17" s="1823">
        <f>ROUND(D6*E17,0)</f>
        <v>0</v>
      </c>
      <c r="E17" s="1824"/>
      <c r="F17" s="1825" t="s">
        <v>1901</v>
      </c>
      <c r="G17" s="1793"/>
      <c r="H17" s="1781"/>
      <c r="I17" s="1878"/>
      <c r="J17" s="3741"/>
      <c r="K17" s="3745"/>
      <c r="L17" s="1888" t="s">
        <v>1902</v>
      </c>
      <c r="M17" s="1889"/>
      <c r="N17" s="1889"/>
      <c r="O17" s="1890"/>
      <c r="P17" s="1819">
        <v>365</v>
      </c>
      <c r="Q17" s="1786"/>
      <c r="R17" s="1926">
        <f>ROUND(M17*N17*O17*P17/10000,0)</f>
        <v>0</v>
      </c>
      <c r="S17" s="1917"/>
      <c r="T17" s="1917"/>
      <c r="U17" s="1917"/>
      <c r="V17" s="1878"/>
    </row>
    <row r="18" spans="1:22" s="1762" customFormat="1" ht="13.15" customHeight="1">
      <c r="A18" s="1794" t="s">
        <v>1903</v>
      </c>
      <c r="B18" s="1795"/>
      <c r="C18" s="1795"/>
      <c r="D18" s="1826">
        <f>ROUND(D6*E18,0)</f>
        <v>0</v>
      </c>
      <c r="E18" s="1827"/>
      <c r="F18" s="1828" t="s">
        <v>1904</v>
      </c>
      <c r="G18" s="1793"/>
      <c r="H18" s="1781"/>
      <c r="I18" s="1878"/>
      <c r="J18" s="3741"/>
      <c r="K18" s="3745"/>
      <c r="L18" s="1888" t="s">
        <v>1905</v>
      </c>
      <c r="M18" s="1889"/>
      <c r="N18" s="1889"/>
      <c r="O18" s="1890"/>
      <c r="P18" s="1819">
        <v>365</v>
      </c>
      <c r="Q18" s="1786"/>
      <c r="R18" s="1926">
        <f>ROUND(M18*N18*O18*P18/10000,0)</f>
        <v>0</v>
      </c>
      <c r="S18" s="1917"/>
      <c r="T18" s="1917"/>
      <c r="U18" s="1917"/>
      <c r="V18" s="1878"/>
    </row>
    <row r="19" spans="1:22" s="1762" customFormat="1" ht="13.15" customHeight="1">
      <c r="A19" s="1829" t="s">
        <v>1906</v>
      </c>
      <c r="B19" s="1791"/>
      <c r="C19" s="1791"/>
      <c r="D19" s="1791"/>
      <c r="E19" s="1791"/>
      <c r="F19" s="1792"/>
      <c r="G19" s="1807"/>
      <c r="H19" s="1781"/>
      <c r="I19" s="1878"/>
      <c r="J19" s="3741"/>
      <c r="K19" s="3746"/>
      <c r="L19" s="1891" t="s">
        <v>1887</v>
      </c>
      <c r="M19" s="1892"/>
      <c r="N19" s="1892">
        <f>SUM(N16:N18)</f>
        <v>0</v>
      </c>
      <c r="O19" s="1893"/>
      <c r="P19" s="1894" t="s">
        <v>1907</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741">
        <v>3</v>
      </c>
      <c r="K20" s="3744" t="s">
        <v>1908</v>
      </c>
      <c r="L20" s="1888" t="s">
        <v>1909</v>
      </c>
      <c r="M20" s="1889" t="s">
        <v>1910</v>
      </c>
      <c r="N20" s="1895" t="s">
        <v>1911</v>
      </c>
      <c r="O20" s="1890" t="s">
        <v>1912</v>
      </c>
      <c r="P20" s="1819" t="s">
        <v>1857</v>
      </c>
      <c r="Q20" s="1786" t="s">
        <v>124</v>
      </c>
      <c r="R20" s="1926" t="s">
        <v>1858</v>
      </c>
      <c r="S20" s="1914"/>
      <c r="T20" s="1914"/>
      <c r="U20" s="1914"/>
      <c r="V20" s="1878"/>
    </row>
    <row r="21" spans="1:22" s="1762" customFormat="1" ht="13.15" customHeight="1">
      <c r="A21" s="1794"/>
      <c r="B21" s="1795"/>
      <c r="C21" s="1802" t="s">
        <v>1913</v>
      </c>
      <c r="D21" s="1831" t="s">
        <v>1914</v>
      </c>
      <c r="E21" s="1803" t="s">
        <v>1915</v>
      </c>
      <c r="F21" s="1830"/>
      <c r="G21" s="1807"/>
      <c r="H21" s="1781"/>
      <c r="I21" s="1878"/>
      <c r="J21" s="3741"/>
      <c r="K21" s="3745"/>
      <c r="L21" s="1888" t="s">
        <v>1916</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1917</v>
      </c>
      <c r="D22" s="1833" t="s">
        <v>1918</v>
      </c>
      <c r="E22" s="1834" t="s">
        <v>1919</v>
      </c>
      <c r="F22" s="1830"/>
      <c r="G22" s="1835"/>
      <c r="H22" s="1781"/>
      <c r="I22" s="1878"/>
      <c r="J22" s="3741"/>
      <c r="K22" s="3745"/>
      <c r="L22" s="1888" t="s">
        <v>1920</v>
      </c>
      <c r="M22" s="1889"/>
      <c r="N22" s="1889"/>
      <c r="O22" s="1890"/>
      <c r="P22" s="1819">
        <v>365</v>
      </c>
      <c r="Q22" s="1786"/>
      <c r="R22" s="1928">
        <f>ROUND(M22*N22*O22*P22/10000,0)</f>
        <v>0</v>
      </c>
      <c r="S22" s="1914"/>
      <c r="T22" s="1914"/>
      <c r="U22" s="1914"/>
      <c r="V22" s="1878"/>
    </row>
    <row r="23" spans="1:22" s="1762" customFormat="1" ht="13.15" customHeight="1">
      <c r="A23" s="1836">
        <v>1</v>
      </c>
      <c r="B23" s="1837" t="s">
        <v>1921</v>
      </c>
      <c r="C23" s="1838">
        <f>D6</f>
        <v>0</v>
      </c>
      <c r="D23" s="1839">
        <f>C23*(1+D24)</f>
        <v>0</v>
      </c>
      <c r="E23" s="1840">
        <f>D23*(1+E24)</f>
        <v>0</v>
      </c>
      <c r="F23" s="1841"/>
      <c r="G23" s="1842"/>
      <c r="H23" s="1781"/>
      <c r="I23" s="1878"/>
      <c r="J23" s="3741"/>
      <c r="K23" s="3745"/>
      <c r="L23" s="1888" t="s">
        <v>1922</v>
      </c>
      <c r="M23" s="1889"/>
      <c r="N23" s="1889"/>
      <c r="O23" s="1890"/>
      <c r="P23" s="1819">
        <v>365</v>
      </c>
      <c r="Q23" s="1786"/>
      <c r="R23" s="1928">
        <f>ROUND(M23*N23*O23*P23/10000,0)</f>
        <v>0</v>
      </c>
      <c r="S23" s="1917"/>
      <c r="T23" s="1917"/>
      <c r="U23" s="1917"/>
      <c r="V23" s="1878"/>
    </row>
    <row r="24" spans="1:22" s="1762" customFormat="1" ht="13.15" customHeight="1">
      <c r="A24" s="1843"/>
      <c r="B24" s="1844" t="s">
        <v>1923</v>
      </c>
      <c r="C24" s="1845"/>
      <c r="D24" s="1846"/>
      <c r="E24" s="1847"/>
      <c r="F24" s="1848"/>
      <c r="G24" s="1842"/>
      <c r="H24" s="1781"/>
      <c r="I24" s="1878"/>
      <c r="J24" s="3741"/>
      <c r="K24" s="3746"/>
      <c r="L24" s="1891" t="s">
        <v>1887</v>
      </c>
      <c r="M24" s="1892">
        <f>SUM(M21:M23)</f>
        <v>0</v>
      </c>
      <c r="N24" s="1892"/>
      <c r="O24" s="1893"/>
      <c r="P24" s="1894" t="s">
        <v>1907</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1924</v>
      </c>
      <c r="L25" s="1897"/>
      <c r="M25" s="1897"/>
      <c r="N25" s="1897"/>
      <c r="O25" s="1897"/>
      <c r="P25" s="1898"/>
      <c r="Q25" s="1929">
        <v>0</v>
      </c>
      <c r="R25" s="1927">
        <f>ROUND(R14*Q25,0)</f>
        <v>0</v>
      </c>
      <c r="S25" s="1917"/>
      <c r="T25" s="1917"/>
      <c r="U25" s="1917"/>
      <c r="V25" s="1904"/>
    </row>
    <row r="26" spans="1:22" s="1763" customFormat="1" ht="13.15" customHeight="1">
      <c r="A26" s="1836">
        <v>2</v>
      </c>
      <c r="B26" s="1837" t="s">
        <v>1925</v>
      </c>
      <c r="C26" s="1838">
        <f>D7</f>
        <v>0</v>
      </c>
      <c r="D26" s="1839">
        <f>D23*D27</f>
        <v>0</v>
      </c>
      <c r="E26" s="1840">
        <f>E23*E27</f>
        <v>0</v>
      </c>
      <c r="F26" s="1841"/>
      <c r="G26" s="1842"/>
      <c r="H26" s="1781"/>
      <c r="I26" s="1878"/>
      <c r="J26" s="3742">
        <v>5</v>
      </c>
      <c r="K26" s="1899" t="s">
        <v>1926</v>
      </c>
      <c r="L26" s="1900"/>
      <c r="M26" s="1901"/>
      <c r="N26" s="1902" t="s">
        <v>505</v>
      </c>
      <c r="O26" s="1902" t="s">
        <v>1927</v>
      </c>
      <c r="P26" s="1903" t="s">
        <v>1928</v>
      </c>
      <c r="Q26" s="1903" t="s">
        <v>1929</v>
      </c>
      <c r="R26" s="1921" t="s">
        <v>1858</v>
      </c>
      <c r="S26" s="1930"/>
      <c r="T26" s="1930"/>
      <c r="U26" s="1930"/>
      <c r="V26" s="1904"/>
    </row>
    <row r="27" spans="1:22" s="1762" customFormat="1" ht="13.15" customHeight="1">
      <c r="A27" s="1843"/>
      <c r="B27" s="1844" t="s">
        <v>1930</v>
      </c>
      <c r="C27" s="1849" t="e">
        <f>E7</f>
        <v>#DIV/0!</v>
      </c>
      <c r="D27" s="1846"/>
      <c r="E27" s="1847"/>
      <c r="F27" s="1848"/>
      <c r="G27" s="1842"/>
      <c r="H27" s="1850"/>
      <c r="I27" s="1904"/>
      <c r="J27" s="3743"/>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1931</v>
      </c>
      <c r="F28" s="1848"/>
      <c r="G28" s="1835"/>
      <c r="H28" s="1850"/>
      <c r="I28" s="1904"/>
      <c r="J28" s="1909">
        <v>6</v>
      </c>
      <c r="K28" s="1910" t="s">
        <v>1932</v>
      </c>
      <c r="L28" s="1911" t="s">
        <v>1933</v>
      </c>
      <c r="M28" s="1912"/>
      <c r="N28" s="1911" t="s">
        <v>1934</v>
      </c>
      <c r="O28" s="1913"/>
      <c r="P28" s="1911" t="s">
        <v>1935</v>
      </c>
      <c r="Q28" s="1932">
        <v>1.4999999999999999E-2</v>
      </c>
      <c r="R28" s="1933"/>
      <c r="S28" s="1914"/>
      <c r="T28" s="1914"/>
      <c r="U28" s="1914"/>
      <c r="V28" s="1904"/>
    </row>
    <row r="29" spans="1:22" s="1763" customFormat="1" ht="13.15" customHeight="1">
      <c r="A29" s="1836">
        <v>3</v>
      </c>
      <c r="B29" s="1837" t="s">
        <v>1936</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1930</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1937</v>
      </c>
      <c r="K31" s="1877"/>
      <c r="L31" s="1877"/>
      <c r="M31" s="1877"/>
      <c r="N31" s="1877"/>
      <c r="O31" s="1877"/>
      <c r="P31" s="1877"/>
      <c r="Q31" s="1877"/>
      <c r="R31" s="1916"/>
      <c r="S31" s="1914"/>
      <c r="T31" s="1917"/>
      <c r="U31" s="1917"/>
      <c r="V31" s="1904"/>
    </row>
    <row r="32" spans="1:22" s="1763" customFormat="1" ht="13.15" customHeight="1">
      <c r="A32" s="1836">
        <v>4</v>
      </c>
      <c r="B32" s="1837" t="s">
        <v>1938</v>
      </c>
      <c r="C32" s="1838">
        <f>C23-C26-C29</f>
        <v>0</v>
      </c>
      <c r="D32" s="1839">
        <f>D23-D26-D29</f>
        <v>0</v>
      </c>
      <c r="E32" s="1840">
        <f>E23-E26-E29</f>
        <v>0</v>
      </c>
      <c r="F32" s="1841"/>
      <c r="G32" s="1835"/>
      <c r="H32" s="1781"/>
      <c r="I32" s="1878"/>
      <c r="J32" s="3728" t="s">
        <v>1836</v>
      </c>
      <c r="K32" s="3729"/>
      <c r="L32" s="1879" t="s">
        <v>1837</v>
      </c>
      <c r="M32" s="1879" t="s">
        <v>1838</v>
      </c>
      <c r="N32" s="1879" t="s">
        <v>1839</v>
      </c>
      <c r="O32" s="1879" t="s">
        <v>1840</v>
      </c>
      <c r="P32" s="1879" t="s">
        <v>1841</v>
      </c>
      <c r="Q32" s="1918" t="s">
        <v>1842</v>
      </c>
      <c r="R32" s="1934" t="s">
        <v>1843</v>
      </c>
      <c r="S32" s="1914"/>
      <c r="T32" s="1917"/>
      <c r="U32" s="1917"/>
      <c r="V32" s="1904"/>
    </row>
    <row r="33" spans="1:23" s="1762" customFormat="1" ht="13.15" customHeight="1">
      <c r="A33" s="1836"/>
      <c r="B33" s="1837"/>
      <c r="C33" s="1838"/>
      <c r="D33" s="1853"/>
      <c r="E33" s="1813"/>
      <c r="F33" s="1841"/>
      <c r="G33" s="1835"/>
      <c r="H33" s="1850"/>
      <c r="I33" s="1904"/>
      <c r="J33" s="3730" t="s">
        <v>1844</v>
      </c>
      <c r="K33" s="3731"/>
      <c r="L33" s="1880"/>
      <c r="M33" s="1880"/>
      <c r="N33" s="1880"/>
      <c r="O33" s="1880"/>
      <c r="P33" s="1880"/>
      <c r="Q33" s="1920"/>
      <c r="R33" s="1935">
        <f>SUM(L33:Q33)</f>
        <v>0</v>
      </c>
      <c r="S33" s="1914"/>
      <c r="T33" s="1917"/>
      <c r="U33" s="1917"/>
      <c r="V33" s="1878"/>
    </row>
    <row r="34" spans="1:23" s="1762" customFormat="1" ht="13.15" customHeight="1">
      <c r="A34" s="1836">
        <v>5</v>
      </c>
      <c r="B34" s="1837" t="s">
        <v>1939</v>
      </c>
      <c r="C34" s="1854"/>
      <c r="D34" s="1855"/>
      <c r="E34" s="1856"/>
      <c r="F34" s="1841"/>
      <c r="G34" s="1835"/>
      <c r="H34" s="1850"/>
      <c r="I34" s="1904"/>
      <c r="J34" s="3730" t="s">
        <v>1846</v>
      </c>
      <c r="K34" s="3731"/>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1940</v>
      </c>
      <c r="C35" s="1857"/>
      <c r="D35" s="1858"/>
      <c r="E35" s="1859"/>
      <c r="F35" s="1841"/>
      <c r="G35" s="1860"/>
      <c r="H35" s="1781"/>
      <c r="I35" s="1904"/>
      <c r="J35" s="1882" t="s">
        <v>1848</v>
      </c>
      <c r="K35" s="1883"/>
      <c r="L35" s="1883"/>
      <c r="M35" s="1884"/>
      <c r="N35" s="1884"/>
      <c r="O35" s="1884"/>
      <c r="P35" s="1884"/>
      <c r="Q35" s="1884"/>
      <c r="R35" s="1937">
        <f>R40+R41+R43</f>
        <v>0</v>
      </c>
      <c r="S35" s="1914"/>
      <c r="T35" s="1917" t="s">
        <v>1849</v>
      </c>
      <c r="U35" s="1917"/>
      <c r="V35" s="1878"/>
    </row>
    <row r="36" spans="1:23" s="1762" customFormat="1" ht="13.15" customHeight="1">
      <c r="A36" s="1836">
        <v>7</v>
      </c>
      <c r="B36" s="1861" t="s">
        <v>1941</v>
      </c>
      <c r="C36" s="1862"/>
      <c r="D36" s="1863"/>
      <c r="E36" s="1864"/>
      <c r="F36" s="1865">
        <f>C36+D36+E36</f>
        <v>0</v>
      </c>
      <c r="G36" s="1835"/>
      <c r="H36" s="1781"/>
      <c r="I36" s="1878"/>
      <c r="J36" s="3741">
        <v>1</v>
      </c>
      <c r="K36" s="3744" t="s">
        <v>1942</v>
      </c>
      <c r="L36" s="1886"/>
      <c r="M36" s="1887"/>
      <c r="N36" s="1887"/>
      <c r="O36" s="1887"/>
      <c r="P36" s="1887"/>
      <c r="Q36" s="1887"/>
      <c r="R36" s="1921" t="s">
        <v>1858</v>
      </c>
      <c r="S36" s="1914"/>
      <c r="T36" s="1917" t="s">
        <v>1859</v>
      </c>
      <c r="U36" s="1917"/>
      <c r="V36" s="1878"/>
    </row>
    <row r="37" spans="1:23" s="1762" customFormat="1" ht="13.15" customHeight="1">
      <c r="A37" s="1836"/>
      <c r="B37" s="1837"/>
      <c r="C37" s="1837"/>
      <c r="D37" s="1837"/>
      <c r="E37" s="1837"/>
      <c r="F37" s="1841"/>
      <c r="G37" s="1835"/>
      <c r="H37" s="1781"/>
      <c r="I37" s="1878"/>
      <c r="J37" s="3741"/>
      <c r="K37" s="3745"/>
      <c r="L37" s="1888"/>
      <c r="M37" s="1889"/>
      <c r="N37" s="1786"/>
      <c r="O37" s="1890"/>
      <c r="P37" s="1890"/>
      <c r="Q37" s="1819"/>
      <c r="R37" s="1924"/>
      <c r="S37" s="1914"/>
      <c r="T37" s="1917" t="s">
        <v>1862</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741"/>
      <c r="K38" s="3745"/>
      <c r="L38" s="1888"/>
      <c r="M38" s="1889"/>
      <c r="N38" s="1786"/>
      <c r="O38" s="1890"/>
      <c r="P38" s="1890"/>
      <c r="Q38" s="1819"/>
      <c r="R38" s="1924"/>
      <c r="S38" s="1914"/>
      <c r="T38" s="1917" t="s">
        <v>1869</v>
      </c>
      <c r="U38" s="1917"/>
      <c r="V38" s="1878"/>
    </row>
    <row r="39" spans="1:23" s="1762" customFormat="1" ht="13.15" customHeight="1">
      <c r="A39" s="1836">
        <v>9</v>
      </c>
      <c r="B39" s="1837" t="s">
        <v>1943</v>
      </c>
      <c r="C39" s="1814" t="e">
        <f>C38</f>
        <v>#DIV/0!</v>
      </c>
      <c r="D39" s="1837">
        <f>D38/(1+D34)^C36</f>
        <v>0</v>
      </c>
      <c r="E39" s="1837">
        <f>E38/(1+E34)^(C36+D36)</f>
        <v>0</v>
      </c>
      <c r="F39" s="1841"/>
      <c r="G39" s="1866"/>
      <c r="H39" s="1781"/>
      <c r="I39" s="1878"/>
      <c r="J39" s="3741"/>
      <c r="K39" s="3745"/>
      <c r="L39" s="1888"/>
      <c r="M39" s="1889"/>
      <c r="N39" s="1786"/>
      <c r="O39" s="1890"/>
      <c r="P39" s="1890"/>
      <c r="Q39" s="1819"/>
      <c r="R39" s="1924"/>
      <c r="S39" s="1914"/>
      <c r="T39" s="1917"/>
      <c r="U39" s="1917"/>
      <c r="V39" s="1878"/>
    </row>
    <row r="40" spans="1:23" s="1762" customFormat="1" ht="13.15" customHeight="1">
      <c r="A40" s="1867">
        <v>10</v>
      </c>
      <c r="B40" s="1837" t="s">
        <v>1944</v>
      </c>
      <c r="C40" s="1868" t="e">
        <f>C39+D39+E39</f>
        <v>#DIV/0!</v>
      </c>
      <c r="D40" s="1869"/>
      <c r="E40" s="1869"/>
      <c r="F40" s="1870"/>
      <c r="G40" s="1835"/>
      <c r="H40" s="1781"/>
      <c r="I40" s="1878"/>
      <c r="J40" s="3741"/>
      <c r="K40" s="3746"/>
      <c r="L40" s="1891" t="s">
        <v>1887</v>
      </c>
      <c r="M40" s="1892"/>
      <c r="N40" s="1892"/>
      <c r="O40" s="1893"/>
      <c r="P40" s="1893"/>
      <c r="Q40" s="1925"/>
      <c r="R40" s="1919">
        <f>SUM(R37:R39)</f>
        <v>0</v>
      </c>
      <c r="S40" s="1914"/>
      <c r="T40" s="1917"/>
      <c r="U40" s="1917"/>
      <c r="V40" s="1878"/>
    </row>
    <row r="41" spans="1:23" s="1762" customFormat="1" ht="13.15" customHeight="1">
      <c r="A41" s="1871">
        <v>11</v>
      </c>
      <c r="B41" s="1872" t="s">
        <v>1945</v>
      </c>
      <c r="C41" s="1872" t="e">
        <f>ROUND(C40*10000/B4,0)</f>
        <v>#DIV/0!</v>
      </c>
      <c r="D41" s="1873"/>
      <c r="E41" s="1873"/>
      <c r="F41" s="1874"/>
      <c r="G41" s="1875"/>
      <c r="H41" s="1781"/>
      <c r="I41" s="1878"/>
      <c r="J41" s="1885">
        <v>2</v>
      </c>
      <c r="K41" s="1896" t="s">
        <v>1924</v>
      </c>
      <c r="L41" s="1897"/>
      <c r="M41" s="1897"/>
      <c r="N41" s="1897"/>
      <c r="O41" s="1897"/>
      <c r="P41" s="1898"/>
      <c r="Q41" s="1929"/>
      <c r="R41" s="1927">
        <f>ROUND(R40*Q41,0)</f>
        <v>0</v>
      </c>
      <c r="S41" s="1914"/>
      <c r="T41" s="1917"/>
      <c r="U41" s="1930"/>
      <c r="V41" s="1878"/>
    </row>
    <row r="42" spans="1:23" s="1762" customFormat="1" ht="13.15" customHeight="1">
      <c r="G42" s="1875"/>
      <c r="H42" s="1781"/>
      <c r="I42" s="1878"/>
      <c r="J42" s="3742">
        <v>3</v>
      </c>
      <c r="K42" s="1899" t="s">
        <v>1926</v>
      </c>
      <c r="L42" s="1900"/>
      <c r="M42" s="1901"/>
      <c r="N42" s="1902" t="s">
        <v>505</v>
      </c>
      <c r="O42" s="1902" t="s">
        <v>1927</v>
      </c>
      <c r="P42" s="1903" t="s">
        <v>1928</v>
      </c>
      <c r="Q42" s="1903" t="s">
        <v>1929</v>
      </c>
      <c r="R42" s="1921" t="s">
        <v>1858</v>
      </c>
      <c r="S42" s="1930"/>
      <c r="T42" s="1930"/>
      <c r="U42" s="1917"/>
      <c r="V42" s="1878"/>
    </row>
    <row r="43" spans="1:23" ht="13.15" customHeight="1">
      <c r="A43" s="1762"/>
      <c r="B43" s="1762"/>
      <c r="C43" s="1762"/>
      <c r="D43" s="1762"/>
      <c r="E43" s="1762"/>
      <c r="F43" s="1762"/>
      <c r="I43" s="1766"/>
      <c r="J43" s="3743"/>
      <c r="K43" s="1905"/>
      <c r="L43" s="1906"/>
      <c r="M43" s="1907"/>
      <c r="N43" s="1889"/>
      <c r="O43" s="1889"/>
      <c r="P43" s="1889"/>
      <c r="Q43" s="1929"/>
      <c r="R43" s="1927">
        <f>ROUND(O43*N43*P43*(1-Q43)/10000,0)</f>
        <v>0</v>
      </c>
      <c r="S43" s="1914"/>
      <c r="T43" s="1917"/>
      <c r="V43" s="1768"/>
      <c r="W43" s="1938"/>
    </row>
    <row r="44" spans="1:23" ht="13.15" customHeight="1">
      <c r="J44" s="1909">
        <v>6</v>
      </c>
      <c r="K44" s="1910" t="s">
        <v>1932</v>
      </c>
      <c r="L44" s="1915" t="s">
        <v>1933</v>
      </c>
      <c r="M44" s="1912"/>
      <c r="N44" s="1915" t="s">
        <v>1934</v>
      </c>
      <c r="O44" s="1912"/>
      <c r="P44" s="1915" t="s">
        <v>1935</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79" customWidth="1"/>
    <col min="2" max="2" width="12" style="1079" customWidth="1"/>
    <col min="3" max="3" width="9" style="1079"/>
    <col min="4" max="4" width="14.125" style="1079" customWidth="1"/>
    <col min="5" max="5" width="9" style="1079"/>
    <col min="6" max="6" width="12.875" style="1079" customWidth="1"/>
    <col min="7" max="16384" width="9" style="1079"/>
  </cols>
  <sheetData>
    <row r="1" spans="1:22" ht="21">
      <c r="A1" s="1080" t="s">
        <v>1946</v>
      </c>
      <c r="B1" s="1739"/>
      <c r="C1" s="1739"/>
      <c r="D1" s="1739"/>
      <c r="E1" s="1740"/>
      <c r="F1" s="1741"/>
      <c r="G1" s="1742"/>
      <c r="H1" s="1742"/>
      <c r="I1" s="1742"/>
      <c r="J1" s="1742"/>
      <c r="K1" s="1742"/>
      <c r="L1" s="1742"/>
      <c r="M1" s="1742"/>
      <c r="N1" s="1742"/>
      <c r="O1" s="1742"/>
      <c r="P1" s="1742"/>
      <c r="Q1" s="1742"/>
      <c r="R1" s="1742"/>
      <c r="S1" s="1742"/>
    </row>
    <row r="2" spans="1:22" ht="15.75">
      <c r="A2" s="1743" t="s">
        <v>1392</v>
      </c>
      <c r="B2" s="1744">
        <f ca="1">SUMIF(B6:B13,"&lt;&gt;#ref!",B6:B13)</f>
        <v>4.9730999999999996</v>
      </c>
      <c r="C2" s="1745" t="s">
        <v>1947</v>
      </c>
      <c r="D2" s="1746" t="s">
        <v>1948</v>
      </c>
      <c r="E2" s="1747">
        <f>SUM(E6:E13)</f>
        <v>30.6</v>
      </c>
      <c r="F2" s="1741"/>
      <c r="G2" s="1742"/>
      <c r="H2" s="1742"/>
      <c r="I2" s="1742"/>
      <c r="J2" s="1742"/>
      <c r="K2" s="1742"/>
      <c r="L2" s="1742"/>
      <c r="M2" s="1742"/>
      <c r="N2" s="1742"/>
      <c r="O2" s="1742"/>
      <c r="P2" s="1742"/>
      <c r="Q2" s="1742"/>
      <c r="R2" s="1742"/>
      <c r="S2" s="1742"/>
    </row>
    <row r="3" spans="1:22" ht="15.75">
      <c r="A3" s="1743" t="s">
        <v>1394</v>
      </c>
      <c r="B3" s="1748">
        <f ca="1">ROUND(B2*10000/E2,0)</f>
        <v>1625</v>
      </c>
      <c r="C3" s="1745" t="s">
        <v>1949</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1950</v>
      </c>
      <c r="B5" s="3747" t="s">
        <v>1951</v>
      </c>
      <c r="C5" s="3748"/>
      <c r="D5" s="1753"/>
      <c r="E5" s="1754" t="s">
        <v>1952</v>
      </c>
      <c r="F5" s="1755" t="s">
        <v>1953</v>
      </c>
      <c r="G5" s="1742"/>
      <c r="H5" s="1742"/>
      <c r="I5" s="1742"/>
      <c r="J5" s="1742"/>
      <c r="K5" s="1742"/>
      <c r="L5" s="1742"/>
      <c r="M5" s="1742"/>
      <c r="N5" s="1742"/>
      <c r="O5" s="1742"/>
      <c r="P5" s="1742"/>
      <c r="Q5" s="1742"/>
      <c r="R5" s="1742"/>
      <c r="S5" s="1742"/>
    </row>
    <row r="6" spans="1:22">
      <c r="A6" s="1756" t="str">
        <f>'数据-取费表'!AN6</f>
        <v>收益法 (元)</v>
      </c>
      <c r="B6" s="1084">
        <f ca="1">IF(F6="是",'数据-取费表'!AO6,0)</f>
        <v>4.9730999999999996</v>
      </c>
      <c r="C6" s="1745" t="s">
        <v>1947</v>
      </c>
      <c r="D6" s="1749"/>
      <c r="E6" s="1757">
        <f>IF(OR(A6=0,F6="否"),0,'数据-取费表'!K6+'数据-取费表'!S6)</f>
        <v>30.6</v>
      </c>
      <c r="F6" s="1758" t="s">
        <v>1954</v>
      </c>
      <c r="G6" s="1742"/>
      <c r="H6" s="1742"/>
      <c r="I6" s="1742"/>
      <c r="J6" s="1742"/>
      <c r="K6" s="1742"/>
      <c r="L6" s="1742"/>
      <c r="M6" s="1742"/>
      <c r="N6" s="1742"/>
      <c r="O6" s="1742"/>
      <c r="P6" s="1742"/>
      <c r="Q6" s="1742"/>
      <c r="R6" s="1742"/>
      <c r="S6" s="1742"/>
    </row>
    <row r="7" spans="1:22">
      <c r="A7" s="1756">
        <f>'数据-取费表'!AN7</f>
        <v>0</v>
      </c>
      <c r="B7" s="1084" t="e">
        <f ca="1">IF(F7="是",'数据-取费表'!AO7,0)</f>
        <v>#REF!</v>
      </c>
      <c r="C7" s="1745" t="s">
        <v>1947</v>
      </c>
      <c r="D7" s="1749"/>
      <c r="E7" s="1757">
        <f>IF(OR(A7=0,F7="否"),0,'数据-取费表'!K7+'数据-取费表'!S7)</f>
        <v>0</v>
      </c>
      <c r="F7" s="1758" t="s">
        <v>1954</v>
      </c>
      <c r="G7" s="1742"/>
      <c r="H7" s="1742"/>
      <c r="I7" s="1742"/>
      <c r="J7" s="1742"/>
      <c r="K7" s="1742"/>
      <c r="L7" s="1742"/>
      <c r="M7" s="1742"/>
      <c r="N7" s="1742"/>
      <c r="O7" s="1742"/>
      <c r="P7" s="1742"/>
      <c r="Q7" s="1742"/>
      <c r="R7" s="1742"/>
      <c r="S7" s="1742"/>
    </row>
    <row r="8" spans="1:22">
      <c r="A8" s="1756">
        <f>'数据-取费表'!AN8</f>
        <v>0</v>
      </c>
      <c r="B8" s="1084" t="e">
        <f ca="1">IF(F8="是",'数据-取费表'!AO8,0)</f>
        <v>#REF!</v>
      </c>
      <c r="C8" s="1745" t="s">
        <v>1947</v>
      </c>
      <c r="D8" s="1749"/>
      <c r="E8" s="1757">
        <f>IF(OR(A8=0,F8="否"),0,'数据-取费表'!K8+'数据-取费表'!S8)</f>
        <v>0</v>
      </c>
      <c r="F8" s="1758" t="s">
        <v>1954</v>
      </c>
      <c r="G8" s="1742"/>
      <c r="H8" s="1742"/>
      <c r="I8" s="1742"/>
      <c r="J8" s="1742"/>
      <c r="K8" s="1742"/>
      <c r="L8" s="1742"/>
      <c r="M8" s="1742"/>
      <c r="N8" s="1742"/>
      <c r="O8" s="1742"/>
      <c r="P8" s="1742"/>
      <c r="Q8" s="1742"/>
      <c r="R8" s="1742"/>
      <c r="S8" s="1742"/>
    </row>
    <row r="9" spans="1:22">
      <c r="A9" s="1756">
        <f>'数据-取费表'!AN9</f>
        <v>0</v>
      </c>
      <c r="B9" s="1084" t="e">
        <f ca="1">IF(F9="是",'数据-取费表'!AO9,0)</f>
        <v>#REF!</v>
      </c>
      <c r="C9" s="1745" t="s">
        <v>1947</v>
      </c>
      <c r="D9" s="1749"/>
      <c r="E9" s="1757">
        <f>IF(OR(A9=0,F9="否"),0,'数据-取费表'!K9+'数据-取费表'!S9)</f>
        <v>0</v>
      </c>
      <c r="F9" s="1758" t="s">
        <v>1954</v>
      </c>
      <c r="G9" s="1742"/>
      <c r="H9" s="1742"/>
      <c r="I9" s="1742"/>
      <c r="J9" s="1742"/>
      <c r="K9" s="1742"/>
      <c r="L9" s="1742"/>
      <c r="M9" s="1742"/>
      <c r="N9" s="1742"/>
      <c r="O9" s="1742"/>
      <c r="P9" s="1742"/>
      <c r="Q9" s="1742"/>
      <c r="R9" s="1742"/>
      <c r="S9" s="1742"/>
    </row>
    <row r="10" spans="1:22">
      <c r="A10" s="1756">
        <f>'数据-取费表'!AN10</f>
        <v>0</v>
      </c>
      <c r="B10" s="1084" t="e">
        <f ca="1">IF(F10="是",'数据-取费表'!AO10,0)</f>
        <v>#REF!</v>
      </c>
      <c r="C10" s="1745" t="s">
        <v>1947</v>
      </c>
      <c r="D10" s="1749"/>
      <c r="E10" s="1757">
        <f>IF(OR(A10=0,F10="否"),0,'数据-取费表'!K10+'数据-取费表'!S10)</f>
        <v>0</v>
      </c>
      <c r="F10" s="1758" t="s">
        <v>1954</v>
      </c>
      <c r="G10" s="1742"/>
      <c r="H10" s="1742"/>
      <c r="I10" s="1742"/>
      <c r="J10" s="1742"/>
      <c r="K10" s="1742"/>
      <c r="L10" s="1742"/>
      <c r="M10" s="1742"/>
      <c r="N10" s="1742"/>
      <c r="O10" s="1742"/>
      <c r="P10" s="1742"/>
      <c r="Q10" s="1742"/>
      <c r="R10" s="1742"/>
      <c r="S10" s="1742"/>
    </row>
    <row r="11" spans="1:22">
      <c r="A11" s="1756">
        <f>'数据-取费表'!AN11</f>
        <v>0</v>
      </c>
      <c r="B11" s="1084" t="e">
        <f ca="1">IF(F11="是",'数据-取费表'!AO11,0)</f>
        <v>#REF!</v>
      </c>
      <c r="C11" s="1745" t="s">
        <v>1947</v>
      </c>
      <c r="D11" s="1749"/>
      <c r="E11" s="1757">
        <f>IF(OR(A11=0,F11="否"),0,'数据-取费表'!K11+'数据-取费表'!S11)</f>
        <v>0</v>
      </c>
      <c r="F11" s="1758" t="s">
        <v>1954</v>
      </c>
      <c r="G11" s="1742"/>
      <c r="H11" s="1742"/>
      <c r="I11" s="1742"/>
      <c r="J11" s="1742"/>
      <c r="K11" s="1742"/>
      <c r="L11" s="1742"/>
      <c r="M11" s="1742"/>
      <c r="N11" s="1742"/>
      <c r="O11" s="1742"/>
      <c r="P11" s="1742"/>
      <c r="Q11" s="1742"/>
      <c r="R11" s="1742"/>
      <c r="S11" s="1742"/>
    </row>
    <row r="12" spans="1:22">
      <c r="A12" s="1756">
        <f>'数据-取费表'!AN12</f>
        <v>0</v>
      </c>
      <c r="B12" s="1084" t="e">
        <f ca="1">IF(F12="是",'数据-取费表'!AO12,0)</f>
        <v>#REF!</v>
      </c>
      <c r="C12" s="1745" t="s">
        <v>1947</v>
      </c>
      <c r="D12" s="1749"/>
      <c r="E12" s="1757">
        <f>IF(OR(A12=0,F12="否"),0,'数据-取费表'!K12+'数据-取费表'!S12)</f>
        <v>0</v>
      </c>
      <c r="F12" s="1758" t="s">
        <v>1954</v>
      </c>
      <c r="G12" s="1742"/>
      <c r="H12" s="1742"/>
      <c r="I12" s="1742"/>
      <c r="J12" s="1742"/>
      <c r="K12" s="1742"/>
      <c r="L12" s="1742"/>
      <c r="M12" s="1742"/>
      <c r="N12" s="1742"/>
      <c r="O12" s="1742"/>
      <c r="P12" s="1742"/>
      <c r="Q12" s="1742"/>
      <c r="R12" s="1742"/>
      <c r="S12" s="1742"/>
    </row>
    <row r="13" spans="1:22">
      <c r="A13" s="1759">
        <f>'数据-取费表'!AN13</f>
        <v>0</v>
      </c>
      <c r="B13" s="1084" t="e">
        <f ca="1">IF(F13="是",'数据-取费表'!AO13,0)</f>
        <v>#REF!</v>
      </c>
      <c r="C13" s="1760" t="s">
        <v>1947</v>
      </c>
      <c r="D13" s="1761"/>
      <c r="E13" s="1757">
        <f>IF(OR(A13=0,F13="否"),0,'数据-取费表'!K13+'数据-取费表'!S13)</f>
        <v>0</v>
      </c>
      <c r="F13" s="1758" t="s">
        <v>1954</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9" customWidth="1"/>
    <col min="2" max="3" width="15.75" style="1099" customWidth="1"/>
    <col min="4" max="4" width="12.25" style="1099" customWidth="1"/>
    <col min="5" max="5" width="17.125" style="1099" customWidth="1"/>
    <col min="6" max="6" width="12.25" style="1099" customWidth="1"/>
    <col min="7" max="7" width="16.5" style="1099" customWidth="1"/>
    <col min="8" max="8" width="12.25" style="1099" customWidth="1"/>
    <col min="9" max="9" width="15.625" style="1099" customWidth="1"/>
    <col min="10" max="10" width="12.25" style="1099" customWidth="1"/>
    <col min="11" max="11" width="12.25" style="1100" customWidth="1"/>
    <col min="12" max="12" width="12.25" style="1101" customWidth="1"/>
    <col min="13" max="15" width="12.25" style="1099" customWidth="1"/>
    <col min="16" max="16" width="4.75" style="1634"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471" customFormat="1" ht="28.5" customHeight="1">
      <c r="A1" s="1472" t="s">
        <v>1955</v>
      </c>
      <c r="B1" s="1635" t="s">
        <v>1956</v>
      </c>
      <c r="C1" s="1532" t="s">
        <v>1388</v>
      </c>
      <c r="D1" s="1475"/>
      <c r="E1" s="1636"/>
      <c r="F1" s="1477"/>
      <c r="G1" s="1478" t="s">
        <v>1391</v>
      </c>
      <c r="H1" s="1479"/>
      <c r="I1" s="1479"/>
      <c r="J1" s="1479"/>
      <c r="K1" s="1530"/>
      <c r="L1" s="1531"/>
      <c r="M1" s="1532"/>
      <c r="N1" s="1532"/>
      <c r="O1" s="1532"/>
      <c r="P1" s="1668"/>
      <c r="Q1" s="1474"/>
      <c r="R1" s="1474"/>
      <c r="S1" s="1474"/>
      <c r="T1" s="1474"/>
      <c r="U1" s="1474"/>
      <c r="V1" s="1474"/>
      <c r="W1" s="1474"/>
      <c r="X1" s="1474"/>
      <c r="Y1" s="1474"/>
      <c r="Z1" s="1474"/>
      <c r="AA1" s="1474"/>
      <c r="AB1" s="1474"/>
      <c r="AC1" s="1538"/>
    </row>
    <row r="2" spans="1:29" s="1658" customFormat="1" ht="28.5" customHeight="1">
      <c r="A2" s="1480" t="s">
        <v>1392</v>
      </c>
      <c r="B2" s="1659" t="b">
        <f>IF(E1="项目模式",IF(C2="——",ROUND(C49*D3/10000,0),ROUND(C49*D3/10000,0)-D2),IF(E1="单套模式",IF(C2="——",ROUND(C49*D3/10000,4),ROUND(C49*D3/10000,4)-D2)))</f>
        <v>0</v>
      </c>
      <c r="C2" s="1482"/>
      <c r="D2" s="1600" t="e">
        <f ca="1">IF(E1="项目模式",SUMIF(INDIRECT("'"&amp;F2&amp;"'"&amp;"!A:A"),"承租人权益价值",INDIRECT("'"&amp;F2&amp;"'"&amp;"!c:c")),SUMIF(INDIRECT("'"&amp;F2&amp;"'"&amp;"!A:A"),"承租人权益价值（单套）",INDIRECT("'"&amp;F2&amp;"'"&amp;"!c:c")))</f>
        <v>#REF!</v>
      </c>
      <c r="E2" s="1483" t="s">
        <v>1393</v>
      </c>
      <c r="F2" s="1484"/>
      <c r="G2" s="1438"/>
      <c r="H2" s="1438"/>
      <c r="I2" s="1438"/>
      <c r="J2" s="1438"/>
      <c r="K2" s="1669"/>
      <c r="L2" s="1670"/>
      <c r="M2" s="1671"/>
      <c r="N2" s="1671"/>
      <c r="O2" s="1671"/>
      <c r="P2" s="1672"/>
      <c r="Q2" s="1690"/>
      <c r="R2" s="1690"/>
      <c r="S2" s="1690"/>
      <c r="T2" s="1690"/>
      <c r="U2" s="1690"/>
      <c r="V2" s="1690"/>
      <c r="W2" s="1690"/>
      <c r="X2" s="1690"/>
      <c r="Y2" s="1690"/>
      <c r="Z2" s="1690"/>
      <c r="AA2" s="1690"/>
      <c r="AB2" s="1690"/>
      <c r="AC2" s="1691"/>
    </row>
    <row r="3" spans="1:29" s="1658" customFormat="1" ht="28.5" customHeight="1">
      <c r="A3" s="389" t="s">
        <v>1394</v>
      </c>
      <c r="B3" s="1486">
        <f>IF(C2="——",C49,ROUND(B2*10000/D3,0))</f>
        <v>0</v>
      </c>
      <c r="C3" s="1485" t="s">
        <v>1395</v>
      </c>
      <c r="D3" s="1486">
        <f>IF(D1="",'数据-汇总表'!E3,SUMIF('数据-汇总表'!$C19:$C33,D1,'数据-汇总表'!$E19:$E33))</f>
        <v>30.6</v>
      </c>
      <c r="E3" s="1438"/>
      <c r="F3" s="1660"/>
      <c r="G3" s="1438"/>
      <c r="H3" s="1438"/>
      <c r="I3" s="1438"/>
      <c r="J3" s="1438"/>
      <c r="K3" s="1669"/>
      <c r="L3" s="1670"/>
      <c r="M3" s="1671"/>
      <c r="N3" s="1671"/>
      <c r="O3" s="1671"/>
      <c r="P3" s="1672"/>
      <c r="Q3" s="1690"/>
      <c r="R3" s="1690"/>
      <c r="S3" s="1690"/>
      <c r="T3" s="1690"/>
      <c r="U3" s="1690"/>
      <c r="V3" s="1690"/>
      <c r="W3" s="1690"/>
      <c r="X3" s="1690"/>
      <c r="Y3" s="1690"/>
      <c r="Z3" s="1690"/>
      <c r="AA3" s="1690"/>
      <c r="AB3" s="1690"/>
      <c r="AC3" s="1692"/>
    </row>
    <row r="4" spans="1:29" ht="15">
      <c r="A4" s="1112" t="s">
        <v>1397</v>
      </c>
      <c r="B4" s="1113"/>
      <c r="C4" s="3679" t="s">
        <v>1398</v>
      </c>
      <c r="D4" s="3680"/>
      <c r="E4" s="3681" t="s">
        <v>1399</v>
      </c>
      <c r="F4" s="3682"/>
      <c r="G4" s="3679" t="s">
        <v>1400</v>
      </c>
      <c r="H4" s="3680"/>
      <c r="I4" s="3679" t="s">
        <v>1401</v>
      </c>
      <c r="J4" s="3680"/>
      <c r="K4" s="1673" t="s">
        <v>1402</v>
      </c>
      <c r="L4" s="1260"/>
      <c r="M4" s="1261"/>
      <c r="N4" s="1261"/>
      <c r="O4" s="1261"/>
      <c r="P4" s="3707" t="s">
        <v>1403</v>
      </c>
      <c r="Q4" s="3708"/>
      <c r="R4" s="3713" t="s">
        <v>1399</v>
      </c>
      <c r="S4" s="3714"/>
      <c r="T4" s="3713" t="s">
        <v>1400</v>
      </c>
      <c r="U4" s="3714"/>
      <c r="V4" s="3719" t="s">
        <v>1401</v>
      </c>
      <c r="W4" s="3719"/>
      <c r="X4" s="1303"/>
      <c r="Y4" s="3713" t="s">
        <v>1403</v>
      </c>
      <c r="Z4" s="3714"/>
      <c r="AA4" s="3704" t="s">
        <v>1399</v>
      </c>
      <c r="AB4" s="3704" t="s">
        <v>1400</v>
      </c>
      <c r="AC4" s="3704" t="s">
        <v>1401</v>
      </c>
    </row>
    <row r="5" spans="1:29" ht="15">
      <c r="A5" s="1114"/>
      <c r="B5" s="1115"/>
      <c r="C5" s="3683" t="s">
        <v>1404</v>
      </c>
      <c r="D5" s="3684"/>
      <c r="E5" s="3749" t="s">
        <v>1957</v>
      </c>
      <c r="F5" s="3686"/>
      <c r="G5" s="3683" t="s">
        <v>1958</v>
      </c>
      <c r="H5" s="3684"/>
      <c r="I5" s="3683" t="s">
        <v>1959</v>
      </c>
      <c r="J5" s="3684"/>
      <c r="K5" s="1674"/>
      <c r="L5" s="1260"/>
      <c r="M5" s="1261"/>
      <c r="N5" s="1261"/>
      <c r="O5" s="1261"/>
      <c r="P5" s="3709"/>
      <c r="Q5" s="3710"/>
      <c r="R5" s="3715"/>
      <c r="S5" s="3716"/>
      <c r="T5" s="3715"/>
      <c r="U5" s="3716"/>
      <c r="V5" s="3719"/>
      <c r="W5" s="3719"/>
      <c r="X5" s="1303"/>
      <c r="Y5" s="3715"/>
      <c r="Z5" s="3716"/>
      <c r="AA5" s="3705"/>
      <c r="AB5" s="3705"/>
      <c r="AC5" s="3705"/>
    </row>
    <row r="6" spans="1:29" ht="15">
      <c r="A6" s="1116"/>
      <c r="B6" s="1117"/>
      <c r="C6" s="3688" t="s">
        <v>1408</v>
      </c>
      <c r="D6" s="3689"/>
      <c r="E6" s="3690" t="s">
        <v>1408</v>
      </c>
      <c r="F6" s="3691"/>
      <c r="G6" s="3688" t="s">
        <v>1408</v>
      </c>
      <c r="H6" s="3689"/>
      <c r="I6" s="3688" t="s">
        <v>1408</v>
      </c>
      <c r="J6" s="3689"/>
      <c r="K6" s="1674" t="s">
        <v>1409</v>
      </c>
      <c r="L6" s="1260"/>
      <c r="M6" s="1261"/>
      <c r="N6" s="1261"/>
      <c r="O6" s="1261"/>
      <c r="P6" s="3711"/>
      <c r="Q6" s="3712"/>
      <c r="R6" s="3715"/>
      <c r="S6" s="3716"/>
      <c r="T6" s="3717"/>
      <c r="U6" s="3718"/>
      <c r="V6" s="3719"/>
      <c r="W6" s="3719"/>
      <c r="X6" s="1303"/>
      <c r="Y6" s="3717"/>
      <c r="Z6" s="3718"/>
      <c r="AA6" s="3706"/>
      <c r="AB6" s="3706"/>
      <c r="AC6" s="3706"/>
    </row>
    <row r="7" spans="1:29" s="1093" customFormat="1" ht="15">
      <c r="A7" s="1118" t="s">
        <v>1410</v>
      </c>
      <c r="B7" s="1119"/>
      <c r="C7" s="1120">
        <f>'数据-取费表'!B2</f>
        <v>45911</v>
      </c>
      <c r="D7" s="1121">
        <v>100</v>
      </c>
      <c r="E7" s="1122"/>
      <c r="F7" s="1123">
        <f>SUMIF(58:58,YEAR(E7)&amp;"-"&amp;MONTH(E7),59:59)</f>
        <v>0</v>
      </c>
      <c r="G7" s="1122"/>
      <c r="H7" s="1121">
        <f>SUMIF(58:58,YEAR(G7)&amp;"-"&amp;MONTH(G7),59:59)</f>
        <v>0</v>
      </c>
      <c r="I7" s="1122"/>
      <c r="J7" s="1121">
        <f>SUMIF(58:58,YEAR(I7)&amp;"-"&amp;MONTH(I7),59:59)</f>
        <v>0</v>
      </c>
      <c r="K7" s="1675"/>
      <c r="L7" s="1263"/>
      <c r="M7" s="1264"/>
      <c r="N7" s="1264"/>
      <c r="O7" s="1264"/>
      <c r="P7" s="3692" t="s">
        <v>1411</v>
      </c>
      <c r="Q7" s="3693"/>
      <c r="R7" s="1304" t="s">
        <v>1412</v>
      </c>
      <c r="S7" s="1305">
        <f t="shared" ref="S7:S15" si="0">F7</f>
        <v>0</v>
      </c>
      <c r="T7" s="1304" t="s">
        <v>1412</v>
      </c>
      <c r="U7" s="1305">
        <f t="shared" ref="U7:U15" si="1">H7</f>
        <v>0</v>
      </c>
      <c r="V7" s="1304" t="s">
        <v>1412</v>
      </c>
      <c r="W7" s="1305">
        <f t="shared" ref="W7:W15" si="2">J7</f>
        <v>0</v>
      </c>
      <c r="X7" s="1306"/>
      <c r="Y7" s="3692" t="s">
        <v>1411</v>
      </c>
      <c r="Z7" s="3694"/>
      <c r="AA7" s="1318" t="e">
        <f>D7/F7</f>
        <v>#DIV/0!</v>
      </c>
      <c r="AB7" s="1318" t="e">
        <f>D7/H7</f>
        <v>#DIV/0!</v>
      </c>
      <c r="AC7" s="1318" t="e">
        <f>D7/J7</f>
        <v>#DIV/0!</v>
      </c>
    </row>
    <row r="8" spans="1:29" s="1093" customFormat="1" ht="15">
      <c r="A8" s="1118" t="s">
        <v>1413</v>
      </c>
      <c r="B8" s="1119"/>
      <c r="C8" s="1125"/>
      <c r="D8" s="1121">
        <v>100</v>
      </c>
      <c r="E8" s="1661"/>
      <c r="F8" s="1123">
        <f>SUMIF(61:61,E8,62:62)-SUMIF(61:61,C8,62:62)+100</f>
        <v>100</v>
      </c>
      <c r="G8" s="1125"/>
      <c r="H8" s="1121">
        <f>SUMIF(61:61,G8,62:62)-SUMIF(61:61,C8,62:62)+100</f>
        <v>100</v>
      </c>
      <c r="I8" s="1661"/>
      <c r="J8" s="1121">
        <f>SUMIF(61:61,I8,62:62)-SUMIF(61:61,C8,62:62)+100</f>
        <v>100</v>
      </c>
      <c r="K8" s="1675"/>
      <c r="L8" s="1263"/>
      <c r="M8" s="1264"/>
      <c r="N8" s="1264"/>
      <c r="O8" s="1264"/>
      <c r="P8" s="3692" t="s">
        <v>1415</v>
      </c>
      <c r="Q8" s="3694"/>
      <c r="R8" s="1304" t="s">
        <v>1412</v>
      </c>
      <c r="S8" s="1305">
        <f t="shared" si="0"/>
        <v>100</v>
      </c>
      <c r="T8" s="1304" t="s">
        <v>1412</v>
      </c>
      <c r="U8" s="1305">
        <f t="shared" si="1"/>
        <v>100</v>
      </c>
      <c r="V8" s="1304" t="s">
        <v>1412</v>
      </c>
      <c r="W8" s="1305">
        <f t="shared" si="2"/>
        <v>100</v>
      </c>
      <c r="X8" s="1306"/>
      <c r="Y8" s="3692" t="s">
        <v>1415</v>
      </c>
      <c r="Z8" s="3694"/>
      <c r="AA8" s="1318">
        <f t="shared" ref="AA8:AA19" si="3">D8/F8</f>
        <v>1</v>
      </c>
      <c r="AB8" s="1318">
        <f t="shared" ref="AB8:AB19" si="4">D8/H8</f>
        <v>1</v>
      </c>
      <c r="AC8" s="1318">
        <f t="shared" ref="AC8:AC19" si="5">D8/J8</f>
        <v>1</v>
      </c>
    </row>
    <row r="9" spans="1:29" s="1093" customFormat="1">
      <c r="A9" s="1126" t="s">
        <v>1416</v>
      </c>
      <c r="B9" s="1127" t="s">
        <v>1417</v>
      </c>
      <c r="C9" s="1487"/>
      <c r="D9" s="1129">
        <v>100</v>
      </c>
      <c r="E9" s="1552"/>
      <c r="F9" s="1489">
        <f>SUMIF(63:63,E9,64:64)-SUMIF(63:63,C9,64:64)+100</f>
        <v>100</v>
      </c>
      <c r="G9" s="1488"/>
      <c r="H9" s="1129">
        <f>SUMIF(63:63,G9,64:64)-SUMIF(63:63,C9,64:64)+100</f>
        <v>100</v>
      </c>
      <c r="I9" s="1488"/>
      <c r="J9" s="1129">
        <f>SUMIF(63:63,I9,64:64)-SUMIF(63:63,C9,64:64)+100</f>
        <v>100</v>
      </c>
      <c r="K9" s="1675"/>
      <c r="L9" s="1263"/>
      <c r="M9" s="1264"/>
      <c r="N9" s="1264"/>
      <c r="O9" s="1264"/>
      <c r="P9" s="3751" t="s">
        <v>1418</v>
      </c>
      <c r="Q9" s="1308" t="str">
        <f t="shared" ref="Q9:Q15" si="6">B9</f>
        <v>用途</v>
      </c>
      <c r="R9" s="1304" t="s">
        <v>1412</v>
      </c>
      <c r="S9" s="1305">
        <f t="shared" si="0"/>
        <v>100</v>
      </c>
      <c r="T9" s="1304" t="s">
        <v>1412</v>
      </c>
      <c r="U9" s="1305">
        <f t="shared" si="1"/>
        <v>100</v>
      </c>
      <c r="V9" s="1304" t="s">
        <v>1412</v>
      </c>
      <c r="W9" s="1305">
        <f t="shared" si="2"/>
        <v>100</v>
      </c>
      <c r="X9" s="1306"/>
      <c r="Y9" s="3660" t="s">
        <v>1419</v>
      </c>
      <c r="Z9" s="1319" t="str">
        <f t="shared" ref="Z9:Z15" si="7">Q9</f>
        <v>用途</v>
      </c>
      <c r="AA9" s="1318">
        <f t="shared" si="3"/>
        <v>1</v>
      </c>
      <c r="AB9" s="1318">
        <f t="shared" si="4"/>
        <v>1</v>
      </c>
      <c r="AC9" s="1318">
        <f t="shared" si="5"/>
        <v>1</v>
      </c>
    </row>
    <row r="10" spans="1:29" s="1094" customFormat="1" ht="27">
      <c r="A10" s="1130"/>
      <c r="B10" s="1131" t="s">
        <v>1420</v>
      </c>
      <c r="C10" s="1490"/>
      <c r="D10" s="1133">
        <v>100</v>
      </c>
      <c r="E10" s="1553"/>
      <c r="F10" s="1491">
        <f>SUMIF(65:65,E10,66:66)-SUMIF(65:65,C10,66:66)+100</f>
        <v>100</v>
      </c>
      <c r="G10" s="1490"/>
      <c r="H10" s="1133">
        <f>SUMIF(65:65,G10,66:66)-SUMIF(65:65,C10,66:66)+100</f>
        <v>100</v>
      </c>
      <c r="I10" s="1490"/>
      <c r="J10" s="1133">
        <f>SUMIF(65:65,I10,66:66)-SUMIF(65:65,C10,66:66)+100</f>
        <v>100</v>
      </c>
      <c r="K10" s="1675"/>
      <c r="L10" s="1267"/>
      <c r="M10" s="1268"/>
      <c r="N10" s="1268"/>
      <c r="O10" s="1268"/>
      <c r="P10" s="3751"/>
      <c r="Q10" s="1308" t="str">
        <f t="shared" si="6"/>
        <v>土地使用年限（年）</v>
      </c>
      <c r="R10" s="1304" t="s">
        <v>1412</v>
      </c>
      <c r="S10" s="1305">
        <f t="shared" si="0"/>
        <v>100</v>
      </c>
      <c r="T10" s="1304" t="s">
        <v>1412</v>
      </c>
      <c r="U10" s="1305">
        <f t="shared" si="1"/>
        <v>100</v>
      </c>
      <c r="V10" s="1304" t="s">
        <v>1412</v>
      </c>
      <c r="W10" s="1305">
        <f t="shared" si="2"/>
        <v>100</v>
      </c>
      <c r="X10" s="1306"/>
      <c r="Y10" s="3660"/>
      <c r="Z10" s="1319" t="str">
        <f t="shared" si="7"/>
        <v>土地使用年限（年）</v>
      </c>
      <c r="AA10" s="1318">
        <f t="shared" si="3"/>
        <v>1</v>
      </c>
      <c r="AB10" s="1318">
        <f t="shared" si="4"/>
        <v>1</v>
      </c>
      <c r="AC10" s="1318">
        <f t="shared" si="5"/>
        <v>1</v>
      </c>
    </row>
    <row r="11" spans="1:29" ht="15">
      <c r="A11" s="1134"/>
      <c r="B11" s="1131" t="s">
        <v>1960</v>
      </c>
      <c r="C11" s="1135"/>
      <c r="D11" s="1133">
        <v>100</v>
      </c>
      <c r="E11" s="1136"/>
      <c r="F11" s="1491" t="e">
        <f>LOOKUP(E11,68:68,69:69)-LOOKUP(C11,68:68,69:69)+100</f>
        <v>#N/A</v>
      </c>
      <c r="G11" s="1135"/>
      <c r="H11" s="1133" t="e">
        <f>LOOKUP(G11,68:68,69:69)-LOOKUP(C11,68:68,69:69)+100</f>
        <v>#N/A</v>
      </c>
      <c r="I11" s="1135"/>
      <c r="J11" s="1133" t="e">
        <f>LOOKUP(I11,68:68,69:69)-LOOKUP(C11,68:68,69:69)+100</f>
        <v>#N/A</v>
      </c>
      <c r="K11" s="1676"/>
      <c r="L11" s="1271"/>
      <c r="M11" s="1261"/>
      <c r="N11" s="1261"/>
      <c r="O11" s="1261"/>
      <c r="P11" s="3751"/>
      <c r="Q11" s="1308" t="str">
        <f t="shared" si="6"/>
        <v>容积率</v>
      </c>
      <c r="R11" s="1304" t="s">
        <v>1412</v>
      </c>
      <c r="S11" s="1305" t="e">
        <f t="shared" si="0"/>
        <v>#N/A</v>
      </c>
      <c r="T11" s="1304" t="s">
        <v>1412</v>
      </c>
      <c r="U11" s="1305" t="e">
        <f t="shared" si="1"/>
        <v>#N/A</v>
      </c>
      <c r="V11" s="1304" t="s">
        <v>1412</v>
      </c>
      <c r="W11" s="1305" t="e">
        <f t="shared" si="2"/>
        <v>#N/A</v>
      </c>
      <c r="X11" s="1306"/>
      <c r="Y11" s="3660"/>
      <c r="Z11" s="1319" t="str">
        <f t="shared" si="7"/>
        <v>容积率</v>
      </c>
      <c r="AA11" s="1318" t="e">
        <f t="shared" si="3"/>
        <v>#N/A</v>
      </c>
      <c r="AB11" s="1318" t="e">
        <f t="shared" si="4"/>
        <v>#N/A</v>
      </c>
      <c r="AC11" s="1318" t="e">
        <f t="shared" si="5"/>
        <v>#N/A</v>
      </c>
    </row>
    <row r="12" spans="1:29" s="1093" customFormat="1" ht="15">
      <c r="A12" s="1137"/>
      <c r="B12" s="1138">
        <v>111</v>
      </c>
      <c r="C12" s="1132"/>
      <c r="D12" s="1139">
        <v>100</v>
      </c>
      <c r="E12" s="1132"/>
      <c r="F12" s="1491">
        <f>SUMIF(70:70,E12,71:71)-SUMIF(70:70,C12,71:71)+100</f>
        <v>100</v>
      </c>
      <c r="G12" s="1132"/>
      <c r="H12" s="1133">
        <f>SUMIF(70:70,G12,71:71)-SUMIF(70:70,C12,71:71)+100</f>
        <v>100</v>
      </c>
      <c r="I12" s="1132"/>
      <c r="J12" s="1133">
        <f>SUMIF(70:70,I12,71:71)-SUMIF(70:70,C12,71:71)+100</f>
        <v>100</v>
      </c>
      <c r="K12" s="1677"/>
      <c r="L12" s="1263"/>
      <c r="M12" s="1264"/>
      <c r="N12" s="1264"/>
      <c r="O12" s="1264"/>
      <c r="P12" s="3751"/>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318">
        <f t="shared" si="5"/>
        <v>1</v>
      </c>
    </row>
    <row r="13" spans="1:29" ht="15">
      <c r="A13" s="1134"/>
      <c r="B13" s="1138">
        <v>111</v>
      </c>
      <c r="C13" s="1142"/>
      <c r="D13" s="1143">
        <v>100</v>
      </c>
      <c r="E13" s="1142"/>
      <c r="F13" s="1491">
        <f>SUMIF(72:72,E13,73:73)-SUMIF(72:72,C13,73:73)+100</f>
        <v>100</v>
      </c>
      <c r="G13" s="1142"/>
      <c r="H13" s="1143">
        <f>SUMIF(72:72,G13,73:73)-SUMIF(72:72,C13,73:73)+100</f>
        <v>100</v>
      </c>
      <c r="I13" s="1142"/>
      <c r="J13" s="1143">
        <f>SUMIF(72:72,I13,73:73)-SUMIF(72:72,C13,73:73)+100</f>
        <v>100</v>
      </c>
      <c r="K13" s="1677"/>
      <c r="L13" s="1273"/>
      <c r="M13" s="1261"/>
      <c r="N13" s="1261"/>
      <c r="O13" s="1261"/>
      <c r="P13" s="3751"/>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29" ht="15">
      <c r="A14" s="1144"/>
      <c r="B14" s="1145">
        <v>111</v>
      </c>
      <c r="C14" s="1146"/>
      <c r="D14" s="1147">
        <v>100</v>
      </c>
      <c r="E14" s="1146"/>
      <c r="F14" s="1511">
        <f>SUMIF(74:74,E14,75:75)-SUMIF(74:74,C14,75:75)+100</f>
        <v>100</v>
      </c>
      <c r="G14" s="1146"/>
      <c r="H14" s="1147">
        <f>SUMIF(74:74,G14,75:75)-SUMIF(74:74,C14,75:75)+100</f>
        <v>100</v>
      </c>
      <c r="I14" s="1146"/>
      <c r="J14" s="1147">
        <f>SUMIF(74:74,I14,75:75)-SUMIF(74:74,C14,75:75)+100</f>
        <v>100</v>
      </c>
      <c r="K14" s="1677"/>
      <c r="L14" s="1273"/>
      <c r="M14" s="1261"/>
      <c r="N14" s="1261"/>
      <c r="O14" s="1261"/>
      <c r="P14" s="3751"/>
      <c r="Q14" s="1308">
        <f t="shared" si="6"/>
        <v>111</v>
      </c>
      <c r="R14" s="1304" t="s">
        <v>1412</v>
      </c>
      <c r="S14" s="1305">
        <f t="shared" si="0"/>
        <v>100</v>
      </c>
      <c r="T14" s="1304" t="s">
        <v>1412</v>
      </c>
      <c r="U14" s="1305">
        <f t="shared" si="1"/>
        <v>100</v>
      </c>
      <c r="V14" s="1304" t="s">
        <v>1412</v>
      </c>
      <c r="W14" s="1305">
        <f t="shared" si="2"/>
        <v>100</v>
      </c>
      <c r="X14" s="1306"/>
      <c r="Y14" s="3660"/>
      <c r="Z14" s="1319">
        <f t="shared" si="7"/>
        <v>111</v>
      </c>
      <c r="AA14" s="1318">
        <f t="shared" si="3"/>
        <v>1</v>
      </c>
      <c r="AB14" s="1318">
        <f t="shared" si="4"/>
        <v>1</v>
      </c>
      <c r="AC14" s="1318">
        <f t="shared" si="5"/>
        <v>1</v>
      </c>
    </row>
    <row r="15" spans="1:29" ht="85.5">
      <c r="A15" s="1148" t="s">
        <v>1423</v>
      </c>
      <c r="B15" s="1441" t="s">
        <v>1961</v>
      </c>
      <c r="C15" s="1442" t="str">
        <f>估价对象房地状况!C3</f>
        <v>估价对象周边居住用地比例、居住小区规模和社区发展完善程度，综合评价居住社区成熟度一般</v>
      </c>
      <c r="D15" s="1151">
        <v>100</v>
      </c>
      <c r="E15" s="1274"/>
      <c r="F15" s="1151">
        <f>SUMIF(76:76,E16,77:77)-SUMIF(76:76,C16,77:77)+100</f>
        <v>100</v>
      </c>
      <c r="G15" s="1152"/>
      <c r="H15" s="1151">
        <f>SUMIF(76:76,G16,77:77)-SUMIF(76:76,C16,77:77)+100</f>
        <v>100</v>
      </c>
      <c r="I15" s="1152"/>
      <c r="J15" s="1151">
        <f>SUMIF(76:76,I16,77:77)-SUMIF(76:76,C16,77:77)+100</f>
        <v>100</v>
      </c>
      <c r="K15" s="1678"/>
      <c r="L15" s="1273"/>
      <c r="M15" s="1261"/>
      <c r="N15" s="1261"/>
      <c r="O15" s="1261"/>
      <c r="P15" s="3752" t="s">
        <v>1425</v>
      </c>
      <c r="Q15" s="816" t="str">
        <f t="shared" si="6"/>
        <v>居住社区成熟度</v>
      </c>
      <c r="R15" s="1309" t="s">
        <v>1412</v>
      </c>
      <c r="S15" s="1310">
        <f t="shared" si="0"/>
        <v>100</v>
      </c>
      <c r="T15" s="1309" t="s">
        <v>1412</v>
      </c>
      <c r="U15" s="1310">
        <f t="shared" si="1"/>
        <v>100</v>
      </c>
      <c r="V15" s="1309" t="s">
        <v>1412</v>
      </c>
      <c r="W15" s="1310">
        <f t="shared" si="2"/>
        <v>100</v>
      </c>
      <c r="X15" s="1303"/>
      <c r="Y15" s="3700" t="s">
        <v>1425</v>
      </c>
      <c r="Z15" s="1293" t="str">
        <f t="shared" si="7"/>
        <v>居住社区成熟度</v>
      </c>
      <c r="AA15" s="1320">
        <f t="shared" si="3"/>
        <v>1</v>
      </c>
      <c r="AB15" s="1320">
        <f t="shared" si="4"/>
        <v>1</v>
      </c>
      <c r="AC15" s="1320">
        <f t="shared" si="5"/>
        <v>1</v>
      </c>
    </row>
    <row r="16" spans="1:29" ht="15">
      <c r="A16" s="1134"/>
      <c r="B16" s="1443"/>
      <c r="C16" s="1154"/>
      <c r="D16" s="1155"/>
      <c r="E16" s="1276"/>
      <c r="F16" s="1155"/>
      <c r="G16" s="1163"/>
      <c r="H16" s="1157"/>
      <c r="I16" s="1163"/>
      <c r="J16" s="1155"/>
      <c r="K16" s="1679"/>
      <c r="L16" s="1273"/>
      <c r="M16" s="1261"/>
      <c r="N16" s="1261"/>
      <c r="O16" s="1261"/>
      <c r="P16" s="3753"/>
      <c r="Q16" s="816"/>
      <c r="R16" s="1309"/>
      <c r="S16" s="1310"/>
      <c r="T16" s="1309"/>
      <c r="U16" s="1310"/>
      <c r="V16" s="1309"/>
      <c r="W16" s="1310"/>
      <c r="X16" s="1303"/>
      <c r="Y16" s="3701"/>
      <c r="Z16" s="1293"/>
      <c r="AA16" s="1320">
        <v>1</v>
      </c>
      <c r="AB16" s="1320">
        <v>1</v>
      </c>
      <c r="AC16" s="1320">
        <v>1</v>
      </c>
    </row>
    <row r="17" spans="1:29" ht="71.25">
      <c r="A17" s="1134"/>
      <c r="B17" s="1444" t="s">
        <v>1424</v>
      </c>
      <c r="C17" s="1159" t="str">
        <f>估价对象房地状况!C6</f>
        <v>估价对象周边道路状况、公共交通通达情况、停车便捷程度，综合评价交通便捷度较好</v>
      </c>
      <c r="D17" s="1157">
        <v>100</v>
      </c>
      <c r="E17" s="1275"/>
      <c r="F17" s="1157">
        <f>SUMIF(78:78,E18,79:79)-SUMIF(78:78,C18,79:79)+100</f>
        <v>100</v>
      </c>
      <c r="G17" s="1160"/>
      <c r="H17" s="1161">
        <f>SUMIF(78:78,G18,79:79)-SUMIF(78:78,C18,79:79)+100</f>
        <v>100</v>
      </c>
      <c r="I17" s="1160"/>
      <c r="J17" s="1161">
        <f>SUMIF(78:78,I18,79:79)-SUMIF(78:78,C18,79:79)+100</f>
        <v>100</v>
      </c>
      <c r="K17" s="1678"/>
      <c r="L17" s="1273"/>
      <c r="M17" s="1261"/>
      <c r="N17" s="1261"/>
      <c r="O17" s="1261"/>
      <c r="P17" s="3753"/>
      <c r="Q17" s="816" t="str">
        <f>B17</f>
        <v>交通便捷度</v>
      </c>
      <c r="R17" s="1309" t="s">
        <v>1412</v>
      </c>
      <c r="S17" s="1310">
        <f>F17</f>
        <v>100</v>
      </c>
      <c r="T17" s="1309" t="s">
        <v>1412</v>
      </c>
      <c r="U17" s="1310">
        <f>H17</f>
        <v>100</v>
      </c>
      <c r="V17" s="1309" t="s">
        <v>1412</v>
      </c>
      <c r="W17" s="1310">
        <f>J17</f>
        <v>100</v>
      </c>
      <c r="X17" s="1303"/>
      <c r="Y17" s="3701"/>
      <c r="Z17" s="1293" t="str">
        <f>Q17</f>
        <v>交通便捷度</v>
      </c>
      <c r="AA17" s="1320">
        <f t="shared" si="3"/>
        <v>1</v>
      </c>
      <c r="AB17" s="1320">
        <f t="shared" si="4"/>
        <v>1</v>
      </c>
      <c r="AC17" s="1320">
        <f t="shared" si="5"/>
        <v>1</v>
      </c>
    </row>
    <row r="18" spans="1:29" ht="15">
      <c r="A18" s="1134"/>
      <c r="B18" s="1182"/>
      <c r="C18" s="1445"/>
      <c r="D18" s="1157"/>
      <c r="E18" s="1454"/>
      <c r="F18" s="1157"/>
      <c r="G18" s="1446"/>
      <c r="H18" s="1155"/>
      <c r="I18" s="1446"/>
      <c r="J18" s="1155"/>
      <c r="K18" s="1679"/>
      <c r="L18" s="1273"/>
      <c r="M18" s="1261"/>
      <c r="N18" s="1261"/>
      <c r="O18" s="1261"/>
      <c r="P18" s="3753"/>
      <c r="Q18" s="816"/>
      <c r="R18" s="1309"/>
      <c r="S18" s="1310"/>
      <c r="T18" s="1309"/>
      <c r="U18" s="1310"/>
      <c r="V18" s="1309"/>
      <c r="W18" s="1310"/>
      <c r="X18" s="1303"/>
      <c r="Y18" s="3701"/>
      <c r="Z18" s="1293"/>
      <c r="AA18" s="1320">
        <v>1</v>
      </c>
      <c r="AB18" s="1320">
        <v>1</v>
      </c>
      <c r="AC18" s="1320">
        <v>1</v>
      </c>
    </row>
    <row r="19" spans="1:29" ht="42.75">
      <c r="A19" s="1134"/>
      <c r="B19" s="1444" t="s">
        <v>1427</v>
      </c>
      <c r="C19" s="1159" t="str">
        <f>估价对象房地状况!C7</f>
        <v>估价对象所在区域公共配套设施齐备情况</v>
      </c>
      <c r="D19" s="1161">
        <v>100</v>
      </c>
      <c r="E19" s="1455"/>
      <c r="F19" s="1161">
        <f>SUMIF(80:80,E20,81:81)-SUMIF(80:80,C20,81:81)+100</f>
        <v>100</v>
      </c>
      <c r="G19" s="1447"/>
      <c r="H19" s="1157">
        <f>SUMIF(80:80,G20,81:81)-SUMIF(80:80,C20,81:81)+100</f>
        <v>100</v>
      </c>
      <c r="I19" s="1447"/>
      <c r="J19" s="1157">
        <f>SUMIF(80:80,I20,81:81)-SUMIF(80:80,C20,81:81)+100</f>
        <v>100</v>
      </c>
      <c r="K19" s="1678"/>
      <c r="L19" s="1273"/>
      <c r="M19" s="1261"/>
      <c r="N19" s="1261"/>
      <c r="O19" s="1261"/>
      <c r="P19" s="3753"/>
      <c r="Q19" s="816" t="str">
        <f>B19</f>
        <v>公共配套设施</v>
      </c>
      <c r="R19" s="1309" t="s">
        <v>1412</v>
      </c>
      <c r="S19" s="1310">
        <f>F19</f>
        <v>100</v>
      </c>
      <c r="T19" s="1309" t="s">
        <v>1412</v>
      </c>
      <c r="U19" s="1310">
        <f>H19</f>
        <v>100</v>
      </c>
      <c r="V19" s="1309" t="s">
        <v>1412</v>
      </c>
      <c r="W19" s="1310">
        <f>J19</f>
        <v>100</v>
      </c>
      <c r="X19" s="1303"/>
      <c r="Y19" s="3701"/>
      <c r="Z19" s="1293" t="str">
        <f>Q19</f>
        <v>公共配套设施</v>
      </c>
      <c r="AA19" s="1320">
        <f t="shared" si="3"/>
        <v>1</v>
      </c>
      <c r="AB19" s="1320">
        <f t="shared" si="4"/>
        <v>1</v>
      </c>
      <c r="AC19" s="1320">
        <f t="shared" si="5"/>
        <v>1</v>
      </c>
    </row>
    <row r="20" spans="1:29" ht="15">
      <c r="A20" s="1134"/>
      <c r="B20" s="1182"/>
      <c r="C20" s="1154"/>
      <c r="D20" s="1155"/>
      <c r="E20" s="1276"/>
      <c r="F20" s="1155"/>
      <c r="G20" s="1163"/>
      <c r="H20" s="1155"/>
      <c r="I20" s="1163"/>
      <c r="J20" s="1155"/>
      <c r="K20" s="1679"/>
      <c r="L20" s="1273"/>
      <c r="M20" s="1261"/>
      <c r="N20" s="1261"/>
      <c r="O20" s="1261"/>
      <c r="P20" s="3753"/>
      <c r="Q20" s="816"/>
      <c r="R20" s="1309"/>
      <c r="S20" s="1310"/>
      <c r="T20" s="1309"/>
      <c r="U20" s="1310"/>
      <c r="V20" s="1309"/>
      <c r="W20" s="1310"/>
      <c r="X20" s="1303"/>
      <c r="Y20" s="3701"/>
      <c r="Z20" s="1293"/>
      <c r="AA20" s="1320">
        <v>1</v>
      </c>
      <c r="AB20" s="1320">
        <v>1</v>
      </c>
      <c r="AC20" s="1320">
        <v>1</v>
      </c>
    </row>
    <row r="21" spans="1:29" ht="28.5">
      <c r="A21" s="1134"/>
      <c r="B21" s="1448" t="s">
        <v>1429</v>
      </c>
      <c r="C21" s="1159" t="str">
        <f>估价对象房地状况!C8</f>
        <v>估价对象所在区域基础设施水平</v>
      </c>
      <c r="D21" s="1157">
        <v>100</v>
      </c>
      <c r="E21" s="1455"/>
      <c r="F21" s="1161">
        <f>SUMIF(82:82,E22,83:83)-SUMIF(82:82,C22,83:83)+100</f>
        <v>100</v>
      </c>
      <c r="G21" s="1447"/>
      <c r="H21" s="1157">
        <f>SUMIF(82:82,G22,83:83)-SUMIF(82:82,C22,83:83)+100</f>
        <v>100</v>
      </c>
      <c r="I21" s="1447"/>
      <c r="J21" s="1157">
        <f>SUMIF(82:82,I22,83:83)-SUMIF(82:82,C22,83:83)+100</f>
        <v>100</v>
      </c>
      <c r="K21" s="1678"/>
      <c r="L21" s="1273"/>
      <c r="M21" s="1261"/>
      <c r="N21" s="1261"/>
      <c r="O21" s="1261"/>
      <c r="P21" s="3753"/>
      <c r="Q21" s="816" t="str">
        <f>B21</f>
        <v>基础设施水平</v>
      </c>
      <c r="R21" s="1309" t="s">
        <v>1412</v>
      </c>
      <c r="S21" s="1310">
        <f>F21</f>
        <v>100</v>
      </c>
      <c r="T21" s="1309" t="s">
        <v>1412</v>
      </c>
      <c r="U21" s="1310">
        <f>H21</f>
        <v>100</v>
      </c>
      <c r="V21" s="1309" t="s">
        <v>1412</v>
      </c>
      <c r="W21" s="1310">
        <f>J21</f>
        <v>100</v>
      </c>
      <c r="X21" s="1303"/>
      <c r="Y21" s="3701"/>
      <c r="Z21" s="1293" t="str">
        <f>Q21</f>
        <v>基础设施水平</v>
      </c>
      <c r="AA21" s="1320">
        <f t="shared" ref="AA21" si="8">D21/F21</f>
        <v>1</v>
      </c>
      <c r="AB21" s="1320">
        <f t="shared" ref="AB21" si="9">D21/H21</f>
        <v>1</v>
      </c>
      <c r="AC21" s="1320">
        <f t="shared" ref="AC21" si="10">D21/J21</f>
        <v>1</v>
      </c>
    </row>
    <row r="22" spans="1:29" ht="15">
      <c r="A22" s="1134"/>
      <c r="B22" s="1448"/>
      <c r="C22" s="1445"/>
      <c r="D22" s="1155"/>
      <c r="E22" s="1154"/>
      <c r="F22" s="1155"/>
      <c r="G22" s="1156"/>
      <c r="H22" s="1155"/>
      <c r="I22" s="1154"/>
      <c r="J22" s="1155"/>
      <c r="K22" s="1680"/>
      <c r="L22" s="1273"/>
      <c r="M22" s="1261"/>
      <c r="N22" s="1261"/>
      <c r="O22" s="1261"/>
      <c r="P22" s="3753"/>
      <c r="Q22" s="816"/>
      <c r="R22" s="1309"/>
      <c r="S22" s="1310"/>
      <c r="T22" s="1309"/>
      <c r="U22" s="1310"/>
      <c r="V22" s="1309"/>
      <c r="W22" s="1310"/>
      <c r="X22" s="1303"/>
      <c r="Y22" s="3701"/>
      <c r="Z22" s="1293"/>
      <c r="AA22" s="1320">
        <v>1</v>
      </c>
      <c r="AB22" s="1320">
        <v>1</v>
      </c>
      <c r="AC22" s="1320">
        <v>1</v>
      </c>
    </row>
    <row r="23" spans="1:29" ht="42.75">
      <c r="A23" s="1134"/>
      <c r="B23" s="1444" t="s">
        <v>1430</v>
      </c>
      <c r="C23" s="1159" t="str">
        <f>估价对象房地状况!C9</f>
        <v>区域自然环境：；人文环境；综合评价环境状况一般</v>
      </c>
      <c r="D23" s="1157">
        <v>100</v>
      </c>
      <c r="E23" s="1275"/>
      <c r="F23" s="1157">
        <f>SUMIF(84:84,E24,85:85)-SUMIF(84:84,C24,85:85)+100</f>
        <v>100</v>
      </c>
      <c r="G23" s="1160"/>
      <c r="H23" s="1157">
        <f>SUMIF(84:84,G24,85:85)-SUMIF(84:84,C24,85:85)+100</f>
        <v>100</v>
      </c>
      <c r="I23" s="1160"/>
      <c r="J23" s="1157">
        <f>SUMIF(84:84,I24,85:85)-SUMIF(84:84,C24,85:85)+100</f>
        <v>100</v>
      </c>
      <c r="K23" s="1678"/>
      <c r="L23" s="1273"/>
      <c r="M23" s="1261"/>
      <c r="N23" s="1261"/>
      <c r="O23" s="1261"/>
      <c r="P23" s="3753"/>
      <c r="Q23" s="816" t="str">
        <f>B23</f>
        <v>自然及人文环境</v>
      </c>
      <c r="R23" s="1309" t="s">
        <v>1412</v>
      </c>
      <c r="S23" s="1310">
        <f>F23</f>
        <v>100</v>
      </c>
      <c r="T23" s="1309" t="s">
        <v>1412</v>
      </c>
      <c r="U23" s="1310">
        <f>H23</f>
        <v>100</v>
      </c>
      <c r="V23" s="1309" t="s">
        <v>1412</v>
      </c>
      <c r="W23" s="1310">
        <f>J23</f>
        <v>100</v>
      </c>
      <c r="X23" s="1303"/>
      <c r="Y23" s="3701"/>
      <c r="Z23" s="1293" t="str">
        <f>Q23</f>
        <v>自然及人文环境</v>
      </c>
      <c r="AA23" s="1320">
        <f>D23/F23</f>
        <v>1</v>
      </c>
      <c r="AB23" s="1320">
        <f>D23/H23</f>
        <v>1</v>
      </c>
      <c r="AC23" s="1320">
        <f>D23/J23</f>
        <v>1</v>
      </c>
    </row>
    <row r="24" spans="1:29" ht="15">
      <c r="A24" s="1134"/>
      <c r="B24" s="1182"/>
      <c r="C24" s="1154"/>
      <c r="D24" s="1155"/>
      <c r="E24" s="1276"/>
      <c r="F24" s="1155"/>
      <c r="G24" s="1163"/>
      <c r="H24" s="1155"/>
      <c r="I24" s="1163"/>
      <c r="J24" s="1155"/>
      <c r="K24" s="1679"/>
      <c r="L24" s="1273"/>
      <c r="M24" s="1261"/>
      <c r="N24" s="1261"/>
      <c r="O24" s="1261"/>
      <c r="P24" s="3753"/>
      <c r="Q24" s="816"/>
      <c r="R24" s="1309"/>
      <c r="S24" s="1310"/>
      <c r="T24" s="1309"/>
      <c r="U24" s="1310"/>
      <c r="V24" s="1309"/>
      <c r="W24" s="1310"/>
      <c r="X24" s="1303"/>
      <c r="Y24" s="3701"/>
      <c r="Z24" s="1293"/>
      <c r="AA24" s="1320">
        <v>1</v>
      </c>
      <c r="AB24" s="1320">
        <v>1</v>
      </c>
      <c r="AC24" s="1320">
        <v>1</v>
      </c>
    </row>
    <row r="25" spans="1:29" ht="15">
      <c r="A25" s="1134"/>
      <c r="B25" s="1131" t="s">
        <v>1962</v>
      </c>
      <c r="C25" s="1508"/>
      <c r="D25" s="1143">
        <v>100</v>
      </c>
      <c r="E25" s="1186"/>
      <c r="F25" s="1143">
        <f>SUMIF(86:86,E25,87:87)-SUMIF(86:86,C25,87:87)+100</f>
        <v>100</v>
      </c>
      <c r="G25" s="1662"/>
      <c r="H25" s="1143">
        <f>SUMIF(86:86,G25,87:87)-SUMIF(86:86,C25,87:87)+100</f>
        <v>100</v>
      </c>
      <c r="I25" s="1662"/>
      <c r="J25" s="1143">
        <f>SUMIF(86:86,I25,87:87)-SUMIF(86:86,C25,87:87)+100</f>
        <v>100</v>
      </c>
      <c r="K25" s="1676"/>
      <c r="L25" s="1273"/>
      <c r="M25" s="1261"/>
      <c r="N25" s="1261"/>
      <c r="O25" s="1261"/>
      <c r="P25" s="3753"/>
      <c r="Q25" s="816" t="str">
        <f t="shared" ref="Q25:Q46" si="11">B25</f>
        <v>楼层-1</v>
      </c>
      <c r="R25" s="1309" t="s">
        <v>1412</v>
      </c>
      <c r="S25" s="1310">
        <f t="shared" ref="S25:S46" si="12">F25</f>
        <v>100</v>
      </c>
      <c r="T25" s="1309" t="s">
        <v>1412</v>
      </c>
      <c r="U25" s="1310">
        <f t="shared" ref="U25:U46" si="13">H25</f>
        <v>100</v>
      </c>
      <c r="V25" s="1309" t="s">
        <v>1412</v>
      </c>
      <c r="W25" s="1310">
        <f t="shared" ref="W25:W46" si="14">J25</f>
        <v>100</v>
      </c>
      <c r="X25" s="1303"/>
      <c r="Y25" s="3701"/>
      <c r="Z25" s="1293" t="str">
        <f>Q25</f>
        <v>楼层-1</v>
      </c>
      <c r="AA25" s="1320">
        <f t="shared" ref="AA25:AA46" si="15">D25/F25</f>
        <v>1</v>
      </c>
      <c r="AB25" s="1320">
        <f t="shared" ref="AB25:AB46" si="16">D25/H25</f>
        <v>1</v>
      </c>
      <c r="AC25" s="1320">
        <f t="shared" ref="AC25:AC46" si="17">D25/J25</f>
        <v>1</v>
      </c>
    </row>
    <row r="26" spans="1:29" ht="15">
      <c r="A26" s="1134"/>
      <c r="B26" s="1131" t="s">
        <v>1963</v>
      </c>
      <c r="C26" s="1508"/>
      <c r="D26" s="1143">
        <v>100</v>
      </c>
      <c r="E26" s="1186"/>
      <c r="F26" s="1143">
        <f>SUMIF(88:88,E26,89:89)-SUMIF(88:88,C26,89:89)+100</f>
        <v>100</v>
      </c>
      <c r="G26" s="1662"/>
      <c r="H26" s="1143">
        <f>SUMIF(88:88,G26,89:89)-SUMIF(88:88,C26,89:89)+100</f>
        <v>100</v>
      </c>
      <c r="I26" s="1662"/>
      <c r="J26" s="1143">
        <f>SUMIF(88:88,I26,89:89)-SUMIF(88:88,C26,89:89)+100</f>
        <v>100</v>
      </c>
      <c r="K26" s="1676"/>
      <c r="L26" s="1273"/>
      <c r="M26" s="1261"/>
      <c r="N26" s="1261"/>
      <c r="O26" s="1261"/>
      <c r="P26" s="3753"/>
      <c r="Q26" s="816" t="str">
        <f t="shared" si="11"/>
        <v>朝向</v>
      </c>
      <c r="R26" s="1309" t="s">
        <v>1412</v>
      </c>
      <c r="S26" s="1310">
        <f t="shared" si="12"/>
        <v>100</v>
      </c>
      <c r="T26" s="1309" t="s">
        <v>1412</v>
      </c>
      <c r="U26" s="1310">
        <f t="shared" si="13"/>
        <v>100</v>
      </c>
      <c r="V26" s="1309" t="s">
        <v>1412</v>
      </c>
      <c r="W26" s="1310">
        <f t="shared" si="14"/>
        <v>100</v>
      </c>
      <c r="X26" s="1303"/>
      <c r="Y26" s="3701"/>
      <c r="Z26" s="1293" t="str">
        <f>Q26</f>
        <v>朝向</v>
      </c>
      <c r="AA26" s="1320">
        <f t="shared" si="15"/>
        <v>1</v>
      </c>
      <c r="AB26" s="1320">
        <f t="shared" si="16"/>
        <v>1</v>
      </c>
      <c r="AC26" s="1320">
        <f t="shared" si="17"/>
        <v>1</v>
      </c>
    </row>
    <row r="27" spans="1:29" s="1093" customFormat="1" ht="15">
      <c r="A27" s="1137"/>
      <c r="B27" s="1449">
        <v>111</v>
      </c>
      <c r="C27" s="1132"/>
      <c r="D27" s="1555">
        <v>100</v>
      </c>
      <c r="E27" s="1439"/>
      <c r="F27" s="1555">
        <f>SUMIF(90:90,E27,91:91)-SUMIF(90:90,C27,91:91)+100</f>
        <v>100</v>
      </c>
      <c r="G27" s="1440"/>
      <c r="H27" s="1555">
        <f>SUMIF(90:90,G27,91:91)-SUMIF(90:90,C27,91:91)+100</f>
        <v>100</v>
      </c>
      <c r="I27" s="1440"/>
      <c r="J27" s="1555">
        <f>SUMIF(90:90,I27,91:91)-SUMIF(90:90,C27,91:91)+100</f>
        <v>100</v>
      </c>
      <c r="K27" s="1677"/>
      <c r="L27" s="1263"/>
      <c r="M27" s="1264"/>
      <c r="N27" s="1264"/>
      <c r="O27" s="1264"/>
      <c r="P27" s="3753"/>
      <c r="Q27" s="1308">
        <f t="shared" si="11"/>
        <v>111</v>
      </c>
      <c r="R27" s="1304" t="s">
        <v>1412</v>
      </c>
      <c r="S27" s="1305">
        <f t="shared" si="12"/>
        <v>100</v>
      </c>
      <c r="T27" s="1304" t="s">
        <v>1412</v>
      </c>
      <c r="U27" s="1305">
        <f t="shared" si="13"/>
        <v>100</v>
      </c>
      <c r="V27" s="1304" t="s">
        <v>1412</v>
      </c>
      <c r="W27" s="1305">
        <f t="shared" si="14"/>
        <v>100</v>
      </c>
      <c r="X27" s="1306"/>
      <c r="Y27" s="3701"/>
      <c r="Z27" s="1319">
        <f>Q27</f>
        <v>111</v>
      </c>
      <c r="AA27" s="1320">
        <f t="shared" si="15"/>
        <v>1</v>
      </c>
      <c r="AB27" s="1320">
        <f t="shared" si="16"/>
        <v>1</v>
      </c>
      <c r="AC27" s="1320">
        <f t="shared" si="17"/>
        <v>1</v>
      </c>
    </row>
    <row r="28" spans="1:29" ht="15">
      <c r="A28" s="1134"/>
      <c r="B28" s="1449">
        <v>111</v>
      </c>
      <c r="C28" s="1142"/>
      <c r="D28" s="1143">
        <v>100</v>
      </c>
      <c r="E28" s="1142"/>
      <c r="F28" s="1143">
        <f>SUMIF(92:92,E28,93:93)-SUMIF(92:92,C28,93:93)+100</f>
        <v>100</v>
      </c>
      <c r="G28" s="1607"/>
      <c r="H28" s="1143">
        <f>SUMIF(92:92,G28,93:93)-SUMIF(92:92,C28,93:93)+100</f>
        <v>100</v>
      </c>
      <c r="I28" s="1142"/>
      <c r="J28" s="1143">
        <f>SUMIF(92:92,I28,93:93)-SUMIF(92:92,C28,93:93)+100</f>
        <v>100</v>
      </c>
      <c r="K28" s="1677"/>
      <c r="L28" s="1273"/>
      <c r="M28" s="1261"/>
      <c r="N28" s="1261"/>
      <c r="O28" s="1261"/>
      <c r="P28" s="3753"/>
      <c r="Q28" s="816">
        <f t="shared" si="11"/>
        <v>111</v>
      </c>
      <c r="R28" s="1309" t="s">
        <v>1412</v>
      </c>
      <c r="S28" s="1310">
        <f t="shared" si="12"/>
        <v>100</v>
      </c>
      <c r="T28" s="1309" t="s">
        <v>1412</v>
      </c>
      <c r="U28" s="1310">
        <f t="shared" si="13"/>
        <v>100</v>
      </c>
      <c r="V28" s="1309" t="s">
        <v>1412</v>
      </c>
      <c r="W28" s="1310">
        <f t="shared" si="14"/>
        <v>100</v>
      </c>
      <c r="X28" s="1303"/>
      <c r="Y28" s="3701"/>
      <c r="Z28" s="1293">
        <f t="shared" ref="Z28:Z46" si="18">Q28</f>
        <v>111</v>
      </c>
      <c r="AA28" s="1320">
        <f t="shared" si="15"/>
        <v>1</v>
      </c>
      <c r="AB28" s="1320">
        <f t="shared" si="16"/>
        <v>1</v>
      </c>
      <c r="AC28" s="1320">
        <f t="shared" si="17"/>
        <v>1</v>
      </c>
    </row>
    <row r="29" spans="1:29" ht="15">
      <c r="A29" s="1134"/>
      <c r="B29" s="1449">
        <v>111</v>
      </c>
      <c r="C29" s="1142"/>
      <c r="D29" s="1143">
        <v>100</v>
      </c>
      <c r="E29" s="1142"/>
      <c r="F29" s="1143">
        <f>SUMIF(94:94,E29,95:95)-SUMIF(94:94,C29,95:95)+100</f>
        <v>100</v>
      </c>
      <c r="G29" s="1607"/>
      <c r="H29" s="1143">
        <f>SUMIF(94:94,G29,95:95)-SUMIF(94:94,C29,95:95)+100</f>
        <v>100</v>
      </c>
      <c r="I29" s="1142"/>
      <c r="J29" s="1143">
        <f>SUMIF(94:94,I29,95:95)-SUMIF(94:94,C29,95:95)+100</f>
        <v>100</v>
      </c>
      <c r="K29" s="1677"/>
      <c r="L29" s="1273"/>
      <c r="M29" s="1261"/>
      <c r="N29" s="1261"/>
      <c r="O29" s="1261"/>
      <c r="P29" s="3753"/>
      <c r="Q29" s="816">
        <f t="shared" si="11"/>
        <v>111</v>
      </c>
      <c r="R29" s="1309" t="s">
        <v>1412</v>
      </c>
      <c r="S29" s="1310">
        <f t="shared" si="12"/>
        <v>100</v>
      </c>
      <c r="T29" s="1309" t="s">
        <v>1412</v>
      </c>
      <c r="U29" s="1310">
        <f t="shared" si="13"/>
        <v>100</v>
      </c>
      <c r="V29" s="1309" t="s">
        <v>1412</v>
      </c>
      <c r="W29" s="1310">
        <f t="shared" si="14"/>
        <v>100</v>
      </c>
      <c r="X29" s="1303"/>
      <c r="Y29" s="3701"/>
      <c r="Z29" s="1293">
        <f t="shared" si="18"/>
        <v>111</v>
      </c>
      <c r="AA29" s="1320">
        <f t="shared" si="15"/>
        <v>1</v>
      </c>
      <c r="AB29" s="1320">
        <f t="shared" si="16"/>
        <v>1</v>
      </c>
      <c r="AC29" s="1320">
        <f t="shared" si="17"/>
        <v>1</v>
      </c>
    </row>
    <row r="30" spans="1:29" ht="15">
      <c r="A30" s="1134"/>
      <c r="B30" s="1449">
        <v>111</v>
      </c>
      <c r="C30" s="1142"/>
      <c r="D30" s="1143">
        <v>100</v>
      </c>
      <c r="E30" s="1142"/>
      <c r="F30" s="1143">
        <f>SUMIF(96:96,E30,97:97)-SUMIF(96:96,C30,97:97)+100</f>
        <v>100</v>
      </c>
      <c r="G30" s="1607"/>
      <c r="H30" s="1143">
        <f>SUMIF(96:96,G30,97:97)-SUMIF(96:96,C30,97:97)+100</f>
        <v>100</v>
      </c>
      <c r="I30" s="1142"/>
      <c r="J30" s="1143">
        <f>SUMIF(96:96,I30,97:97)-SUMIF(96:96,C30,97:97)+100</f>
        <v>100</v>
      </c>
      <c r="K30" s="1677"/>
      <c r="L30" s="1273"/>
      <c r="M30" s="1261"/>
      <c r="N30" s="1261"/>
      <c r="O30" s="1261"/>
      <c r="P30" s="3753"/>
      <c r="Q30" s="816">
        <f t="shared" si="11"/>
        <v>111</v>
      </c>
      <c r="R30" s="1309" t="s">
        <v>1412</v>
      </c>
      <c r="S30" s="1310">
        <f t="shared" si="12"/>
        <v>100</v>
      </c>
      <c r="T30" s="1309" t="s">
        <v>1412</v>
      </c>
      <c r="U30" s="1310">
        <f t="shared" si="13"/>
        <v>100</v>
      </c>
      <c r="V30" s="1309" t="s">
        <v>1412</v>
      </c>
      <c r="W30" s="1310">
        <f t="shared" si="14"/>
        <v>100</v>
      </c>
      <c r="X30" s="1303"/>
      <c r="Y30" s="3701"/>
      <c r="Z30" s="1293">
        <f t="shared" si="18"/>
        <v>111</v>
      </c>
      <c r="AA30" s="1320">
        <f t="shared" si="15"/>
        <v>1</v>
      </c>
      <c r="AB30" s="1320">
        <f t="shared" si="16"/>
        <v>1</v>
      </c>
      <c r="AC30" s="1320">
        <f t="shared" si="17"/>
        <v>1</v>
      </c>
    </row>
    <row r="31" spans="1:29" ht="15">
      <c r="A31" s="1144"/>
      <c r="B31" s="1449">
        <v>111</v>
      </c>
      <c r="C31" s="1146"/>
      <c r="D31" s="1147">
        <v>100</v>
      </c>
      <c r="E31" s="1146"/>
      <c r="F31" s="1147">
        <f>SUMIF(98:98,E31,99:99)-SUMIF(98:98,C31,99:99)+100</f>
        <v>100</v>
      </c>
      <c r="G31" s="1611"/>
      <c r="H31" s="1147">
        <f>SUMIF(98:98,G31,99:99)-SUMIF(98:98,C31,99:99)+100</f>
        <v>100</v>
      </c>
      <c r="I31" s="1146"/>
      <c r="J31" s="1147">
        <f>SUMIF(98:98,I31,99:99)-SUMIF(98:98,C31,99:99)+100</f>
        <v>100</v>
      </c>
      <c r="K31" s="1677"/>
      <c r="L31" s="1273"/>
      <c r="M31" s="1261"/>
      <c r="N31" s="1261"/>
      <c r="O31" s="1261"/>
      <c r="P31" s="3753"/>
      <c r="Q31" s="816">
        <f t="shared" si="11"/>
        <v>111</v>
      </c>
      <c r="R31" s="1309" t="s">
        <v>1412</v>
      </c>
      <c r="S31" s="1310">
        <f t="shared" si="12"/>
        <v>100</v>
      </c>
      <c r="T31" s="1309" t="s">
        <v>1412</v>
      </c>
      <c r="U31" s="1310">
        <f t="shared" si="13"/>
        <v>100</v>
      </c>
      <c r="V31" s="1309" t="s">
        <v>1412</v>
      </c>
      <c r="W31" s="1310">
        <f t="shared" si="14"/>
        <v>100</v>
      </c>
      <c r="X31" s="1303"/>
      <c r="Y31" s="3701"/>
      <c r="Z31" s="1293">
        <f t="shared" si="18"/>
        <v>111</v>
      </c>
      <c r="AA31" s="1320">
        <f t="shared" si="15"/>
        <v>1</v>
      </c>
      <c r="AB31" s="1320">
        <f t="shared" si="16"/>
        <v>1</v>
      </c>
      <c r="AC31" s="1320">
        <f t="shared" si="17"/>
        <v>1</v>
      </c>
    </row>
    <row r="32" spans="1:29" ht="15">
      <c r="A32" s="1148" t="s">
        <v>1434</v>
      </c>
      <c r="B32" s="1127" t="s">
        <v>1964</v>
      </c>
      <c r="C32" s="1637"/>
      <c r="D32" s="1184">
        <v>100</v>
      </c>
      <c r="E32" s="1663"/>
      <c r="F32" s="1498">
        <f>SUMIF(100:100,E32,101:101)-SUMIF(100:100,C32,101:101)+100</f>
        <v>100</v>
      </c>
      <c r="G32" s="1637"/>
      <c r="H32" s="1184">
        <f>SUMIF(100:100,G32,101:101)-SUMIF(100:100,C32,101:101)+100</f>
        <v>100</v>
      </c>
      <c r="I32" s="1663"/>
      <c r="J32" s="1143">
        <f>SUMIF(100:100,I32,101:101)-SUMIF(100:100,C32,101:101)+100</f>
        <v>100</v>
      </c>
      <c r="K32" s="1676"/>
      <c r="L32" s="1273"/>
      <c r="M32" s="1261"/>
      <c r="N32" s="1261"/>
      <c r="O32" s="1261"/>
      <c r="P32" s="3754" t="s">
        <v>1436</v>
      </c>
      <c r="Q32" s="816" t="str">
        <f t="shared" si="11"/>
        <v>建筑类型</v>
      </c>
      <c r="R32" s="1309" t="s">
        <v>1412</v>
      </c>
      <c r="S32" s="1310">
        <f t="shared" si="12"/>
        <v>100</v>
      </c>
      <c r="T32" s="1309" t="s">
        <v>1412</v>
      </c>
      <c r="U32" s="1310">
        <f t="shared" si="13"/>
        <v>100</v>
      </c>
      <c r="V32" s="1309" t="s">
        <v>1412</v>
      </c>
      <c r="W32" s="1310">
        <f t="shared" si="14"/>
        <v>100</v>
      </c>
      <c r="X32" s="1303"/>
      <c r="Y32" s="3703" t="s">
        <v>1436</v>
      </c>
      <c r="Z32" s="1293" t="str">
        <f t="shared" si="18"/>
        <v>建筑类型</v>
      </c>
      <c r="AA32" s="1320">
        <f t="shared" si="15"/>
        <v>1</v>
      </c>
      <c r="AB32" s="1320">
        <f t="shared" si="16"/>
        <v>1</v>
      </c>
      <c r="AC32" s="1320">
        <f t="shared" si="17"/>
        <v>1</v>
      </c>
    </row>
    <row r="33" spans="1:29" s="1095" customFormat="1" ht="15">
      <c r="A33" s="1190"/>
      <c r="B33" s="1131" t="s">
        <v>1965</v>
      </c>
      <c r="C33" s="1492"/>
      <c r="D33" s="1133">
        <v>100</v>
      </c>
      <c r="E33" s="1136"/>
      <c r="F33" s="1491" t="e">
        <f>LOOKUP(E33,103:103,104:104)-LOOKUP(C33,103:103,104:104)+100</f>
        <v>#N/A</v>
      </c>
      <c r="G33" s="1135"/>
      <c r="H33" s="1133" t="e">
        <f>LOOKUP(G33,103:103,104:104)-LOOKUP(C33,103:103,104:104)+100</f>
        <v>#N/A</v>
      </c>
      <c r="I33" s="1136"/>
      <c r="J33" s="1133" t="e">
        <f>LOOKUP(I33,103:103,104:104)-LOOKUP(C33,103:103,104:104)+100</f>
        <v>#N/A</v>
      </c>
      <c r="K33" s="1677"/>
      <c r="L33" s="1271"/>
      <c r="M33" s="1280"/>
      <c r="N33" s="1280"/>
      <c r="O33" s="1280"/>
      <c r="P33" s="3755"/>
      <c r="Q33" s="1537" t="str">
        <f t="shared" si="11"/>
        <v>项目建筑规模</v>
      </c>
      <c r="R33" s="1311" t="s">
        <v>1412</v>
      </c>
      <c r="S33" s="1312" t="e">
        <f t="shared" si="12"/>
        <v>#N/A</v>
      </c>
      <c r="T33" s="1311" t="s">
        <v>1412</v>
      </c>
      <c r="U33" s="1312" t="e">
        <f t="shared" si="13"/>
        <v>#N/A</v>
      </c>
      <c r="V33" s="1311" t="s">
        <v>1412</v>
      </c>
      <c r="W33" s="1312" t="e">
        <f t="shared" si="14"/>
        <v>#N/A</v>
      </c>
      <c r="X33" s="1313"/>
      <c r="Y33" s="3703"/>
      <c r="Z33" s="1321" t="str">
        <f t="shared" si="18"/>
        <v>项目建筑规模</v>
      </c>
      <c r="AA33" s="1320" t="e">
        <f t="shared" si="15"/>
        <v>#N/A</v>
      </c>
      <c r="AB33" s="1320" t="e">
        <f t="shared" si="16"/>
        <v>#N/A</v>
      </c>
      <c r="AC33" s="1320" t="e">
        <f t="shared" si="17"/>
        <v>#N/A</v>
      </c>
    </row>
    <row r="34" spans="1:29" ht="15">
      <c r="A34" s="1185"/>
      <c r="B34" s="1131" t="s">
        <v>1966</v>
      </c>
      <c r="C34" s="1638"/>
      <c r="D34" s="1143">
        <v>100</v>
      </c>
      <c r="E34" s="1664"/>
      <c r="F34" s="1498">
        <f>SUMIF(105:105,E34,106:106)-SUMIF(105:105,C34,106:106)+100</f>
        <v>100</v>
      </c>
      <c r="G34" s="1638"/>
      <c r="H34" s="1143">
        <f>SUMIF(105:105,G34,106:106)-SUMIF(105:105,C34,106:106)+100</f>
        <v>100</v>
      </c>
      <c r="I34" s="1664"/>
      <c r="J34" s="1143">
        <f>SUMIF(105:105,I34,106:106)-SUMIF(105:105,C34,106:106)+100</f>
        <v>100</v>
      </c>
      <c r="K34" s="1676"/>
      <c r="L34" s="1273"/>
      <c r="M34" s="1261"/>
      <c r="N34" s="1261"/>
      <c r="O34" s="1261"/>
      <c r="P34" s="3755"/>
      <c r="Q34" s="816" t="str">
        <f t="shared" si="11"/>
        <v>建筑结构</v>
      </c>
      <c r="R34" s="1309" t="s">
        <v>1412</v>
      </c>
      <c r="S34" s="1310">
        <f t="shared" si="12"/>
        <v>100</v>
      </c>
      <c r="T34" s="1309" t="s">
        <v>1412</v>
      </c>
      <c r="U34" s="1310">
        <f t="shared" si="13"/>
        <v>100</v>
      </c>
      <c r="V34" s="1309" t="s">
        <v>1412</v>
      </c>
      <c r="W34" s="1310">
        <f t="shared" si="14"/>
        <v>100</v>
      </c>
      <c r="X34" s="1303"/>
      <c r="Y34" s="3703"/>
      <c r="Z34" s="1293" t="str">
        <f t="shared" si="18"/>
        <v>建筑结构</v>
      </c>
      <c r="AA34" s="1320">
        <f t="shared" si="15"/>
        <v>1</v>
      </c>
      <c r="AB34" s="1320">
        <f t="shared" si="16"/>
        <v>1</v>
      </c>
      <c r="AC34" s="1320">
        <f t="shared" si="17"/>
        <v>1</v>
      </c>
    </row>
    <row r="35" spans="1:29" ht="15">
      <c r="A35" s="1185"/>
      <c r="B35" s="1131" t="s">
        <v>1967</v>
      </c>
      <c r="C35" s="1186"/>
      <c r="D35" s="1143">
        <v>100</v>
      </c>
      <c r="E35" s="1662"/>
      <c r="F35" s="1498">
        <f>SUMIF(107:107,E35,108:108)-SUMIF(107:107,C35,108:108)+100</f>
        <v>100</v>
      </c>
      <c r="G35" s="1186"/>
      <c r="H35" s="1143">
        <f>SUMIF(107:107,G35,108:108)-SUMIF(107:107,C35,108:108)+100</f>
        <v>100</v>
      </c>
      <c r="I35" s="1662"/>
      <c r="J35" s="1143">
        <f>SUMIF(107:107,I35,108:108)-SUMIF(107:107,C35,108:108)+100</f>
        <v>100</v>
      </c>
      <c r="K35" s="1676"/>
      <c r="L35" s="1273"/>
      <c r="M35" s="1261"/>
      <c r="N35" s="1261"/>
      <c r="O35" s="1261"/>
      <c r="P35" s="3755"/>
      <c r="Q35" s="816" t="str">
        <f t="shared" si="11"/>
        <v>建筑品质</v>
      </c>
      <c r="R35" s="1309" t="s">
        <v>1412</v>
      </c>
      <c r="S35" s="1310">
        <f t="shared" si="12"/>
        <v>100</v>
      </c>
      <c r="T35" s="1309" t="s">
        <v>1412</v>
      </c>
      <c r="U35" s="1310">
        <f t="shared" si="13"/>
        <v>100</v>
      </c>
      <c r="V35" s="1309" t="s">
        <v>1412</v>
      </c>
      <c r="W35" s="1310">
        <f t="shared" si="14"/>
        <v>100</v>
      </c>
      <c r="X35" s="1303"/>
      <c r="Y35" s="3703"/>
      <c r="Z35" s="1293" t="str">
        <f t="shared" si="18"/>
        <v>建筑品质</v>
      </c>
      <c r="AA35" s="1320">
        <f t="shared" si="15"/>
        <v>1</v>
      </c>
      <c r="AB35" s="1320">
        <f t="shared" si="16"/>
        <v>1</v>
      </c>
      <c r="AC35" s="1320">
        <f t="shared" si="17"/>
        <v>1</v>
      </c>
    </row>
    <row r="36" spans="1:29" ht="15">
      <c r="A36" s="1185"/>
      <c r="B36" s="1131" t="s">
        <v>1441</v>
      </c>
      <c r="C36" s="1186"/>
      <c r="D36" s="1143">
        <v>100</v>
      </c>
      <c r="E36" s="1662"/>
      <c r="F36" s="1498">
        <f>SUMIF(109:109,E36,110:110)-SUMIF(109:109,C36,110:110)+100</f>
        <v>100</v>
      </c>
      <c r="G36" s="1186"/>
      <c r="H36" s="1143">
        <f>SUMIF(109:109,G36,110:110)-SUMIF(109:109,C36,110:110)+100</f>
        <v>100</v>
      </c>
      <c r="I36" s="1662"/>
      <c r="J36" s="1143">
        <f>SUMIF(109:109,I36,110:110)-SUMIF(109:109,C36,110:110)+100</f>
        <v>100</v>
      </c>
      <c r="K36" s="1676"/>
      <c r="L36" s="1273"/>
      <c r="M36" s="1261"/>
      <c r="N36" s="1261"/>
      <c r="O36" s="1261"/>
      <c r="P36" s="3755"/>
      <c r="Q36" s="816" t="str">
        <f t="shared" si="11"/>
        <v>公共部分装修</v>
      </c>
      <c r="R36" s="1309" t="s">
        <v>1412</v>
      </c>
      <c r="S36" s="1310">
        <f t="shared" si="12"/>
        <v>100</v>
      </c>
      <c r="T36" s="1309" t="s">
        <v>1412</v>
      </c>
      <c r="U36" s="1310">
        <f t="shared" si="13"/>
        <v>100</v>
      </c>
      <c r="V36" s="1309" t="s">
        <v>1412</v>
      </c>
      <c r="W36" s="1310">
        <f t="shared" si="14"/>
        <v>100</v>
      </c>
      <c r="X36" s="1303"/>
      <c r="Y36" s="3703"/>
      <c r="Z36" s="1293" t="str">
        <f t="shared" si="18"/>
        <v>公共部分装修</v>
      </c>
      <c r="AA36" s="1320">
        <f t="shared" si="15"/>
        <v>1</v>
      </c>
      <c r="AB36" s="1320">
        <f t="shared" si="16"/>
        <v>1</v>
      </c>
      <c r="AC36" s="1320">
        <f t="shared" si="17"/>
        <v>1</v>
      </c>
    </row>
    <row r="37" spans="1:29" s="1093" customFormat="1" ht="15">
      <c r="A37" s="1187"/>
      <c r="B37" s="1131" t="s">
        <v>683</v>
      </c>
      <c r="C37" s="1505"/>
      <c r="D37" s="1133">
        <v>100</v>
      </c>
      <c r="E37" s="1505"/>
      <c r="F37" s="1491" t="e">
        <f>LOOKUP(E37,112:112,113:113)-LOOKUP(C37,112:112,113:113)+100</f>
        <v>#N/A</v>
      </c>
      <c r="G37" s="1507"/>
      <c r="H37" s="1133" t="e">
        <f>LOOKUP(G37,112:112,113:113)-LOOKUP(C37,112:112,113:113)+100</f>
        <v>#N/A</v>
      </c>
      <c r="I37" s="1506"/>
      <c r="J37" s="1133" t="e">
        <f>LOOKUP(I37,112:112,113:113)-LOOKUP(C37,112:112,113:113)+100</f>
        <v>#N/A</v>
      </c>
      <c r="K37" s="1676"/>
      <c r="L37" s="1263"/>
      <c r="M37" s="1264"/>
      <c r="N37" s="1264"/>
      <c r="O37" s="1264"/>
      <c r="P37" s="3755"/>
      <c r="Q37" s="1308" t="str">
        <f t="shared" si="11"/>
        <v>成新度</v>
      </c>
      <c r="R37" s="1304" t="s">
        <v>1412</v>
      </c>
      <c r="S37" s="1305" t="e">
        <f t="shared" si="12"/>
        <v>#N/A</v>
      </c>
      <c r="T37" s="1304" t="s">
        <v>1412</v>
      </c>
      <c r="U37" s="1305" t="e">
        <f t="shared" si="13"/>
        <v>#N/A</v>
      </c>
      <c r="V37" s="1304" t="s">
        <v>1412</v>
      </c>
      <c r="W37" s="1305" t="e">
        <f t="shared" si="14"/>
        <v>#N/A</v>
      </c>
      <c r="X37" s="1306"/>
      <c r="Y37" s="3703"/>
      <c r="Z37" s="1319" t="str">
        <f t="shared" si="18"/>
        <v>成新度</v>
      </c>
      <c r="AA37" s="1318" t="e">
        <f t="shared" si="15"/>
        <v>#N/A</v>
      </c>
      <c r="AB37" s="1318" t="e">
        <f t="shared" si="16"/>
        <v>#N/A</v>
      </c>
      <c r="AC37" s="1318" t="e">
        <f t="shared" si="17"/>
        <v>#N/A</v>
      </c>
    </row>
    <row r="38" spans="1:29" ht="15">
      <c r="A38" s="1185"/>
      <c r="B38" s="1131" t="s">
        <v>1968</v>
      </c>
      <c r="C38" s="1186"/>
      <c r="D38" s="1143">
        <v>100</v>
      </c>
      <c r="E38" s="1662"/>
      <c r="F38" s="1498">
        <f>SUMIF(114:114,E38,115:115)-SUMIF(114:114,C38,115:115)+100</f>
        <v>100</v>
      </c>
      <c r="G38" s="1186"/>
      <c r="H38" s="1143">
        <f>SUMIF(114:114,G38,115:115)-SUMIF(114:114,C38,115:115)+100</f>
        <v>100</v>
      </c>
      <c r="I38" s="1662"/>
      <c r="J38" s="1143">
        <f>SUMIF(114:114,I38,115:115)-SUMIF(114:114,C38,115:115)+100</f>
        <v>100</v>
      </c>
      <c r="K38" s="1676"/>
      <c r="L38" s="1273"/>
      <c r="M38" s="1261"/>
      <c r="N38" s="1261"/>
      <c r="O38" s="1261"/>
      <c r="P38" s="3755" t="s">
        <v>1436</v>
      </c>
      <c r="Q38" s="816" t="str">
        <f t="shared" si="11"/>
        <v>物业管理</v>
      </c>
      <c r="R38" s="1309" t="s">
        <v>1412</v>
      </c>
      <c r="S38" s="1310">
        <f t="shared" si="12"/>
        <v>100</v>
      </c>
      <c r="T38" s="1309" t="s">
        <v>1412</v>
      </c>
      <c r="U38" s="1310">
        <f t="shared" si="13"/>
        <v>100</v>
      </c>
      <c r="V38" s="1309" t="s">
        <v>1412</v>
      </c>
      <c r="W38" s="1310">
        <f t="shared" si="14"/>
        <v>100</v>
      </c>
      <c r="X38" s="1303"/>
      <c r="Y38" s="3703" t="s">
        <v>1436</v>
      </c>
      <c r="Z38" s="1293" t="str">
        <f t="shared" si="18"/>
        <v>物业管理</v>
      </c>
      <c r="AA38" s="1320">
        <f t="shared" si="15"/>
        <v>1</v>
      </c>
      <c r="AB38" s="1320">
        <f t="shared" si="16"/>
        <v>1</v>
      </c>
      <c r="AC38" s="1320">
        <f t="shared" si="17"/>
        <v>1</v>
      </c>
    </row>
    <row r="39" spans="1:29" ht="15">
      <c r="A39" s="1185"/>
      <c r="B39" s="1131" t="s">
        <v>1969</v>
      </c>
      <c r="C39" s="1186"/>
      <c r="D39" s="1143">
        <v>100</v>
      </c>
      <c r="E39" s="1662"/>
      <c r="F39" s="1498">
        <f>SUMIF(116:116,E39,117:117)-SUMIF(116:116,C39,117:117)+100</f>
        <v>100</v>
      </c>
      <c r="G39" s="1186"/>
      <c r="H39" s="1143">
        <f>SUMIF(116:116,G39,117:117)-SUMIF(116:116,C39,117:117)+100</f>
        <v>100</v>
      </c>
      <c r="I39" s="1662"/>
      <c r="J39" s="1143">
        <f>SUMIF(116:116,I39,117:117)-SUMIF(116:116,C39,117:117)+100</f>
        <v>100</v>
      </c>
      <c r="K39" s="1676"/>
      <c r="L39" s="1273"/>
      <c r="M39" s="1261"/>
      <c r="N39" s="1261"/>
      <c r="O39" s="1261"/>
      <c r="P39" s="3755"/>
      <c r="Q39" s="816" t="str">
        <f t="shared" si="11"/>
        <v>市政基础设施</v>
      </c>
      <c r="R39" s="1309" t="s">
        <v>1412</v>
      </c>
      <c r="S39" s="1310">
        <f t="shared" si="12"/>
        <v>100</v>
      </c>
      <c r="T39" s="1309" t="s">
        <v>1412</v>
      </c>
      <c r="U39" s="1310">
        <f t="shared" si="13"/>
        <v>100</v>
      </c>
      <c r="V39" s="1309" t="s">
        <v>1412</v>
      </c>
      <c r="W39" s="1310">
        <f t="shared" si="14"/>
        <v>100</v>
      </c>
      <c r="X39" s="1303"/>
      <c r="Y39" s="3703"/>
      <c r="Z39" s="1293" t="str">
        <f t="shared" si="18"/>
        <v>市政基础设施</v>
      </c>
      <c r="AA39" s="1320">
        <f t="shared" si="15"/>
        <v>1</v>
      </c>
      <c r="AB39" s="1320">
        <f t="shared" si="16"/>
        <v>1</v>
      </c>
      <c r="AC39" s="1320">
        <f t="shared" si="17"/>
        <v>1</v>
      </c>
    </row>
    <row r="40" spans="1:29" ht="15">
      <c r="A40" s="1185"/>
      <c r="B40" s="1131" t="s">
        <v>1970</v>
      </c>
      <c r="C40" s="1186"/>
      <c r="D40" s="1143">
        <v>100</v>
      </c>
      <c r="E40" s="1662"/>
      <c r="F40" s="1498">
        <f>SUMIF(118:118,E40,119:119)-SUMIF(118:118,C40,119:119)+100</f>
        <v>100</v>
      </c>
      <c r="G40" s="1186"/>
      <c r="H40" s="1143">
        <f>SUMIF(118:118,G40,119:119)-SUMIF(118:118,C40,119:119)+100</f>
        <v>100</v>
      </c>
      <c r="I40" s="1662"/>
      <c r="J40" s="1143">
        <f>SUMIF(118:118,I40,119:119)-SUMIF(118:118,C40,119:119)+100</f>
        <v>100</v>
      </c>
      <c r="K40" s="1676"/>
      <c r="L40" s="1273"/>
      <c r="M40" s="1261"/>
      <c r="N40" s="1261"/>
      <c r="O40" s="1261"/>
      <c r="P40" s="3755"/>
      <c r="Q40" s="816" t="str">
        <f t="shared" si="11"/>
        <v>房型</v>
      </c>
      <c r="R40" s="1309" t="s">
        <v>1412</v>
      </c>
      <c r="S40" s="1310">
        <f t="shared" si="12"/>
        <v>100</v>
      </c>
      <c r="T40" s="1309" t="s">
        <v>1412</v>
      </c>
      <c r="U40" s="1310">
        <f t="shared" si="13"/>
        <v>100</v>
      </c>
      <c r="V40" s="1309" t="s">
        <v>1412</v>
      </c>
      <c r="W40" s="1310">
        <f t="shared" si="14"/>
        <v>100</v>
      </c>
      <c r="X40" s="1303"/>
      <c r="Y40" s="3703"/>
      <c r="Z40" s="1293" t="str">
        <f t="shared" si="18"/>
        <v>房型</v>
      </c>
      <c r="AA40" s="1320">
        <f t="shared" si="15"/>
        <v>1</v>
      </c>
      <c r="AB40" s="1320">
        <f t="shared" si="16"/>
        <v>1</v>
      </c>
      <c r="AC40" s="1320">
        <f t="shared" si="17"/>
        <v>1</v>
      </c>
    </row>
    <row r="41" spans="1:29" s="1095" customFormat="1" ht="28.5">
      <c r="A41" s="1190"/>
      <c r="B41" s="1131" t="s">
        <v>1971</v>
      </c>
      <c r="C41" s="1492"/>
      <c r="D41" s="1133">
        <v>100</v>
      </c>
      <c r="E41" s="1136"/>
      <c r="F41" s="1491">
        <f>SUMIF(120:120,E41,121:121)-SUMIF(120:120,C41,121:121)+100</f>
        <v>100</v>
      </c>
      <c r="G41" s="1135"/>
      <c r="H41" s="1133">
        <f>SUMIF(120:120,G41,121:121)-SUMIF(120:120,C41,121:121)+100</f>
        <v>100</v>
      </c>
      <c r="I41" s="1174"/>
      <c r="J41" s="1143">
        <f>SUMIF(120:120,I41,121:121)-SUMIF(120:120,C41,121:121)+100</f>
        <v>100</v>
      </c>
      <c r="K41" s="1677"/>
      <c r="L41" s="1271"/>
      <c r="M41" s="1280"/>
      <c r="N41" s="1280"/>
      <c r="O41" s="1280"/>
      <c r="P41" s="3755"/>
      <c r="Q41" s="1537" t="str">
        <f t="shared" si="11"/>
        <v>单套/主力户型建筑面积</v>
      </c>
      <c r="R41" s="1311" t="s">
        <v>1412</v>
      </c>
      <c r="S41" s="1312">
        <f t="shared" si="12"/>
        <v>100</v>
      </c>
      <c r="T41" s="1311" t="s">
        <v>1412</v>
      </c>
      <c r="U41" s="1312">
        <f t="shared" si="13"/>
        <v>100</v>
      </c>
      <c r="V41" s="1311" t="s">
        <v>1412</v>
      </c>
      <c r="W41" s="1312">
        <f t="shared" si="14"/>
        <v>100</v>
      </c>
      <c r="X41" s="1313"/>
      <c r="Y41" s="3703"/>
      <c r="Z41" s="1321" t="str">
        <f t="shared" si="18"/>
        <v>单套/主力户型建筑面积</v>
      </c>
      <c r="AA41" s="1320">
        <f t="shared" si="15"/>
        <v>1</v>
      </c>
      <c r="AB41" s="1320">
        <f t="shared" si="16"/>
        <v>1</v>
      </c>
      <c r="AC41" s="1320">
        <f t="shared" si="17"/>
        <v>1</v>
      </c>
    </row>
    <row r="42" spans="1:29" ht="15">
      <c r="A42" s="1185"/>
      <c r="B42" s="1131" t="s">
        <v>1972</v>
      </c>
      <c r="C42" s="1186"/>
      <c r="D42" s="1143">
        <v>100</v>
      </c>
      <c r="E42" s="1662"/>
      <c r="F42" s="1498">
        <f>SUMIF(122:122,E42,123:123)-SUMIF(122:122,C42,123:123)+100</f>
        <v>100</v>
      </c>
      <c r="G42" s="1186"/>
      <c r="H42" s="1143">
        <f>SUMIF(122:122,G42,123:123)-SUMIF(122:122,C42,123:123)+100</f>
        <v>100</v>
      </c>
      <c r="I42" s="1662"/>
      <c r="J42" s="1143">
        <f>SUMIF(122:122,I42,123:123)-SUMIF(122:122,C42,123:123)+100</f>
        <v>100</v>
      </c>
      <c r="K42" s="1676"/>
      <c r="L42" s="1273"/>
      <c r="M42" s="1261"/>
      <c r="N42" s="1261"/>
      <c r="O42" s="1261"/>
      <c r="P42" s="3755"/>
      <c r="Q42" s="816" t="str">
        <f t="shared" si="11"/>
        <v>内部装修</v>
      </c>
      <c r="R42" s="1309" t="s">
        <v>1412</v>
      </c>
      <c r="S42" s="1310">
        <f t="shared" si="12"/>
        <v>100</v>
      </c>
      <c r="T42" s="1309" t="s">
        <v>1412</v>
      </c>
      <c r="U42" s="1310">
        <f t="shared" si="13"/>
        <v>100</v>
      </c>
      <c r="V42" s="1309" t="s">
        <v>1412</v>
      </c>
      <c r="W42" s="1310">
        <f t="shared" si="14"/>
        <v>100</v>
      </c>
      <c r="X42" s="1303"/>
      <c r="Y42" s="3703"/>
      <c r="Z42" s="1293" t="str">
        <f t="shared" si="18"/>
        <v>内部装修</v>
      </c>
      <c r="AA42" s="1320">
        <f t="shared" si="15"/>
        <v>1</v>
      </c>
      <c r="AB42" s="1320">
        <f t="shared" si="16"/>
        <v>1</v>
      </c>
      <c r="AC42" s="1320">
        <f t="shared" si="17"/>
        <v>1</v>
      </c>
    </row>
    <row r="43" spans="1:29" ht="15">
      <c r="A43" s="1185"/>
      <c r="B43" s="1131" t="s">
        <v>1973</v>
      </c>
      <c r="C43" s="1186"/>
      <c r="D43" s="1143">
        <v>100</v>
      </c>
      <c r="E43" s="1662"/>
      <c r="F43" s="1498">
        <f>SUMIF(124:124,E43,125:125)-SUMIF(124:124,C43,125:125)+100</f>
        <v>100</v>
      </c>
      <c r="G43" s="1186"/>
      <c r="H43" s="1143">
        <f>SUMIF(124:124,G43,125:125)-SUMIF(124:124,C43,125:125)+100</f>
        <v>100</v>
      </c>
      <c r="I43" s="1662"/>
      <c r="J43" s="1143">
        <f>SUMIF(124:124,I43,125:125)-SUMIF(124:124,C43,125:125)+100</f>
        <v>100</v>
      </c>
      <c r="K43" s="1676"/>
      <c r="L43" s="1273"/>
      <c r="M43" s="1261"/>
      <c r="N43" s="1261"/>
      <c r="O43" s="1261"/>
      <c r="P43" s="3755"/>
      <c r="Q43" s="816" t="str">
        <f t="shared" si="11"/>
        <v>内部装修维护情况</v>
      </c>
      <c r="R43" s="1309" t="s">
        <v>1412</v>
      </c>
      <c r="S43" s="1310">
        <f t="shared" si="12"/>
        <v>100</v>
      </c>
      <c r="T43" s="1309" t="s">
        <v>1412</v>
      </c>
      <c r="U43" s="1310">
        <f t="shared" si="13"/>
        <v>100</v>
      </c>
      <c r="V43" s="1309" t="s">
        <v>1412</v>
      </c>
      <c r="W43" s="1310">
        <f t="shared" si="14"/>
        <v>100</v>
      </c>
      <c r="X43" s="1303"/>
      <c r="Y43" s="3703"/>
      <c r="Z43" s="1293" t="str">
        <f t="shared" si="18"/>
        <v>内部装修维护情况</v>
      </c>
      <c r="AA43" s="1320">
        <f t="shared" si="15"/>
        <v>1</v>
      </c>
      <c r="AB43" s="1320">
        <f t="shared" si="16"/>
        <v>1</v>
      </c>
      <c r="AC43" s="1320">
        <f t="shared" si="17"/>
        <v>1</v>
      </c>
    </row>
    <row r="44" spans="1:29" s="1093" customFormat="1" ht="15">
      <c r="A44" s="1187"/>
      <c r="B44" s="1449">
        <v>111</v>
      </c>
      <c r="C44" s="1492"/>
      <c r="D44" s="1133">
        <v>100</v>
      </c>
      <c r="E44" s="1492"/>
      <c r="F44" s="1491">
        <f>SUMIF(126:126,E44,127:127)-SUMIF(126:126,C44,127:127)+100</f>
        <v>100</v>
      </c>
      <c r="G44" s="1492"/>
      <c r="H44" s="1133">
        <f>SUMIF(126:126,G44,127:127)-SUMIF(126:126,C44,127:127)+100</f>
        <v>100</v>
      </c>
      <c r="I44" s="1492"/>
      <c r="J44" s="1133">
        <f>SUMIF(126:126,I44,127:127)-SUMIF(126:126,C44,127:127)+100</f>
        <v>100</v>
      </c>
      <c r="K44" s="1677"/>
      <c r="L44" s="1263"/>
      <c r="M44" s="1264"/>
      <c r="N44" s="1264"/>
      <c r="O44" s="1264"/>
      <c r="P44" s="3755"/>
      <c r="Q44" s="1308">
        <f t="shared" si="11"/>
        <v>111</v>
      </c>
      <c r="R44" s="1304" t="s">
        <v>1412</v>
      </c>
      <c r="S44" s="1305">
        <f t="shared" si="12"/>
        <v>100</v>
      </c>
      <c r="T44" s="1304" t="s">
        <v>1412</v>
      </c>
      <c r="U44" s="1305">
        <f t="shared" si="13"/>
        <v>100</v>
      </c>
      <c r="V44" s="1304" t="s">
        <v>1412</v>
      </c>
      <c r="W44" s="1305">
        <f t="shared" si="14"/>
        <v>100</v>
      </c>
      <c r="X44" s="1306"/>
      <c r="Y44" s="3703"/>
      <c r="Z44" s="1319">
        <f t="shared" si="18"/>
        <v>111</v>
      </c>
      <c r="AA44" s="1318">
        <f t="shared" si="15"/>
        <v>1</v>
      </c>
      <c r="AB44" s="1318">
        <f t="shared" si="16"/>
        <v>1</v>
      </c>
      <c r="AC44" s="1318">
        <f t="shared" si="17"/>
        <v>1</v>
      </c>
    </row>
    <row r="45" spans="1:29" ht="15">
      <c r="A45" s="1185"/>
      <c r="B45" s="1449">
        <v>111</v>
      </c>
      <c r="C45" s="1142"/>
      <c r="D45" s="1143">
        <v>100</v>
      </c>
      <c r="E45" s="1142"/>
      <c r="F45" s="1498">
        <f>SUMIF(128:128,E45,129:129)-SUMIF(128:128,C45,129:129)+100</f>
        <v>100</v>
      </c>
      <c r="G45" s="1142"/>
      <c r="H45" s="1143">
        <f>SUMIF(128:128,G45,129:129)-SUMIF(128:128,C45,129:129)+100</f>
        <v>100</v>
      </c>
      <c r="I45" s="1142"/>
      <c r="J45" s="1143">
        <f>SUMIF(128:128,I45,129:129)-SUMIF(128:128,C45,129:129)+100</f>
        <v>100</v>
      </c>
      <c r="K45" s="1677"/>
      <c r="L45" s="1273"/>
      <c r="M45" s="1261"/>
      <c r="N45" s="1261"/>
      <c r="O45" s="1261"/>
      <c r="P45" s="3755"/>
      <c r="Q45" s="816">
        <f t="shared" si="11"/>
        <v>111</v>
      </c>
      <c r="R45" s="1309" t="s">
        <v>1412</v>
      </c>
      <c r="S45" s="1310">
        <f t="shared" si="12"/>
        <v>100</v>
      </c>
      <c r="T45" s="1309" t="s">
        <v>1412</v>
      </c>
      <c r="U45" s="1310">
        <f t="shared" si="13"/>
        <v>100</v>
      </c>
      <c r="V45" s="1309" t="s">
        <v>1412</v>
      </c>
      <c r="W45" s="1310">
        <f t="shared" si="14"/>
        <v>100</v>
      </c>
      <c r="X45" s="1303"/>
      <c r="Y45" s="3703"/>
      <c r="Z45" s="1293">
        <f t="shared" si="18"/>
        <v>111</v>
      </c>
      <c r="AA45" s="1320">
        <f t="shared" si="15"/>
        <v>1</v>
      </c>
      <c r="AB45" s="1320">
        <f t="shared" si="16"/>
        <v>1</v>
      </c>
      <c r="AC45" s="1320">
        <f t="shared" si="17"/>
        <v>1</v>
      </c>
    </row>
    <row r="46" spans="1:29" ht="15">
      <c r="A46" s="1510"/>
      <c r="B46" s="1145">
        <v>111</v>
      </c>
      <c r="C46" s="1146"/>
      <c r="D46" s="1147">
        <v>100</v>
      </c>
      <c r="E46" s="1146"/>
      <c r="F46" s="1511">
        <f>SUMIF(130:130,E46,131:131)-SUMIF(130:130,C46,131:131)+100</f>
        <v>100</v>
      </c>
      <c r="G46" s="1146"/>
      <c r="H46" s="1147">
        <f>SUMIF(130:130,G46,131:131)-SUMIF(130:130,C46,131:131)+100</f>
        <v>100</v>
      </c>
      <c r="I46" s="1146"/>
      <c r="J46" s="1147">
        <f>SUMIF(130:130,I46,131:131)-SUMIF(130:130,C46,131:131)+100</f>
        <v>100</v>
      </c>
      <c r="K46" s="1677"/>
      <c r="L46" s="1273"/>
      <c r="M46" s="1261"/>
      <c r="N46" s="1261"/>
      <c r="O46" s="1261"/>
      <c r="P46" s="3756"/>
      <c r="Q46" s="816">
        <f t="shared" si="11"/>
        <v>111</v>
      </c>
      <c r="R46" s="1309" t="s">
        <v>1412</v>
      </c>
      <c r="S46" s="1310">
        <f t="shared" si="12"/>
        <v>100</v>
      </c>
      <c r="T46" s="1309" t="s">
        <v>1412</v>
      </c>
      <c r="U46" s="1310">
        <f t="shared" si="13"/>
        <v>100</v>
      </c>
      <c r="V46" s="1309" t="s">
        <v>1412</v>
      </c>
      <c r="W46" s="1310">
        <f t="shared" si="14"/>
        <v>100</v>
      </c>
      <c r="X46" s="1303"/>
      <c r="Y46" s="3757"/>
      <c r="Z46" s="1293">
        <f t="shared" si="18"/>
        <v>111</v>
      </c>
      <c r="AA46" s="1320">
        <f t="shared" si="15"/>
        <v>1</v>
      </c>
      <c r="AB46" s="1320">
        <f t="shared" si="16"/>
        <v>1</v>
      </c>
      <c r="AC46" s="1320">
        <f t="shared" si="17"/>
        <v>1</v>
      </c>
    </row>
    <row r="47" spans="1:29" ht="15">
      <c r="A47" s="1192" t="s">
        <v>1974</v>
      </c>
      <c r="B47" s="1512"/>
      <c r="C47" s="1513" t="s">
        <v>124</v>
      </c>
      <c r="D47" s="1514"/>
      <c r="E47" s="1515"/>
      <c r="F47" s="1516"/>
      <c r="G47" s="1517"/>
      <c r="H47" s="1518"/>
      <c r="I47" s="1515"/>
      <c r="J47" s="1518"/>
      <c r="K47" s="1681"/>
      <c r="L47" s="1285"/>
      <c r="M47" s="1209"/>
      <c r="N47" s="1261"/>
      <c r="O47" s="1209"/>
      <c r="P47" s="3695" t="str">
        <f>A47</f>
        <v>成交单价（元/平方米）</v>
      </c>
      <c r="Q47" s="3695"/>
      <c r="R47" s="3696">
        <f>E47</f>
        <v>0</v>
      </c>
      <c r="S47" s="3696"/>
      <c r="T47" s="3696">
        <f>G47</f>
        <v>0</v>
      </c>
      <c r="U47" s="3696"/>
      <c r="V47" s="3696">
        <f>I47</f>
        <v>0</v>
      </c>
      <c r="W47" s="3696"/>
      <c r="X47" s="1249"/>
      <c r="Y47" s="1322"/>
      <c r="Z47" s="1249"/>
      <c r="AA47" s="1249"/>
      <c r="AB47" s="1249"/>
      <c r="AC47" s="1249"/>
    </row>
    <row r="48" spans="1:29" ht="15">
      <c r="A48" s="1200" t="s">
        <v>1451</v>
      </c>
      <c r="B48" s="1519"/>
      <c r="C48" s="1520" t="e">
        <f>R49</f>
        <v>#DIV/0!</v>
      </c>
      <c r="D48" s="1203" t="s">
        <v>1452</v>
      </c>
      <c r="E48" s="1521" t="e">
        <f>R48</f>
        <v>#DIV/0!</v>
      </c>
      <c r="F48" s="1204"/>
      <c r="G48" s="1520" t="e">
        <f>T48</f>
        <v>#DIV/0!</v>
      </c>
      <c r="H48" s="1204"/>
      <c r="I48" s="1521" t="e">
        <f>V48</f>
        <v>#DIV/0!</v>
      </c>
      <c r="J48" s="1204"/>
      <c r="K48" s="1682">
        <f>F48+H48+J48</f>
        <v>0</v>
      </c>
      <c r="L48" s="1285"/>
      <c r="M48" s="1209"/>
      <c r="N48" s="1209"/>
      <c r="O48" s="1209"/>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249"/>
      <c r="Y48" s="1249"/>
      <c r="Z48" s="1249"/>
      <c r="AA48" s="1249"/>
      <c r="AB48" s="1249"/>
      <c r="AC48" s="1249"/>
    </row>
    <row r="49" spans="1:29" ht="15">
      <c r="A49" s="1206" t="s">
        <v>1975</v>
      </c>
      <c r="B49" s="1207"/>
      <c r="C49" s="1665" t="e">
        <f>R49</f>
        <v>#DIV/0!</v>
      </c>
      <c r="D49" s="1522"/>
      <c r="E49" s="1522"/>
      <c r="F49" s="1522"/>
      <c r="G49" s="1522"/>
      <c r="H49" s="1522"/>
      <c r="I49" s="1522"/>
      <c r="J49" s="1522"/>
      <c r="K49" s="1683"/>
      <c r="L49" s="1285"/>
      <c r="M49" s="1209"/>
      <c r="N49" s="1209"/>
      <c r="O49" s="1209"/>
      <c r="P49" s="3697" t="str">
        <f>A49</f>
        <v>估价对象XX用房的比较价值（楼面单价，元/平方米）</v>
      </c>
      <c r="Q49" s="3698"/>
      <c r="R49" s="3750" t="e">
        <f>IF(F1="售价",ROUND(IF(D48="简单平均",AVERAGE(R48:V48),R48*F48+T48*H48+V48*J48),0),ROUND(IF(D48="简单平均",AVERAGE(R48:V48),R48*F48+T48*H48+V48*J48),1))</f>
        <v>#DIV/0!</v>
      </c>
      <c r="S49" s="3750"/>
      <c r="T49" s="3750"/>
      <c r="U49" s="3750"/>
      <c r="V49" s="3750"/>
      <c r="W49" s="3750"/>
      <c r="X49" s="1249"/>
      <c r="Y49" s="1249"/>
      <c r="Z49" s="1249"/>
      <c r="AA49" s="1249"/>
      <c r="AB49" s="1249"/>
      <c r="AC49" s="1249"/>
    </row>
    <row r="50" spans="1:29">
      <c r="A50" s="1209"/>
      <c r="B50" s="1209"/>
      <c r="C50" s="1209"/>
      <c r="D50" s="1209"/>
      <c r="E50" s="1209"/>
      <c r="F50" s="1209"/>
      <c r="G50" s="1210"/>
      <c r="H50" s="1209"/>
      <c r="I50" s="1209"/>
      <c r="J50" s="1209"/>
      <c r="K50" s="1289"/>
      <c r="L50" s="1290"/>
      <c r="M50" s="1209"/>
      <c r="N50" s="1209"/>
      <c r="O50" s="1209"/>
    </row>
    <row r="51" spans="1:29">
      <c r="A51" s="1209"/>
      <c r="B51" s="1209"/>
      <c r="C51" s="1209"/>
      <c r="D51" s="1209"/>
      <c r="E51" s="1209"/>
      <c r="F51" s="1209"/>
      <c r="G51" s="1209"/>
      <c r="H51" s="1209"/>
      <c r="I51" s="1209"/>
      <c r="J51" s="1209"/>
      <c r="K51" s="1289"/>
      <c r="L51" s="1290"/>
      <c r="M51" s="1209"/>
      <c r="N51" s="1209"/>
      <c r="O51" s="1209"/>
    </row>
    <row r="52" spans="1:29" ht="13.5" customHeight="1">
      <c r="A52" s="1209"/>
      <c r="B52" s="1209"/>
      <c r="C52" s="1211" t="s">
        <v>1454</v>
      </c>
      <c r="D52" s="860"/>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K52" s="1289"/>
      <c r="L52" s="1290"/>
      <c r="M52" s="1209"/>
      <c r="N52" s="1209"/>
      <c r="O52" s="1209"/>
    </row>
    <row r="53" spans="1:29" ht="13.5" customHeight="1">
      <c r="A53" s="1209"/>
      <c r="B53" s="1209"/>
      <c r="C53" s="1211" t="s">
        <v>1455</v>
      </c>
      <c r="D53" s="859"/>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K53" s="1289"/>
      <c r="L53" s="1290"/>
      <c r="M53" s="1209"/>
      <c r="N53" s="1209"/>
      <c r="O53" s="1209"/>
    </row>
    <row r="54" spans="1:29" s="1096" customFormat="1" ht="13.5" customHeight="1">
      <c r="A54" s="1214"/>
      <c r="B54" s="1214"/>
      <c r="C54" s="1211" t="s">
        <v>1456</v>
      </c>
      <c r="D54" s="859"/>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91"/>
      <c r="L54" s="1292"/>
      <c r="M54" s="1214"/>
      <c r="N54" s="1214"/>
      <c r="O54" s="1214"/>
      <c r="P54" s="1684"/>
    </row>
    <row r="55" spans="1:29" s="1096" customFormat="1">
      <c r="A55" s="1214"/>
      <c r="B55" s="1215"/>
      <c r="C55" s="1523"/>
      <c r="D55" s="1214"/>
      <c r="E55" s="1214"/>
      <c r="F55" s="1214"/>
      <c r="G55" s="1214"/>
      <c r="H55" s="1214"/>
      <c r="I55" s="1214"/>
      <c r="J55" s="1214"/>
      <c r="K55" s="1291"/>
      <c r="L55" s="1292"/>
      <c r="M55" s="1214"/>
      <c r="N55" s="1214"/>
      <c r="O55" s="1214"/>
      <c r="P55" s="1684"/>
    </row>
    <row r="56" spans="1:29">
      <c r="A56" s="1209"/>
      <c r="B56" s="1215"/>
      <c r="C56" s="1523"/>
      <c r="D56" s="1209"/>
      <c r="E56" s="1209"/>
      <c r="F56" s="1209"/>
      <c r="G56" s="1209"/>
      <c r="H56" s="1209"/>
      <c r="I56" s="1209"/>
      <c r="J56" s="1209"/>
      <c r="K56" s="1289"/>
      <c r="L56" s="1290"/>
      <c r="M56" s="1209"/>
      <c r="N56" s="1209"/>
      <c r="O56" s="1209"/>
    </row>
    <row r="57" spans="1:29" ht="21">
      <c r="A57" s="1248" t="s">
        <v>1457</v>
      </c>
      <c r="B57" s="1249"/>
      <c r="C57" s="1250"/>
      <c r="D57" s="1250"/>
      <c r="E57" s="1250"/>
      <c r="F57" s="1251"/>
      <c r="G57" s="1251"/>
      <c r="H57" s="1250"/>
      <c r="I57" s="1250"/>
      <c r="J57" s="1250"/>
      <c r="K57" s="1467"/>
      <c r="L57" s="1468"/>
      <c r="M57" s="1301"/>
      <c r="N57" s="1301"/>
      <c r="O57" s="1301"/>
      <c r="P57" s="1685"/>
      <c r="Q57" s="1577"/>
    </row>
    <row r="58" spans="1:29" s="1098" customFormat="1" ht="15">
      <c r="A58" s="1524" t="s">
        <v>1410</v>
      </c>
      <c r="B58" s="1525"/>
      <c r="C58" s="1666" t="str">
        <f>YEAR(C7)&amp;"-"&amp;MONTH(C7)</f>
        <v>2025-9</v>
      </c>
      <c r="D58" s="1527">
        <f>EDATE(C58,-1)</f>
        <v>45870</v>
      </c>
      <c r="E58" s="1527">
        <f>EDATE(D58,-1)</f>
        <v>45839</v>
      </c>
      <c r="F58" s="1527">
        <f t="shared" ref="F58:O58" si="19">EDATE(E58,-1)</f>
        <v>45809</v>
      </c>
      <c r="G58" s="1527">
        <f t="shared" si="19"/>
        <v>45778</v>
      </c>
      <c r="H58" s="1527">
        <f t="shared" si="19"/>
        <v>45748</v>
      </c>
      <c r="I58" s="1527">
        <f t="shared" si="19"/>
        <v>45717</v>
      </c>
      <c r="J58" s="1527">
        <f t="shared" si="19"/>
        <v>45689</v>
      </c>
      <c r="K58" s="1527">
        <f t="shared" si="19"/>
        <v>45658</v>
      </c>
      <c r="L58" s="1527">
        <f t="shared" si="19"/>
        <v>45627</v>
      </c>
      <c r="M58" s="1527">
        <f t="shared" si="19"/>
        <v>45597</v>
      </c>
      <c r="N58" s="1527">
        <f t="shared" si="19"/>
        <v>45566</v>
      </c>
      <c r="O58" s="1527">
        <f t="shared" si="19"/>
        <v>45536</v>
      </c>
      <c r="P58" s="1686"/>
    </row>
    <row r="59" spans="1:29" s="1093" customFormat="1" ht="15">
      <c r="A59" s="1528"/>
      <c r="B59" s="1667"/>
      <c r="C59" s="1529">
        <v>100</v>
      </c>
      <c r="D59" s="1612"/>
      <c r="E59" s="1338"/>
      <c r="F59" s="1338"/>
      <c r="G59" s="1338"/>
      <c r="H59" s="1338"/>
      <c r="I59" s="1338"/>
      <c r="J59" s="1338"/>
      <c r="K59" s="1338"/>
      <c r="L59" s="1338"/>
      <c r="M59" s="1536"/>
      <c r="N59" s="1338"/>
      <c r="O59" s="1536"/>
      <c r="P59" s="1687"/>
    </row>
    <row r="60" spans="1:29" s="1093" customFormat="1" ht="15">
      <c r="A60" s="1329" t="s">
        <v>1458</v>
      </c>
      <c r="B60" s="1330"/>
      <c r="C60" s="1331"/>
      <c r="D60" s="1332"/>
      <c r="E60" s="1332"/>
      <c r="F60" s="1332"/>
      <c r="G60" s="1332"/>
      <c r="H60" s="1332"/>
      <c r="I60" s="1332"/>
      <c r="J60" s="1332"/>
      <c r="K60" s="1332"/>
      <c r="L60" s="1332"/>
      <c r="M60" s="1380"/>
      <c r="N60" s="1332"/>
      <c r="O60" s="1380"/>
      <c r="P60" s="1687"/>
      <c r="Q60" s="1577"/>
    </row>
    <row r="61" spans="1:29" s="1093" customFormat="1" ht="15">
      <c r="A61" s="1333" t="s">
        <v>1413</v>
      </c>
      <c r="B61" s="1334"/>
      <c r="C61" s="1335" t="s">
        <v>1459</v>
      </c>
      <c r="D61" s="1336"/>
      <c r="E61" s="1336"/>
      <c r="F61" s="1336"/>
      <c r="G61" s="1336"/>
      <c r="H61" s="1336"/>
      <c r="I61" s="1336"/>
      <c r="J61" s="1336"/>
      <c r="K61" s="1336"/>
      <c r="L61" s="1382"/>
      <c r="M61" s="1383"/>
      <c r="N61" s="1580"/>
      <c r="O61" s="1580"/>
      <c r="P61" s="1688"/>
      <c r="Q61" s="1577"/>
    </row>
    <row r="62" spans="1:29" s="1093" customFormat="1" ht="15">
      <c r="A62" s="1333"/>
      <c r="B62" s="1334"/>
      <c r="C62" s="1612">
        <v>100</v>
      </c>
      <c r="D62" s="1338"/>
      <c r="E62" s="1338"/>
      <c r="F62" s="1338"/>
      <c r="G62" s="1338"/>
      <c r="H62" s="1338"/>
      <c r="I62" s="1338"/>
      <c r="J62" s="1338"/>
      <c r="K62" s="1338"/>
      <c r="L62" s="1338"/>
      <c r="M62" s="1386"/>
      <c r="N62" s="1580"/>
      <c r="O62" s="1580"/>
      <c r="P62" s="1687"/>
      <c r="Q62" s="1577"/>
    </row>
    <row r="63" spans="1:29">
      <c r="A63" s="1339" t="s">
        <v>1460</v>
      </c>
      <c r="B63" s="1340" t="s">
        <v>1417</v>
      </c>
      <c r="C63" s="1362">
        <f>C9</f>
        <v>0</v>
      </c>
      <c r="D63" s="1282"/>
      <c r="E63" s="1282"/>
      <c r="F63" s="1282"/>
      <c r="G63" s="1282"/>
      <c r="H63" s="1282"/>
      <c r="I63" s="1282"/>
      <c r="J63" s="1282"/>
      <c r="K63" s="1387"/>
      <c r="L63" s="1388"/>
      <c r="M63" s="1389"/>
      <c r="N63" s="1582"/>
      <c r="O63" s="1582"/>
      <c r="P63" s="1689"/>
      <c r="Q63" s="1577"/>
    </row>
    <row r="64" spans="1:29" ht="15">
      <c r="A64" s="1341"/>
      <c r="B64" s="1342"/>
      <c r="C64" s="1343">
        <v>100</v>
      </c>
      <c r="D64" s="1343"/>
      <c r="E64" s="1343"/>
      <c r="F64" s="1343"/>
      <c r="G64" s="1343"/>
      <c r="H64" s="1343"/>
      <c r="I64" s="1343"/>
      <c r="J64" s="1343"/>
      <c r="K64" s="1343"/>
      <c r="L64" s="1343"/>
      <c r="M64" s="1392"/>
      <c r="N64" s="1584"/>
      <c r="O64" s="1584"/>
      <c r="P64" s="1689"/>
      <c r="Q64" s="1577"/>
    </row>
    <row r="65" spans="1:17" ht="27">
      <c r="A65" s="1341"/>
      <c r="B65" s="1344" t="s">
        <v>1420</v>
      </c>
      <c r="C65" s="1369"/>
      <c r="D65" s="1369"/>
      <c r="E65" s="1369"/>
      <c r="F65" s="1369"/>
      <c r="G65" s="1369"/>
      <c r="H65" s="1369"/>
      <c r="I65" s="1369"/>
      <c r="J65" s="1369"/>
      <c r="K65" s="1369"/>
      <c r="L65" s="1369"/>
      <c r="M65" s="1369"/>
      <c r="N65" s="1584"/>
      <c r="O65" s="1584"/>
      <c r="P65" s="1689"/>
      <c r="Q65" s="1577"/>
    </row>
    <row r="66" spans="1:17" ht="15">
      <c r="A66" s="1341"/>
      <c r="B66" s="1346"/>
      <c r="C66" s="1343"/>
      <c r="D66" s="1343"/>
      <c r="E66" s="1343"/>
      <c r="F66" s="1343"/>
      <c r="G66" s="1343"/>
      <c r="H66" s="1343"/>
      <c r="I66" s="1343"/>
      <c r="J66" s="1343"/>
      <c r="K66" s="1343"/>
      <c r="L66" s="1343"/>
      <c r="M66" s="1392"/>
      <c r="N66" s="1584"/>
      <c r="O66" s="1584"/>
      <c r="P66" s="1689"/>
      <c r="Q66" s="1577"/>
    </row>
    <row r="67" spans="1:17" ht="15">
      <c r="A67" s="1341"/>
      <c r="B67" s="1348" t="s">
        <v>1960</v>
      </c>
      <c r="C67" s="1349" t="str">
        <f>C68&amp;"（含）"&amp;"-"&amp;D68</f>
        <v>（含）-</v>
      </c>
      <c r="D67" s="1349" t="str">
        <f t="shared" ref="D67:L67" si="20">D68&amp;"（含）"&amp;"-"&amp;E68</f>
        <v>（含）-</v>
      </c>
      <c r="E67" s="1349" t="str">
        <f t="shared" si="20"/>
        <v>（含）-</v>
      </c>
      <c r="F67" s="1349" t="str">
        <f t="shared" si="20"/>
        <v>（含）-</v>
      </c>
      <c r="G67" s="1349" t="str">
        <f t="shared" si="20"/>
        <v>（含）-</v>
      </c>
      <c r="H67" s="1349" t="str">
        <f t="shared" si="20"/>
        <v>（含）-</v>
      </c>
      <c r="I67" s="1349" t="str">
        <f t="shared" si="20"/>
        <v>（含）-</v>
      </c>
      <c r="J67" s="1349" t="str">
        <f t="shared" si="20"/>
        <v>（含）-</v>
      </c>
      <c r="K67" s="1349" t="str">
        <f t="shared" si="20"/>
        <v>（含）-</v>
      </c>
      <c r="L67" s="1349" t="str">
        <f t="shared" si="20"/>
        <v>（含）-</v>
      </c>
      <c r="M67" s="1155" t="str">
        <f>M68&amp;"（含）"&amp;"-"&amp;P68</f>
        <v>（含）-</v>
      </c>
      <c r="N67" s="1584"/>
      <c r="O67" s="1584"/>
      <c r="P67" s="1689"/>
      <c r="Q67" s="1577"/>
    </row>
    <row r="68" spans="1:17" ht="15">
      <c r="A68" s="1341"/>
      <c r="B68" s="1350"/>
      <c r="C68" s="1140"/>
      <c r="D68" s="1140"/>
      <c r="E68" s="1140"/>
      <c r="F68" s="1140"/>
      <c r="G68" s="1140"/>
      <c r="H68" s="1140"/>
      <c r="I68" s="1140"/>
      <c r="J68" s="1140"/>
      <c r="K68" s="1398"/>
      <c r="L68" s="1399"/>
      <c r="M68" s="1400"/>
      <c r="N68" s="1582"/>
      <c r="O68" s="1582"/>
      <c r="P68" s="1689"/>
      <c r="Q68" s="1577"/>
    </row>
    <row r="69" spans="1:17" ht="15">
      <c r="A69" s="1341"/>
      <c r="B69" s="1342"/>
      <c r="C69" s="1347">
        <v>100</v>
      </c>
      <c r="D69" s="1347">
        <f t="shared" ref="D69:M69" si="21">C69-$K11</f>
        <v>100</v>
      </c>
      <c r="E69" s="1347">
        <f t="shared" si="21"/>
        <v>100</v>
      </c>
      <c r="F69" s="1347">
        <f t="shared" si="21"/>
        <v>100</v>
      </c>
      <c r="G69" s="1347">
        <f t="shared" si="21"/>
        <v>100</v>
      </c>
      <c r="H69" s="1347">
        <f t="shared" si="21"/>
        <v>100</v>
      </c>
      <c r="I69" s="1347">
        <f t="shared" si="21"/>
        <v>100</v>
      </c>
      <c r="J69" s="1347">
        <f t="shared" si="21"/>
        <v>100</v>
      </c>
      <c r="K69" s="1347">
        <f t="shared" si="21"/>
        <v>100</v>
      </c>
      <c r="L69" s="1347">
        <f t="shared" si="21"/>
        <v>100</v>
      </c>
      <c r="M69" s="1397">
        <f t="shared" si="21"/>
        <v>100</v>
      </c>
      <c r="N69" s="1584"/>
      <c r="O69" s="1584"/>
      <c r="P69" s="1689"/>
      <c r="Q69" s="1577"/>
    </row>
    <row r="70" spans="1:17" s="1095" customFormat="1" ht="15">
      <c r="A70" s="1351"/>
      <c r="B70" s="1344">
        <f>B12</f>
        <v>111</v>
      </c>
      <c r="C70" s="1352"/>
      <c r="D70" s="1352"/>
      <c r="E70" s="1352"/>
      <c r="F70" s="1352"/>
      <c r="G70" s="1352"/>
      <c r="H70" s="1353"/>
      <c r="I70" s="1353"/>
      <c r="J70" s="1353"/>
      <c r="K70" s="1353"/>
      <c r="L70" s="1401"/>
      <c r="M70" s="1402"/>
      <c r="N70" s="1585"/>
      <c r="O70" s="1585"/>
      <c r="P70" s="1693"/>
      <c r="Q70" s="1587"/>
    </row>
    <row r="71" spans="1:17" s="1095" customFormat="1" ht="15">
      <c r="A71" s="1351"/>
      <c r="B71" s="1346"/>
      <c r="C71" s="1354"/>
      <c r="D71" s="1343"/>
      <c r="E71" s="1343"/>
      <c r="F71" s="1343"/>
      <c r="G71" s="1343"/>
      <c r="H71" s="1343"/>
      <c r="I71" s="1343"/>
      <c r="J71" s="1343"/>
      <c r="K71" s="1343"/>
      <c r="L71" s="1343"/>
      <c r="M71" s="1392"/>
      <c r="N71" s="1584"/>
      <c r="O71" s="1584"/>
      <c r="P71" s="1693"/>
      <c r="Q71" s="1587"/>
    </row>
    <row r="72" spans="1:17" s="1095" customFormat="1" ht="15">
      <c r="A72" s="1351"/>
      <c r="B72" s="1344">
        <f>B13</f>
        <v>111</v>
      </c>
      <c r="C72" s="1352"/>
      <c r="D72" s="1352"/>
      <c r="E72" s="1352"/>
      <c r="F72" s="1352"/>
      <c r="G72" s="1352"/>
      <c r="H72" s="1353"/>
      <c r="I72" s="1353"/>
      <c r="J72" s="1353"/>
      <c r="K72" s="1353"/>
      <c r="L72" s="1401"/>
      <c r="M72" s="1402"/>
      <c r="N72" s="1585"/>
      <c r="O72" s="1585"/>
      <c r="P72" s="1694"/>
      <c r="Q72" s="1597"/>
    </row>
    <row r="73" spans="1:17" s="1095" customFormat="1" ht="15">
      <c r="A73" s="1351"/>
      <c r="B73" s="1346"/>
      <c r="C73" s="1354"/>
      <c r="D73" s="1354"/>
      <c r="E73" s="1354"/>
      <c r="F73" s="1354"/>
      <c r="G73" s="1354"/>
      <c r="H73" s="1355"/>
      <c r="I73" s="1355"/>
      <c r="J73" s="1355"/>
      <c r="K73" s="1355"/>
      <c r="L73" s="1355"/>
      <c r="M73" s="1405"/>
      <c r="N73" s="1585"/>
      <c r="O73" s="1585"/>
      <c r="P73" s="1693"/>
      <c r="Q73" s="1587"/>
    </row>
    <row r="74" spans="1:17" s="1095" customFormat="1" ht="15">
      <c r="A74" s="1351"/>
      <c r="B74" s="1348">
        <f>B14</f>
        <v>111</v>
      </c>
      <c r="C74" s="1352"/>
      <c r="D74" s="1352"/>
      <c r="E74" s="1352"/>
      <c r="F74" s="1352"/>
      <c r="G74" s="1336"/>
      <c r="H74" s="1356"/>
      <c r="I74" s="1356"/>
      <c r="J74" s="1356"/>
      <c r="K74" s="1356"/>
      <c r="L74" s="1406"/>
      <c r="M74" s="1407"/>
      <c r="N74" s="1585"/>
      <c r="O74" s="1585"/>
      <c r="P74" s="1695"/>
      <c r="Q74" s="1587"/>
    </row>
    <row r="75" spans="1:17" s="1095" customFormat="1" ht="15">
      <c r="A75" s="1357"/>
      <c r="B75" s="1358"/>
      <c r="C75" s="1359"/>
      <c r="D75" s="1359"/>
      <c r="E75" s="1359"/>
      <c r="F75" s="1359"/>
      <c r="G75" s="1359"/>
      <c r="H75" s="1360"/>
      <c r="I75" s="1360"/>
      <c r="J75" s="1360"/>
      <c r="K75" s="1360"/>
      <c r="L75" s="1360"/>
      <c r="M75" s="1409"/>
      <c r="N75" s="1585"/>
      <c r="O75" s="1585"/>
      <c r="P75" s="1693"/>
      <c r="Q75" s="1587"/>
    </row>
    <row r="76" spans="1:17">
      <c r="A76" s="1339" t="s">
        <v>1423</v>
      </c>
      <c r="B76" s="1340" t="s">
        <v>1961</v>
      </c>
      <c r="C76" s="1361" t="s">
        <v>1463</v>
      </c>
      <c r="D76" s="1361" t="s">
        <v>1464</v>
      </c>
      <c r="E76" s="1361" t="s">
        <v>1465</v>
      </c>
      <c r="F76" s="1361" t="s">
        <v>1466</v>
      </c>
      <c r="G76" s="1361" t="s">
        <v>1467</v>
      </c>
      <c r="H76" s="1362"/>
      <c r="I76" s="1362"/>
      <c r="J76" s="1362"/>
      <c r="K76" s="1410"/>
      <c r="L76" s="1411"/>
      <c r="M76" s="1412"/>
      <c r="N76" s="1582"/>
      <c r="O76" s="1582"/>
      <c r="P76" s="1696"/>
      <c r="Q76" s="1577"/>
    </row>
    <row r="77" spans="1:17" ht="15">
      <c r="A77" s="1341"/>
      <c r="B77" s="1346"/>
      <c r="C77" s="1347">
        <v>100</v>
      </c>
      <c r="D77" s="1347">
        <f>C77-$K15</f>
        <v>100</v>
      </c>
      <c r="E77" s="1347">
        <f>D77-$K15</f>
        <v>100</v>
      </c>
      <c r="F77" s="1347">
        <f>E77-$K15</f>
        <v>100</v>
      </c>
      <c r="G77" s="1347">
        <f>F77-$K15</f>
        <v>100</v>
      </c>
      <c r="H77" s="1347"/>
      <c r="I77" s="1347"/>
      <c r="J77" s="1347"/>
      <c r="K77" s="1347"/>
      <c r="L77" s="1347"/>
      <c r="M77" s="1397"/>
      <c r="N77" s="1584"/>
      <c r="O77" s="1584"/>
      <c r="P77" s="1689"/>
      <c r="Q77" s="1577"/>
    </row>
    <row r="78" spans="1:17" ht="15">
      <c r="A78" s="1341"/>
      <c r="B78" s="1344" t="s">
        <v>1424</v>
      </c>
      <c r="C78" s="1363" t="s">
        <v>1463</v>
      </c>
      <c r="D78" s="1363" t="s">
        <v>1464</v>
      </c>
      <c r="E78" s="1363" t="s">
        <v>1465</v>
      </c>
      <c r="F78" s="1363" t="s">
        <v>1466</v>
      </c>
      <c r="G78" s="1363" t="s">
        <v>1467</v>
      </c>
      <c r="H78" s="1345"/>
      <c r="I78" s="1345"/>
      <c r="J78" s="1345"/>
      <c r="K78" s="1394"/>
      <c r="L78" s="1395"/>
      <c r="M78" s="1396"/>
      <c r="N78" s="1582"/>
      <c r="O78" s="1582"/>
      <c r="P78" s="1689"/>
      <c r="Q78" s="1577"/>
    </row>
    <row r="79" spans="1:17" ht="15">
      <c r="A79" s="1341"/>
      <c r="B79" s="1346"/>
      <c r="C79" s="1347">
        <v>100</v>
      </c>
      <c r="D79" s="1347">
        <f>C79-$K17</f>
        <v>100</v>
      </c>
      <c r="E79" s="1347">
        <f>D79-$K17</f>
        <v>100</v>
      </c>
      <c r="F79" s="1347">
        <f>E79-$K17</f>
        <v>100</v>
      </c>
      <c r="G79" s="1347">
        <f>F79-$K17</f>
        <v>100</v>
      </c>
      <c r="H79" s="1347"/>
      <c r="I79" s="1347"/>
      <c r="J79" s="1347"/>
      <c r="K79" s="1347"/>
      <c r="L79" s="1347"/>
      <c r="M79" s="1397"/>
      <c r="N79" s="1584"/>
      <c r="O79" s="1584"/>
      <c r="P79" s="1689"/>
      <c r="Q79" s="1577"/>
    </row>
    <row r="80" spans="1:17" ht="15">
      <c r="A80" s="1341"/>
      <c r="B80" s="1344" t="s">
        <v>1427</v>
      </c>
      <c r="C80" s="1363" t="s">
        <v>1463</v>
      </c>
      <c r="D80" s="1363" t="s">
        <v>1464</v>
      </c>
      <c r="E80" s="1363" t="s">
        <v>1465</v>
      </c>
      <c r="F80" s="1363" t="s">
        <v>1466</v>
      </c>
      <c r="G80" s="1363" t="s">
        <v>1467</v>
      </c>
      <c r="H80" s="1345"/>
      <c r="I80" s="1345"/>
      <c r="J80" s="1345"/>
      <c r="K80" s="1394"/>
      <c r="L80" s="1395"/>
      <c r="M80" s="1396"/>
      <c r="N80" s="1582"/>
      <c r="O80" s="1582"/>
      <c r="P80" s="1689"/>
      <c r="Q80" s="1577"/>
    </row>
    <row r="81" spans="1:17" ht="15">
      <c r="A81" s="1341"/>
      <c r="B81" s="1346"/>
      <c r="C81" s="1347">
        <v>100</v>
      </c>
      <c r="D81" s="1347">
        <f>C81-$K19</f>
        <v>100</v>
      </c>
      <c r="E81" s="1347">
        <f>D81-$K19</f>
        <v>100</v>
      </c>
      <c r="F81" s="1347">
        <f>E81-$K19</f>
        <v>100</v>
      </c>
      <c r="G81" s="1347">
        <f>F81-$K19</f>
        <v>100</v>
      </c>
      <c r="H81" s="1347"/>
      <c r="I81" s="1347"/>
      <c r="J81" s="1347"/>
      <c r="K81" s="1347"/>
      <c r="L81" s="1347"/>
      <c r="M81" s="1397"/>
      <c r="N81" s="1584"/>
      <c r="O81" s="1584"/>
      <c r="P81" s="1689"/>
      <c r="Q81" s="1577"/>
    </row>
    <row r="82" spans="1:17" ht="15">
      <c r="A82" s="1341"/>
      <c r="B82" s="1348" t="s">
        <v>1429</v>
      </c>
      <c r="C82" s="1345" t="s">
        <v>1468</v>
      </c>
      <c r="D82" s="1345" t="s">
        <v>1469</v>
      </c>
      <c r="E82" s="1345" t="s">
        <v>1470</v>
      </c>
      <c r="F82" s="1345" t="s">
        <v>1471</v>
      </c>
      <c r="G82" s="1345" t="s">
        <v>1472</v>
      </c>
      <c r="H82" s="1345"/>
      <c r="I82" s="1345"/>
      <c r="J82" s="1345"/>
      <c r="K82" s="1345"/>
      <c r="L82" s="1345"/>
      <c r="M82" s="1541"/>
      <c r="N82" s="1584"/>
      <c r="O82" s="1584"/>
      <c r="P82" s="1689"/>
      <c r="Q82" s="1577"/>
    </row>
    <row r="83" spans="1:17" ht="15">
      <c r="A83" s="1341"/>
      <c r="B83" s="1348"/>
      <c r="C83" s="1368">
        <v>100</v>
      </c>
      <c r="D83" s="1368">
        <f>C83-$K21</f>
        <v>100</v>
      </c>
      <c r="E83" s="1368">
        <f t="shared" ref="E83:G83" si="22">D83-$K21</f>
        <v>100</v>
      </c>
      <c r="F83" s="1368">
        <f t="shared" si="22"/>
        <v>100</v>
      </c>
      <c r="G83" s="1368">
        <f t="shared" si="22"/>
        <v>100</v>
      </c>
      <c r="H83" s="1368"/>
      <c r="I83" s="1368"/>
      <c r="J83" s="1368"/>
      <c r="K83" s="1368"/>
      <c r="L83" s="1368"/>
      <c r="M83" s="1157"/>
      <c r="N83" s="1584"/>
      <c r="O83" s="1584"/>
      <c r="P83" s="1689"/>
      <c r="Q83" s="1577"/>
    </row>
    <row r="84" spans="1:17" ht="15">
      <c r="A84" s="1341"/>
      <c r="B84" s="1344" t="s">
        <v>1430</v>
      </c>
      <c r="C84" s="1363" t="s">
        <v>1463</v>
      </c>
      <c r="D84" s="1363" t="s">
        <v>1464</v>
      </c>
      <c r="E84" s="1363" t="s">
        <v>1465</v>
      </c>
      <c r="F84" s="1363" t="s">
        <v>1466</v>
      </c>
      <c r="G84" s="1363" t="s">
        <v>1467</v>
      </c>
      <c r="H84" s="1345"/>
      <c r="I84" s="1345"/>
      <c r="J84" s="1345"/>
      <c r="K84" s="1394"/>
      <c r="L84" s="1395"/>
      <c r="M84" s="1396"/>
      <c r="N84" s="1582"/>
      <c r="O84" s="1582"/>
      <c r="P84" s="1689"/>
      <c r="Q84" s="1577"/>
    </row>
    <row r="85" spans="1:17" ht="15">
      <c r="A85" s="1341"/>
      <c r="B85" s="1346"/>
      <c r="C85" s="1347">
        <v>100</v>
      </c>
      <c r="D85" s="1347">
        <f>C85-$K23</f>
        <v>100</v>
      </c>
      <c r="E85" s="1347">
        <f>D85-$K23</f>
        <v>100</v>
      </c>
      <c r="F85" s="1347">
        <f>E85-$K23</f>
        <v>100</v>
      </c>
      <c r="G85" s="1347">
        <f>F85-$K23</f>
        <v>100</v>
      </c>
      <c r="H85" s="1347"/>
      <c r="I85" s="1347"/>
      <c r="J85" s="1347"/>
      <c r="K85" s="1347"/>
      <c r="L85" s="1347"/>
      <c r="M85" s="1397"/>
      <c r="N85" s="1584"/>
      <c r="O85" s="1584"/>
      <c r="P85" s="1689"/>
      <c r="Q85" s="1577"/>
    </row>
    <row r="86" spans="1:17" s="1093" customFormat="1" ht="15">
      <c r="A86" s="1364"/>
      <c r="B86" s="1344" t="s">
        <v>1962</v>
      </c>
      <c r="C86" s="1352"/>
      <c r="D86" s="1352"/>
      <c r="E86" s="1352"/>
      <c r="F86" s="1352"/>
      <c r="G86" s="1352"/>
      <c r="H86" s="1352"/>
      <c r="I86" s="1352"/>
      <c r="J86" s="1352"/>
      <c r="K86" s="1352"/>
      <c r="L86" s="1542"/>
      <c r="M86" s="1543"/>
      <c r="N86" s="1580"/>
      <c r="O86" s="1580"/>
      <c r="P86" s="1689"/>
      <c r="Q86" s="1577"/>
    </row>
    <row r="87" spans="1:17" s="1093" customFormat="1" ht="15">
      <c r="A87" s="1364"/>
      <c r="B87" s="1346"/>
      <c r="C87" s="1365">
        <v>100</v>
      </c>
      <c r="D87" s="1347">
        <f t="shared" ref="D87:M87" si="23">$C$87-($C$86-D86)*$K$25</f>
        <v>100</v>
      </c>
      <c r="E87" s="1347">
        <f t="shared" si="23"/>
        <v>100</v>
      </c>
      <c r="F87" s="1347">
        <f t="shared" si="23"/>
        <v>100</v>
      </c>
      <c r="G87" s="1347">
        <f t="shared" si="23"/>
        <v>100</v>
      </c>
      <c r="H87" s="1347">
        <f t="shared" si="23"/>
        <v>100</v>
      </c>
      <c r="I87" s="1347">
        <f t="shared" si="23"/>
        <v>100</v>
      </c>
      <c r="J87" s="1347">
        <f t="shared" si="23"/>
        <v>100</v>
      </c>
      <c r="K87" s="1347">
        <f t="shared" si="23"/>
        <v>100</v>
      </c>
      <c r="L87" s="1347">
        <f t="shared" si="23"/>
        <v>100</v>
      </c>
      <c r="M87" s="1347">
        <f t="shared" si="23"/>
        <v>100</v>
      </c>
      <c r="N87" s="1584"/>
      <c r="O87" s="1584"/>
      <c r="P87" s="1689"/>
      <c r="Q87" s="1577"/>
    </row>
    <row r="88" spans="1:17" s="1093" customFormat="1" ht="15">
      <c r="A88" s="1364"/>
      <c r="B88" s="1344" t="s">
        <v>1963</v>
      </c>
      <c r="C88" s="1352"/>
      <c r="D88" s="1352"/>
      <c r="E88" s="1352"/>
      <c r="F88" s="1626"/>
      <c r="G88" s="1352"/>
      <c r="H88" s="1352"/>
      <c r="I88" s="1352"/>
      <c r="J88" s="1352"/>
      <c r="K88" s="1352"/>
      <c r="L88" s="1352"/>
      <c r="M88" s="1543"/>
      <c r="N88" s="1580"/>
      <c r="O88" s="1580"/>
      <c r="P88" s="1689"/>
      <c r="Q88" s="1577"/>
    </row>
    <row r="89" spans="1:17" s="1093" customFormat="1" ht="15">
      <c r="A89" s="1364"/>
      <c r="B89" s="1346"/>
      <c r="C89" s="1365">
        <v>100</v>
      </c>
      <c r="D89" s="1347">
        <f t="shared" ref="D89:M89" si="24">C89-$K26</f>
        <v>100</v>
      </c>
      <c r="E89" s="1347">
        <f t="shared" si="24"/>
        <v>100</v>
      </c>
      <c r="F89" s="1347">
        <f t="shared" si="24"/>
        <v>100</v>
      </c>
      <c r="G89" s="1347">
        <f t="shared" si="24"/>
        <v>100</v>
      </c>
      <c r="H89" s="1347">
        <f t="shared" si="24"/>
        <v>100</v>
      </c>
      <c r="I89" s="1347">
        <f t="shared" si="24"/>
        <v>100</v>
      </c>
      <c r="J89" s="1347">
        <f t="shared" si="24"/>
        <v>100</v>
      </c>
      <c r="K89" s="1347">
        <f t="shared" si="24"/>
        <v>100</v>
      </c>
      <c r="L89" s="1347">
        <f t="shared" si="24"/>
        <v>100</v>
      </c>
      <c r="M89" s="1347">
        <f t="shared" si="24"/>
        <v>100</v>
      </c>
      <c r="N89" s="1584"/>
      <c r="O89" s="1584"/>
      <c r="P89" s="1689"/>
      <c r="Q89" s="1577"/>
    </row>
    <row r="90" spans="1:17" s="1095" customFormat="1" ht="15">
      <c r="A90" s="1351"/>
      <c r="B90" s="1344">
        <f>B27</f>
        <v>111</v>
      </c>
      <c r="C90" s="1352"/>
      <c r="D90" s="1352"/>
      <c r="E90" s="1352"/>
      <c r="F90" s="1352"/>
      <c r="G90" s="1352"/>
      <c r="H90" s="1353"/>
      <c r="I90" s="1353"/>
      <c r="J90" s="1353"/>
      <c r="K90" s="1353"/>
      <c r="L90" s="1401"/>
      <c r="M90" s="1402"/>
      <c r="N90" s="1585"/>
      <c r="O90" s="1585"/>
      <c r="P90" s="1693"/>
      <c r="Q90" s="1587"/>
    </row>
    <row r="91" spans="1:17" s="1095" customFormat="1" ht="15">
      <c r="A91" s="1351"/>
      <c r="B91" s="1346"/>
      <c r="C91" s="1354"/>
      <c r="D91" s="1354"/>
      <c r="E91" s="1354"/>
      <c r="F91" s="1354"/>
      <c r="G91" s="1354"/>
      <c r="H91" s="1355"/>
      <c r="I91" s="1355"/>
      <c r="J91" s="1355"/>
      <c r="K91" s="1355"/>
      <c r="L91" s="1355"/>
      <c r="M91" s="1405"/>
      <c r="N91" s="1585"/>
      <c r="O91" s="1585"/>
      <c r="P91" s="1693"/>
      <c r="Q91" s="1587"/>
    </row>
    <row r="92" spans="1:17" ht="15">
      <c r="A92" s="1341"/>
      <c r="B92" s="1344">
        <f>B28</f>
        <v>111</v>
      </c>
      <c r="C92" s="1352"/>
      <c r="D92" s="1352"/>
      <c r="E92" s="1352"/>
      <c r="F92" s="1352"/>
      <c r="G92" s="1369"/>
      <c r="H92" s="1369"/>
      <c r="I92" s="1369"/>
      <c r="J92" s="1369"/>
      <c r="K92" s="1420"/>
      <c r="L92" s="1421"/>
      <c r="M92" s="1422"/>
      <c r="N92" s="1582"/>
      <c r="O92" s="1582"/>
      <c r="P92" s="1689"/>
      <c r="Q92" s="1577"/>
    </row>
    <row r="93" spans="1:17" ht="15">
      <c r="A93" s="1341"/>
      <c r="B93" s="1346"/>
      <c r="C93" s="1354"/>
      <c r="D93" s="1343"/>
      <c r="E93" s="1343"/>
      <c r="F93" s="1343"/>
      <c r="G93" s="1343"/>
      <c r="H93" s="1343"/>
      <c r="I93" s="1343"/>
      <c r="J93" s="1343"/>
      <c r="K93" s="1343"/>
      <c r="L93" s="1343"/>
      <c r="M93" s="1392"/>
      <c r="N93" s="1584"/>
      <c r="O93" s="1584"/>
      <c r="P93" s="1689"/>
      <c r="Q93" s="1577"/>
    </row>
    <row r="94" spans="1:17" ht="15">
      <c r="A94" s="1341"/>
      <c r="B94" s="1344">
        <f>B29</f>
        <v>111</v>
      </c>
      <c r="C94" s="1352"/>
      <c r="D94" s="1352"/>
      <c r="E94" s="1352"/>
      <c r="F94" s="1352"/>
      <c r="G94" s="1369"/>
      <c r="H94" s="1369"/>
      <c r="I94" s="1369"/>
      <c r="J94" s="1369"/>
      <c r="K94" s="1420"/>
      <c r="L94" s="1421"/>
      <c r="M94" s="1422"/>
      <c r="N94" s="1582"/>
      <c r="O94" s="1582"/>
      <c r="P94" s="1689"/>
      <c r="Q94" s="1577"/>
    </row>
    <row r="95" spans="1:17" ht="15">
      <c r="A95" s="1341"/>
      <c r="B95" s="1346"/>
      <c r="C95" s="1354"/>
      <c r="D95" s="1354"/>
      <c r="E95" s="1354"/>
      <c r="F95" s="1354"/>
      <c r="G95" s="1343"/>
      <c r="H95" s="1343"/>
      <c r="I95" s="1343"/>
      <c r="J95" s="1343"/>
      <c r="K95" s="1343"/>
      <c r="L95" s="1343"/>
      <c r="M95" s="1392"/>
      <c r="N95" s="1584"/>
      <c r="O95" s="1584"/>
      <c r="P95" s="1689"/>
      <c r="Q95" s="1577"/>
    </row>
    <row r="96" spans="1:17" ht="15">
      <c r="A96" s="1341"/>
      <c r="B96" s="1344">
        <f>B30</f>
        <v>111</v>
      </c>
      <c r="C96" s="1352"/>
      <c r="D96" s="1352"/>
      <c r="E96" s="1352"/>
      <c r="F96" s="1352"/>
      <c r="G96" s="1369"/>
      <c r="H96" s="1369"/>
      <c r="I96" s="1369"/>
      <c r="J96" s="1369"/>
      <c r="K96" s="1420"/>
      <c r="L96" s="1421"/>
      <c r="M96" s="1422"/>
      <c r="N96" s="1582"/>
      <c r="O96" s="1582"/>
      <c r="P96" s="1689"/>
      <c r="Q96" s="1577"/>
    </row>
    <row r="97" spans="1:17" ht="15">
      <c r="A97" s="1341"/>
      <c r="B97" s="1346"/>
      <c r="C97" s="1359"/>
      <c r="D97" s="1359"/>
      <c r="E97" s="1359"/>
      <c r="F97" s="1359"/>
      <c r="G97" s="1343"/>
      <c r="H97" s="1343"/>
      <c r="I97" s="1343"/>
      <c r="J97" s="1343"/>
      <c r="K97" s="1343"/>
      <c r="L97" s="1343"/>
      <c r="M97" s="1392"/>
      <c r="N97" s="1584"/>
      <c r="O97" s="1584"/>
      <c r="P97" s="1689"/>
      <c r="Q97" s="1577"/>
    </row>
    <row r="98" spans="1:17" ht="15">
      <c r="A98" s="1341"/>
      <c r="B98" s="1348">
        <f>B31</f>
        <v>111</v>
      </c>
      <c r="C98" s="1370"/>
      <c r="D98" s="1370"/>
      <c r="E98" s="1370"/>
      <c r="F98" s="1370"/>
      <c r="G98" s="1370"/>
      <c r="H98" s="1370"/>
      <c r="I98" s="1370"/>
      <c r="J98" s="1370"/>
      <c r="K98" s="1423"/>
      <c r="L98" s="1424"/>
      <c r="M98" s="1425"/>
      <c r="N98" s="1582"/>
      <c r="O98" s="1582"/>
      <c r="P98" s="1689"/>
      <c r="Q98" s="1577"/>
    </row>
    <row r="99" spans="1:17" ht="15">
      <c r="A99" s="1588"/>
      <c r="B99" s="1358"/>
      <c r="C99" s="1371"/>
      <c r="D99" s="1371"/>
      <c r="E99" s="1371"/>
      <c r="F99" s="1371"/>
      <c r="G99" s="1371"/>
      <c r="H99" s="1371"/>
      <c r="I99" s="1371"/>
      <c r="J99" s="1371"/>
      <c r="K99" s="1371"/>
      <c r="L99" s="1371"/>
      <c r="M99" s="1426"/>
      <c r="N99" s="1584"/>
      <c r="O99" s="1584"/>
      <c r="P99" s="1689"/>
      <c r="Q99" s="1577"/>
    </row>
    <row r="100" spans="1:17">
      <c r="A100" s="1339" t="s">
        <v>1434</v>
      </c>
      <c r="B100" s="1340" t="s">
        <v>1964</v>
      </c>
      <c r="C100" s="1282"/>
      <c r="D100" s="1282"/>
      <c r="E100" s="1282"/>
      <c r="F100" s="1282"/>
      <c r="G100" s="1282"/>
      <c r="H100" s="1282"/>
      <c r="I100" s="1282"/>
      <c r="J100" s="1282"/>
      <c r="K100" s="1387"/>
      <c r="L100" s="1388"/>
      <c r="M100" s="1389"/>
      <c r="N100" s="1582"/>
      <c r="O100" s="1582"/>
      <c r="P100" s="1689"/>
      <c r="Q100" s="1577"/>
    </row>
    <row r="101" spans="1:17" ht="15">
      <c r="A101" s="1341"/>
      <c r="B101" s="1346"/>
      <c r="C101" s="1347">
        <v>100</v>
      </c>
      <c r="D101" s="1347">
        <f t="shared" ref="D101:M101" si="25">C101-$K32</f>
        <v>100</v>
      </c>
      <c r="E101" s="1347">
        <f t="shared" si="25"/>
        <v>100</v>
      </c>
      <c r="F101" s="1347">
        <f t="shared" si="25"/>
        <v>100</v>
      </c>
      <c r="G101" s="1347">
        <f t="shared" si="25"/>
        <v>100</v>
      </c>
      <c r="H101" s="1347">
        <f t="shared" si="25"/>
        <v>100</v>
      </c>
      <c r="I101" s="1347">
        <f t="shared" si="25"/>
        <v>100</v>
      </c>
      <c r="J101" s="1347">
        <f t="shared" si="25"/>
        <v>100</v>
      </c>
      <c r="K101" s="1347">
        <f t="shared" si="25"/>
        <v>100</v>
      </c>
      <c r="L101" s="1347">
        <f t="shared" si="25"/>
        <v>100</v>
      </c>
      <c r="M101" s="1347">
        <f t="shared" si="25"/>
        <v>100</v>
      </c>
      <c r="N101" s="1584"/>
      <c r="O101" s="1584"/>
      <c r="P101" s="1689"/>
      <c r="Q101" s="1577"/>
    </row>
    <row r="102" spans="1:17" ht="15">
      <c r="A102" s="1341"/>
      <c r="B102" s="1344" t="s">
        <v>1965</v>
      </c>
      <c r="C102" s="1363" t="str">
        <f>C103&amp;"(含)"&amp;"-"&amp;D103</f>
        <v>(含)-</v>
      </c>
      <c r="D102" s="1363" t="str">
        <f t="shared" ref="D102:L102" si="26">D103&amp;"(含)"&amp;"-"&amp;E103</f>
        <v>(含)-</v>
      </c>
      <c r="E102" s="1363" t="str">
        <f t="shared" si="26"/>
        <v>(含)-</v>
      </c>
      <c r="F102" s="1363" t="str">
        <f t="shared" si="26"/>
        <v>(含)-</v>
      </c>
      <c r="G102" s="1363" t="str">
        <f t="shared" si="26"/>
        <v>(含)-</v>
      </c>
      <c r="H102" s="1363" t="str">
        <f t="shared" si="26"/>
        <v>(含)-</v>
      </c>
      <c r="I102" s="1363" t="str">
        <f t="shared" si="26"/>
        <v>(含)-</v>
      </c>
      <c r="J102" s="1363" t="str">
        <f t="shared" si="26"/>
        <v>(含)-</v>
      </c>
      <c r="K102" s="1363" t="str">
        <f t="shared" si="26"/>
        <v>(含)-</v>
      </c>
      <c r="L102" s="1363" t="str">
        <f t="shared" si="26"/>
        <v>(含)-</v>
      </c>
      <c r="M102" s="1363" t="str">
        <f>M103&amp;"(含)"&amp;"-"&amp;P103</f>
        <v>(含)-</v>
      </c>
      <c r="N102" s="1580"/>
      <c r="O102" s="1580"/>
      <c r="P102" s="1689"/>
      <c r="Q102" s="1577"/>
    </row>
    <row r="103" spans="1:17" s="1095" customFormat="1">
      <c r="A103" s="1372"/>
      <c r="B103" s="1373"/>
      <c r="C103" s="1328"/>
      <c r="D103" s="1328"/>
      <c r="E103" s="1328"/>
      <c r="F103" s="1328"/>
      <c r="G103" s="1328"/>
      <c r="H103" s="1328"/>
      <c r="I103" s="1328"/>
      <c r="J103" s="1427"/>
      <c r="K103" s="1427"/>
      <c r="L103" s="1428"/>
      <c r="M103" s="1429"/>
      <c r="N103" s="1585"/>
      <c r="O103" s="1585"/>
      <c r="P103" s="1693"/>
      <c r="Q103" s="1587"/>
    </row>
    <row r="104" spans="1:17" s="1095" customFormat="1" ht="15">
      <c r="A104" s="1351"/>
      <c r="B104" s="1346"/>
      <c r="C104" s="1354"/>
      <c r="D104" s="1343"/>
      <c r="E104" s="1343"/>
      <c r="F104" s="1343"/>
      <c r="G104" s="1343"/>
      <c r="H104" s="1343"/>
      <c r="I104" s="1343"/>
      <c r="J104" s="1343"/>
      <c r="K104" s="1343"/>
      <c r="L104" s="1343"/>
      <c r="M104" s="1343"/>
      <c r="N104" s="1584"/>
      <c r="O104" s="1584"/>
      <c r="P104" s="1693"/>
      <c r="Q104" s="1587"/>
    </row>
    <row r="105" spans="1:17">
      <c r="A105" s="1375"/>
      <c r="B105" s="1344" t="s">
        <v>1966</v>
      </c>
      <c r="C105" s="1352"/>
      <c r="D105" s="1352"/>
      <c r="E105" s="1369"/>
      <c r="F105" s="1369"/>
      <c r="G105" s="1369"/>
      <c r="H105" s="1369"/>
      <c r="I105" s="1369"/>
      <c r="J105" s="1369"/>
      <c r="K105" s="1420"/>
      <c r="L105" s="1421"/>
      <c r="M105" s="1422"/>
      <c r="N105" s="1582"/>
      <c r="O105" s="1582"/>
      <c r="P105" s="1689"/>
      <c r="Q105" s="1577"/>
    </row>
    <row r="106" spans="1:17" ht="15">
      <c r="A106" s="1341"/>
      <c r="B106" s="1346"/>
      <c r="C106" s="1347">
        <v>100</v>
      </c>
      <c r="D106" s="1347">
        <f t="shared" ref="D106:M106" si="27">C106-$K34</f>
        <v>100</v>
      </c>
      <c r="E106" s="1347">
        <f t="shared" si="27"/>
        <v>100</v>
      </c>
      <c r="F106" s="1347">
        <f t="shared" si="27"/>
        <v>100</v>
      </c>
      <c r="G106" s="1347">
        <f t="shared" si="27"/>
        <v>100</v>
      </c>
      <c r="H106" s="1347">
        <f t="shared" si="27"/>
        <v>100</v>
      </c>
      <c r="I106" s="1347">
        <f t="shared" si="27"/>
        <v>100</v>
      </c>
      <c r="J106" s="1347">
        <f t="shared" si="27"/>
        <v>100</v>
      </c>
      <c r="K106" s="1347">
        <f t="shared" si="27"/>
        <v>100</v>
      </c>
      <c r="L106" s="1347">
        <f t="shared" si="27"/>
        <v>100</v>
      </c>
      <c r="M106" s="1347">
        <f t="shared" si="27"/>
        <v>100</v>
      </c>
      <c r="N106" s="1584"/>
      <c r="O106" s="1584"/>
      <c r="P106" s="1689"/>
      <c r="Q106" s="1577"/>
    </row>
    <row r="107" spans="1:17">
      <c r="A107" s="1375"/>
      <c r="B107" s="1344" t="s">
        <v>1967</v>
      </c>
      <c r="C107" s="1369"/>
      <c r="D107" s="1369"/>
      <c r="E107" s="1369"/>
      <c r="F107" s="1369"/>
      <c r="G107" s="1369"/>
      <c r="H107" s="1369"/>
      <c r="I107" s="1369"/>
      <c r="J107" s="1369"/>
      <c r="K107" s="1420"/>
      <c r="L107" s="1421"/>
      <c r="M107" s="1422"/>
      <c r="N107" s="1582"/>
      <c r="O107" s="1582"/>
      <c r="P107" s="1689"/>
      <c r="Q107" s="1577"/>
    </row>
    <row r="108" spans="1:17" ht="15">
      <c r="A108" s="1341"/>
      <c r="B108" s="1346"/>
      <c r="C108" s="1347">
        <v>100</v>
      </c>
      <c r="D108" s="1347">
        <f t="shared" ref="D108:M108" si="28">C108-$K35</f>
        <v>100</v>
      </c>
      <c r="E108" s="1347">
        <f t="shared" si="28"/>
        <v>100</v>
      </c>
      <c r="F108" s="1347">
        <f t="shared" si="28"/>
        <v>100</v>
      </c>
      <c r="G108" s="1347">
        <f t="shared" si="28"/>
        <v>100</v>
      </c>
      <c r="H108" s="1347">
        <f t="shared" si="28"/>
        <v>100</v>
      </c>
      <c r="I108" s="1347">
        <f t="shared" si="28"/>
        <v>100</v>
      </c>
      <c r="J108" s="1347">
        <f t="shared" si="28"/>
        <v>100</v>
      </c>
      <c r="K108" s="1347">
        <f t="shared" si="28"/>
        <v>100</v>
      </c>
      <c r="L108" s="1347">
        <f t="shared" si="28"/>
        <v>100</v>
      </c>
      <c r="M108" s="1347">
        <f t="shared" si="28"/>
        <v>100</v>
      </c>
      <c r="N108" s="1584"/>
      <c r="O108" s="1584"/>
      <c r="P108" s="1689"/>
      <c r="Q108" s="1577"/>
    </row>
    <row r="109" spans="1:17">
      <c r="A109" s="1375"/>
      <c r="B109" s="1344" t="s">
        <v>1441</v>
      </c>
      <c r="C109" s="1352"/>
      <c r="D109" s="1352"/>
      <c r="E109" s="1352"/>
      <c r="F109" s="1369"/>
      <c r="G109" s="1369"/>
      <c r="H109" s="1369"/>
      <c r="I109" s="1369"/>
      <c r="J109" s="1369"/>
      <c r="K109" s="1420"/>
      <c r="L109" s="1421"/>
      <c r="M109" s="1422"/>
      <c r="N109" s="1582"/>
      <c r="O109" s="1582"/>
      <c r="P109" s="1689"/>
      <c r="Q109" s="1577"/>
    </row>
    <row r="110" spans="1:17" ht="15">
      <c r="A110" s="1341"/>
      <c r="B110" s="1346"/>
      <c r="C110" s="1347">
        <v>100</v>
      </c>
      <c r="D110" s="1347">
        <f t="shared" ref="D110:M110" si="29">C110-$K36</f>
        <v>100</v>
      </c>
      <c r="E110" s="1347">
        <f t="shared" si="29"/>
        <v>100</v>
      </c>
      <c r="F110" s="1347">
        <f t="shared" si="29"/>
        <v>100</v>
      </c>
      <c r="G110" s="1347">
        <f t="shared" si="29"/>
        <v>100</v>
      </c>
      <c r="H110" s="1347">
        <f t="shared" si="29"/>
        <v>100</v>
      </c>
      <c r="I110" s="1347">
        <f t="shared" si="29"/>
        <v>100</v>
      </c>
      <c r="J110" s="1347">
        <f t="shared" si="29"/>
        <v>100</v>
      </c>
      <c r="K110" s="1347">
        <f t="shared" si="29"/>
        <v>100</v>
      </c>
      <c r="L110" s="1347">
        <f t="shared" si="29"/>
        <v>100</v>
      </c>
      <c r="M110" s="1347">
        <f t="shared" si="29"/>
        <v>100</v>
      </c>
      <c r="N110" s="1584"/>
      <c r="O110" s="1584"/>
      <c r="P110" s="1689"/>
      <c r="Q110" s="1577"/>
    </row>
    <row r="111" spans="1:17" s="1095" customFormat="1">
      <c r="A111" s="1372"/>
      <c r="B111" s="1344" t="s">
        <v>683</v>
      </c>
      <c r="C111" s="1363" t="str">
        <f>C112&amp;"(含)"&amp;"-"&amp;D112</f>
        <v>0.5(含)-0.6</v>
      </c>
      <c r="D111" s="1363" t="str">
        <f>D112&amp;"(含)"&amp;"-"&amp;E112</f>
        <v>0.6(含)-0.7</v>
      </c>
      <c r="E111" s="1363" t="str">
        <f>E112&amp;"(含)"&amp;"-"&amp;F112</f>
        <v>0.7(含)-0.8</v>
      </c>
      <c r="F111" s="1363" t="str">
        <f>F112&amp;"(含)"&amp;"-"&amp;G112</f>
        <v>0.8(含)-0.9</v>
      </c>
      <c r="G111" s="1363" t="str">
        <f>G112&amp;"(含)"&amp;"-"&amp;ROUND(H112,0)&amp;"(含)"</f>
        <v>0.9(含)-1(含)</v>
      </c>
      <c r="H111" s="1363" t="str">
        <f>ROUND(H112,0)&amp;"(含)"&amp;"-"&amp;I112</f>
        <v>1(含)-</v>
      </c>
      <c r="I111" s="1363"/>
      <c r="J111" s="1366"/>
      <c r="K111" s="1366"/>
      <c r="L111" s="1416"/>
      <c r="M111" s="1417"/>
      <c r="N111" s="1585"/>
      <c r="O111" s="1585"/>
      <c r="P111" s="1693"/>
      <c r="Q111" s="1587"/>
    </row>
    <row r="112" spans="1:17" s="1095" customFormat="1">
      <c r="A112" s="1372"/>
      <c r="B112" s="1348"/>
      <c r="C112" s="992">
        <v>0.5</v>
      </c>
      <c r="D112" s="992">
        <v>0.6</v>
      </c>
      <c r="E112" s="992">
        <v>0.7</v>
      </c>
      <c r="F112" s="992">
        <v>0.8</v>
      </c>
      <c r="G112" s="992">
        <v>0.9</v>
      </c>
      <c r="H112" s="992">
        <v>1.0001</v>
      </c>
      <c r="I112" s="992"/>
      <c r="J112" s="1697"/>
      <c r="K112" s="1697"/>
      <c r="L112" s="1698"/>
      <c r="M112" s="1699"/>
      <c r="N112" s="1585"/>
      <c r="O112" s="1585"/>
      <c r="P112" s="1693"/>
      <c r="Q112" s="1587"/>
    </row>
    <row r="113" spans="1:17" s="1095" customFormat="1" ht="15">
      <c r="A113" s="1351"/>
      <c r="B113" s="1346"/>
      <c r="C113" s="1365">
        <v>100</v>
      </c>
      <c r="D113" s="1347">
        <f>C113+$K37</f>
        <v>100</v>
      </c>
      <c r="E113" s="1347">
        <f>D113+$K37</f>
        <v>100</v>
      </c>
      <c r="F113" s="1347">
        <f>E113+$K37</f>
        <v>100</v>
      </c>
      <c r="G113" s="1347">
        <f>F113+$K37</f>
        <v>100</v>
      </c>
      <c r="H113" s="1347">
        <f>G113+$K37</f>
        <v>100</v>
      </c>
      <c r="I113" s="1365"/>
      <c r="J113" s="1367"/>
      <c r="K113" s="1367"/>
      <c r="L113" s="1367"/>
      <c r="M113" s="1418"/>
      <c r="N113" s="1585"/>
      <c r="O113" s="1585"/>
      <c r="P113" s="1693"/>
      <c r="Q113" s="1587"/>
    </row>
    <row r="114" spans="1:17">
      <c r="A114" s="1375"/>
      <c r="B114" s="1344" t="s">
        <v>1968</v>
      </c>
      <c r="C114" s="1352"/>
      <c r="D114" s="1352"/>
      <c r="E114" s="1369"/>
      <c r="F114" s="1369"/>
      <c r="G114" s="1369"/>
      <c r="H114" s="1369"/>
      <c r="I114" s="1369"/>
      <c r="J114" s="1369"/>
      <c r="K114" s="1420"/>
      <c r="L114" s="1421"/>
      <c r="M114" s="1422"/>
      <c r="N114" s="1582"/>
      <c r="O114" s="1582"/>
      <c r="P114" s="1689"/>
      <c r="Q114" s="1577"/>
    </row>
    <row r="115" spans="1:17" ht="15">
      <c r="A115" s="1341"/>
      <c r="B115" s="1346"/>
      <c r="C115" s="1347">
        <v>100</v>
      </c>
      <c r="D115" s="1347">
        <f t="shared" ref="D115:M115" si="30">C115-$K38</f>
        <v>100</v>
      </c>
      <c r="E115" s="1347">
        <f t="shared" si="30"/>
        <v>100</v>
      </c>
      <c r="F115" s="1347">
        <f t="shared" si="30"/>
        <v>100</v>
      </c>
      <c r="G115" s="1347">
        <f t="shared" si="30"/>
        <v>100</v>
      </c>
      <c r="H115" s="1347">
        <f t="shared" si="30"/>
        <v>100</v>
      </c>
      <c r="I115" s="1347">
        <f t="shared" si="30"/>
        <v>100</v>
      </c>
      <c r="J115" s="1347">
        <f t="shared" si="30"/>
        <v>100</v>
      </c>
      <c r="K115" s="1347">
        <f t="shared" si="30"/>
        <v>100</v>
      </c>
      <c r="L115" s="1347">
        <f t="shared" si="30"/>
        <v>100</v>
      </c>
      <c r="M115" s="1347">
        <f t="shared" si="30"/>
        <v>100</v>
      </c>
      <c r="N115" s="1584"/>
      <c r="O115" s="1584"/>
      <c r="P115" s="1689"/>
      <c r="Q115" s="1577"/>
    </row>
    <row r="116" spans="1:17">
      <c r="A116" s="1375"/>
      <c r="B116" s="1344" t="s">
        <v>1969</v>
      </c>
      <c r="C116" s="1352"/>
      <c r="D116" s="1352"/>
      <c r="E116" s="1352"/>
      <c r="F116" s="1352"/>
      <c r="G116" s="1352"/>
      <c r="H116" s="1369"/>
      <c r="I116" s="1369"/>
      <c r="J116" s="1369"/>
      <c r="K116" s="1420"/>
      <c r="L116" s="1421"/>
      <c r="M116" s="1422"/>
      <c r="N116" s="1582"/>
      <c r="O116" s="1582"/>
      <c r="P116" s="1689"/>
      <c r="Q116" s="1577"/>
    </row>
    <row r="117" spans="1:17" ht="15">
      <c r="A117" s="1341"/>
      <c r="B117" s="1346"/>
      <c r="C117" s="1347">
        <v>100</v>
      </c>
      <c r="D117" s="1347">
        <f>C117-$K39</f>
        <v>100</v>
      </c>
      <c r="E117" s="1347">
        <f>D117-$K39</f>
        <v>100</v>
      </c>
      <c r="F117" s="1347">
        <f>E117-$K39</f>
        <v>100</v>
      </c>
      <c r="G117" s="1347">
        <f>F117-$K39</f>
        <v>100</v>
      </c>
      <c r="H117" s="1347"/>
      <c r="I117" s="1347"/>
      <c r="J117" s="1347"/>
      <c r="K117" s="1347"/>
      <c r="L117" s="1347"/>
      <c r="M117" s="1397"/>
      <c r="N117" s="1584"/>
      <c r="O117" s="1584"/>
      <c r="P117" s="1689"/>
      <c r="Q117" s="1577"/>
    </row>
    <row r="118" spans="1:17">
      <c r="A118" s="1375"/>
      <c r="B118" s="1344" t="s">
        <v>1970</v>
      </c>
      <c r="C118" s="1369"/>
      <c r="D118" s="1369"/>
      <c r="E118" s="1369"/>
      <c r="F118" s="1369"/>
      <c r="G118" s="1369"/>
      <c r="H118" s="1369"/>
      <c r="I118" s="1369"/>
      <c r="J118" s="1369"/>
      <c r="K118" s="1420"/>
      <c r="L118" s="1421"/>
      <c r="M118" s="1422"/>
      <c r="N118" s="1582"/>
      <c r="O118" s="1582"/>
      <c r="P118" s="1689"/>
      <c r="Q118" s="1577"/>
    </row>
    <row r="119" spans="1:17" ht="15">
      <c r="A119" s="1341"/>
      <c r="B119" s="1346"/>
      <c r="C119" s="1347">
        <v>100</v>
      </c>
      <c r="D119" s="1347">
        <f t="shared" ref="D119:M119" si="31">C119-$K40</f>
        <v>100</v>
      </c>
      <c r="E119" s="1347">
        <f t="shared" si="31"/>
        <v>100</v>
      </c>
      <c r="F119" s="1347">
        <f t="shared" si="31"/>
        <v>100</v>
      </c>
      <c r="G119" s="1347">
        <f t="shared" si="31"/>
        <v>100</v>
      </c>
      <c r="H119" s="1347">
        <f t="shared" si="31"/>
        <v>100</v>
      </c>
      <c r="I119" s="1347">
        <f t="shared" si="31"/>
        <v>100</v>
      </c>
      <c r="J119" s="1347">
        <f t="shared" si="31"/>
        <v>100</v>
      </c>
      <c r="K119" s="1347">
        <f t="shared" si="31"/>
        <v>100</v>
      </c>
      <c r="L119" s="1347">
        <f t="shared" si="31"/>
        <v>100</v>
      </c>
      <c r="M119" s="1347">
        <f t="shared" si="31"/>
        <v>100</v>
      </c>
      <c r="N119" s="1584"/>
      <c r="O119" s="1584"/>
      <c r="P119" s="1689"/>
      <c r="Q119" s="1577"/>
    </row>
    <row r="120" spans="1:17" s="1095" customFormat="1" ht="27.75">
      <c r="A120" s="1372"/>
      <c r="B120" s="1344" t="s">
        <v>1971</v>
      </c>
      <c r="C120" s="1352"/>
      <c r="D120" s="1352"/>
      <c r="E120" s="1352"/>
      <c r="F120" s="1352"/>
      <c r="G120" s="1352"/>
      <c r="H120" s="1352"/>
      <c r="I120" s="1352"/>
      <c r="J120" s="1352"/>
      <c r="K120" s="1352"/>
      <c r="L120" s="1542"/>
      <c r="M120" s="1543"/>
      <c r="N120" s="1585"/>
      <c r="O120" s="1585"/>
      <c r="P120" s="1693"/>
      <c r="Q120" s="1587"/>
    </row>
    <row r="121" spans="1:17" s="1095" customFormat="1" ht="15">
      <c r="A121" s="1351"/>
      <c r="B121" s="1342"/>
      <c r="C121" s="1354"/>
      <c r="D121" s="1343"/>
      <c r="E121" s="1343"/>
      <c r="F121" s="1343"/>
      <c r="G121" s="1343"/>
      <c r="H121" s="1343"/>
      <c r="I121" s="1343"/>
      <c r="J121" s="1343"/>
      <c r="K121" s="1343"/>
      <c r="L121" s="1343"/>
      <c r="M121" s="1343"/>
      <c r="N121" s="1585"/>
      <c r="O121" s="1585"/>
      <c r="P121" s="1693"/>
      <c r="Q121" s="1587"/>
    </row>
    <row r="122" spans="1:17">
      <c r="A122" s="1375"/>
      <c r="B122" s="1344" t="s">
        <v>1972</v>
      </c>
      <c r="C122" s="1352"/>
      <c r="D122" s="1352"/>
      <c r="E122" s="1352"/>
      <c r="F122" s="1369"/>
      <c r="G122" s="1369"/>
      <c r="H122" s="1369"/>
      <c r="I122" s="1369"/>
      <c r="J122" s="1369"/>
      <c r="K122" s="1420"/>
      <c r="L122" s="1421"/>
      <c r="M122" s="1422"/>
      <c r="N122" s="1582"/>
      <c r="O122" s="1582"/>
      <c r="P122" s="1689"/>
      <c r="Q122" s="1577"/>
    </row>
    <row r="123" spans="1:17" ht="15">
      <c r="A123" s="1341"/>
      <c r="B123" s="1346"/>
      <c r="C123" s="1347">
        <v>100</v>
      </c>
      <c r="D123" s="1347">
        <f t="shared" ref="D123:M123" si="32">C123-$K42</f>
        <v>100</v>
      </c>
      <c r="E123" s="1347">
        <f t="shared" si="32"/>
        <v>100</v>
      </c>
      <c r="F123" s="1347">
        <f t="shared" si="32"/>
        <v>100</v>
      </c>
      <c r="G123" s="1347">
        <f t="shared" si="32"/>
        <v>100</v>
      </c>
      <c r="H123" s="1347">
        <f t="shared" si="32"/>
        <v>100</v>
      </c>
      <c r="I123" s="1347">
        <f t="shared" si="32"/>
        <v>100</v>
      </c>
      <c r="J123" s="1347">
        <f t="shared" si="32"/>
        <v>100</v>
      </c>
      <c r="K123" s="1347">
        <f t="shared" si="32"/>
        <v>100</v>
      </c>
      <c r="L123" s="1347">
        <f t="shared" si="32"/>
        <v>100</v>
      </c>
      <c r="M123" s="1347">
        <f t="shared" si="32"/>
        <v>100</v>
      </c>
      <c r="N123" s="1584"/>
      <c r="O123" s="1584"/>
      <c r="P123" s="1689"/>
      <c r="Q123" s="1577"/>
    </row>
    <row r="124" spans="1:17">
      <c r="A124" s="1375"/>
      <c r="B124" s="1344" t="s">
        <v>1973</v>
      </c>
      <c r="C124" s="1363" t="s">
        <v>1463</v>
      </c>
      <c r="D124" s="1363" t="s">
        <v>1464</v>
      </c>
      <c r="E124" s="1363" t="s">
        <v>1465</v>
      </c>
      <c r="F124" s="1363" t="s">
        <v>1466</v>
      </c>
      <c r="G124" s="1363" t="s">
        <v>1467</v>
      </c>
      <c r="H124" s="1345"/>
      <c r="I124" s="1345"/>
      <c r="J124" s="1345"/>
      <c r="K124" s="1394"/>
      <c r="L124" s="1395"/>
      <c r="M124" s="1396"/>
      <c r="N124" s="1582"/>
      <c r="O124" s="1582"/>
      <c r="P124" s="1693"/>
      <c r="Q124" s="1577"/>
    </row>
    <row r="125" spans="1:17" ht="15">
      <c r="A125" s="1341"/>
      <c r="B125" s="1346"/>
      <c r="C125" s="1347">
        <v>100</v>
      </c>
      <c r="D125" s="1347">
        <f>C125-$K43</f>
        <v>100</v>
      </c>
      <c r="E125" s="1347">
        <f>D125-$K43</f>
        <v>100</v>
      </c>
      <c r="F125" s="1347">
        <f>E125-$K43</f>
        <v>100</v>
      </c>
      <c r="G125" s="1347">
        <f>F125-$K43</f>
        <v>100</v>
      </c>
      <c r="H125" s="1347"/>
      <c r="I125" s="1347"/>
      <c r="J125" s="1347"/>
      <c r="K125" s="1347"/>
      <c r="L125" s="1347"/>
      <c r="M125" s="1397"/>
      <c r="N125" s="1584"/>
      <c r="O125" s="1584"/>
      <c r="P125" s="1689"/>
      <c r="Q125" s="1577"/>
    </row>
    <row r="126" spans="1:17" s="1095" customFormat="1">
      <c r="A126" s="1372"/>
      <c r="B126" s="1344">
        <f>B44</f>
        <v>111</v>
      </c>
      <c r="C126" s="1352"/>
      <c r="D126" s="1352"/>
      <c r="E126" s="1352"/>
      <c r="F126" s="1352"/>
      <c r="G126" s="1352"/>
      <c r="H126" s="1353"/>
      <c r="I126" s="1353"/>
      <c r="J126" s="1353"/>
      <c r="K126" s="1353"/>
      <c r="L126" s="1401"/>
      <c r="M126" s="1402"/>
      <c r="N126" s="1585"/>
      <c r="O126" s="1585"/>
      <c r="P126" s="1693"/>
      <c r="Q126" s="1587"/>
    </row>
    <row r="127" spans="1:17" s="1095" customFormat="1" ht="15">
      <c r="A127" s="1351"/>
      <c r="B127" s="1346"/>
      <c r="C127" s="1354"/>
      <c r="D127" s="1343"/>
      <c r="E127" s="1343"/>
      <c r="F127" s="1343"/>
      <c r="G127" s="1354"/>
      <c r="H127" s="1355"/>
      <c r="I127" s="1355"/>
      <c r="J127" s="1355"/>
      <c r="K127" s="1355"/>
      <c r="L127" s="1355"/>
      <c r="M127" s="1405"/>
      <c r="N127" s="1585"/>
      <c r="O127" s="1585"/>
      <c r="P127" s="1693"/>
      <c r="Q127" s="1587"/>
    </row>
    <row r="128" spans="1:17">
      <c r="A128" s="1375"/>
      <c r="B128" s="1344">
        <f>B45</f>
        <v>111</v>
      </c>
      <c r="C128" s="1352"/>
      <c r="D128" s="1352"/>
      <c r="E128" s="1352"/>
      <c r="F128" s="1352"/>
      <c r="G128" s="1369"/>
      <c r="H128" s="1369"/>
      <c r="I128" s="1369"/>
      <c r="J128" s="1369"/>
      <c r="K128" s="1420"/>
      <c r="L128" s="1421"/>
      <c r="M128" s="1422"/>
      <c r="N128" s="1582"/>
      <c r="O128" s="1582"/>
      <c r="P128" s="1689"/>
      <c r="Q128" s="1577"/>
    </row>
    <row r="129" spans="1:17" ht="15">
      <c r="A129" s="1341"/>
      <c r="B129" s="1346"/>
      <c r="C129" s="1354"/>
      <c r="D129" s="1354"/>
      <c r="E129" s="1354"/>
      <c r="F129" s="1354"/>
      <c r="G129" s="1343"/>
      <c r="H129" s="1343"/>
      <c r="I129" s="1343"/>
      <c r="J129" s="1343"/>
      <c r="K129" s="1343"/>
      <c r="L129" s="1343"/>
      <c r="M129" s="1392"/>
      <c r="N129" s="1584"/>
      <c r="O129" s="1584"/>
      <c r="P129" s="1689"/>
      <c r="Q129" s="1577"/>
    </row>
    <row r="130" spans="1:17">
      <c r="A130" s="1375"/>
      <c r="B130" s="1348">
        <f>B46</f>
        <v>111</v>
      </c>
      <c r="C130" s="1352"/>
      <c r="D130" s="1352"/>
      <c r="E130" s="1352"/>
      <c r="F130" s="1352"/>
      <c r="G130" s="1370"/>
      <c r="H130" s="1370"/>
      <c r="I130" s="1370"/>
      <c r="J130" s="1370"/>
      <c r="K130" s="1336"/>
      <c r="L130" s="1382"/>
      <c r="M130" s="1425"/>
      <c r="N130" s="1582"/>
      <c r="O130" s="1582"/>
      <c r="P130" s="1689"/>
      <c r="Q130" s="1577"/>
    </row>
    <row r="131" spans="1:17" ht="15">
      <c r="A131" s="1588"/>
      <c r="B131" s="1358"/>
      <c r="C131" s="1359"/>
      <c r="D131" s="1359"/>
      <c r="E131" s="1359"/>
      <c r="F131" s="1359"/>
      <c r="G131" s="1371"/>
      <c r="H131" s="1371"/>
      <c r="I131" s="1371"/>
      <c r="J131" s="1371"/>
      <c r="K131" s="1371"/>
      <c r="L131" s="1371"/>
      <c r="M131" s="1426"/>
      <c r="N131" s="1584"/>
      <c r="O131" s="1584"/>
      <c r="P131" s="1689"/>
      <c r="Q131" s="1577"/>
    </row>
    <row r="136" spans="1:17">
      <c r="B136" s="1700" t="s">
        <v>1976</v>
      </c>
    </row>
    <row r="137" spans="1:17" ht="15">
      <c r="B137" s="1701" t="s">
        <v>1977</v>
      </c>
      <c r="C137" s="1702"/>
      <c r="D137" s="1702"/>
      <c r="E137" s="1702"/>
      <c r="F137" s="1702"/>
      <c r="G137" s="1703"/>
      <c r="H137" s="1704"/>
      <c r="I137" s="1727" t="s">
        <v>1978</v>
      </c>
      <c r="J137" s="1702"/>
      <c r="K137" s="1728"/>
    </row>
    <row r="138" spans="1:17" ht="15">
      <c r="B138" s="1705"/>
      <c r="C138" s="1706" t="s">
        <v>1979</v>
      </c>
      <c r="D138" s="1706" t="s">
        <v>1980</v>
      </c>
      <c r="E138" s="1707" t="s">
        <v>1981</v>
      </c>
      <c r="F138" s="1708" t="s">
        <v>1982</v>
      </c>
      <c r="G138" s="1706" t="s">
        <v>1980</v>
      </c>
      <c r="H138" s="1709" t="s">
        <v>1981</v>
      </c>
      <c r="I138" s="1729"/>
      <c r="J138" s="1706" t="s">
        <v>1983</v>
      </c>
      <c r="K138" s="1709" t="s">
        <v>1984</v>
      </c>
    </row>
    <row r="139" spans="1:17" ht="15">
      <c r="B139" s="1710">
        <v>6</v>
      </c>
      <c r="C139" s="1711">
        <v>96</v>
      </c>
      <c r="D139" s="1712" t="s">
        <v>1985</v>
      </c>
      <c r="E139" s="1713">
        <v>100</v>
      </c>
      <c r="F139" s="1714">
        <v>102.5</v>
      </c>
      <c r="G139" s="1712" t="s">
        <v>1985</v>
      </c>
      <c r="H139" s="1715">
        <v>105</v>
      </c>
      <c r="I139" s="1730" t="s">
        <v>1986</v>
      </c>
      <c r="J139" s="1711">
        <v>20</v>
      </c>
      <c r="K139" s="1731">
        <f>C145/(J139-2)</f>
        <v>4.0555555555555596E-3</v>
      </c>
    </row>
    <row r="140" spans="1:17" ht="15">
      <c r="B140" s="1716">
        <v>5</v>
      </c>
      <c r="C140" s="1717">
        <v>100</v>
      </c>
      <c r="D140" s="1717"/>
      <c r="E140" s="1718"/>
      <c r="F140" s="1719">
        <v>102</v>
      </c>
      <c r="G140" s="1717"/>
      <c r="H140" s="1720"/>
      <c r="I140" s="1732" t="s">
        <v>1987</v>
      </c>
      <c r="J140" s="463">
        <f>ROUNDUP((J139-1)/2,0)</f>
        <v>10</v>
      </c>
      <c r="K140" s="1733">
        <v>100</v>
      </c>
    </row>
    <row r="141" spans="1:17" ht="15">
      <c r="B141" s="1716">
        <v>4</v>
      </c>
      <c r="C141" s="1717">
        <v>102</v>
      </c>
      <c r="D141" s="1717"/>
      <c r="E141" s="1718"/>
      <c r="F141" s="1719">
        <v>101.5</v>
      </c>
      <c r="G141" s="1717"/>
      <c r="H141" s="1720"/>
      <c r="I141" s="1732" t="s">
        <v>1988</v>
      </c>
      <c r="J141" s="463">
        <v>1</v>
      </c>
      <c r="K141" s="1734">
        <f>ROUND(100+(J141-J140)*K139*100,1)</f>
        <v>96.4</v>
      </c>
    </row>
    <row r="142" spans="1:17" ht="15">
      <c r="B142" s="1716">
        <v>3</v>
      </c>
      <c r="C142" s="1717">
        <v>103</v>
      </c>
      <c r="D142" s="1717"/>
      <c r="E142" s="1718"/>
      <c r="F142" s="1719">
        <v>101</v>
      </c>
      <c r="G142" s="1717"/>
      <c r="H142" s="1720"/>
      <c r="I142" s="1732" t="s">
        <v>1989</v>
      </c>
      <c r="J142" s="463">
        <f>J139</f>
        <v>20</v>
      </c>
      <c r="K142" s="1735">
        <v>95</v>
      </c>
    </row>
    <row r="143" spans="1:17" ht="15">
      <c r="B143" s="1716">
        <v>2</v>
      </c>
      <c r="C143" s="1717">
        <v>100</v>
      </c>
      <c r="D143" s="1717"/>
      <c r="E143" s="1718"/>
      <c r="F143" s="1719">
        <v>100.5</v>
      </c>
      <c r="G143" s="1717"/>
      <c r="H143" s="1720"/>
      <c r="I143" s="1732" t="s">
        <v>1990</v>
      </c>
      <c r="J143" s="1717">
        <v>15</v>
      </c>
      <c r="K143" s="1734">
        <f>ROUND(100+(J143-J140)*K139*100,1)</f>
        <v>102</v>
      </c>
    </row>
    <row r="144" spans="1:17" ht="15">
      <c r="B144" s="1716">
        <v>1</v>
      </c>
      <c r="C144" s="1717">
        <v>98</v>
      </c>
      <c r="D144" s="1721" t="s">
        <v>1991</v>
      </c>
      <c r="E144" s="1718">
        <v>102</v>
      </c>
      <c r="F144" s="1722">
        <v>100</v>
      </c>
      <c r="G144" s="1721" t="s">
        <v>1991</v>
      </c>
      <c r="H144" s="1720">
        <v>105</v>
      </c>
      <c r="I144" s="1732" t="s">
        <v>1990</v>
      </c>
      <c r="J144" s="1717">
        <v>18</v>
      </c>
      <c r="K144" s="1734">
        <f>ROUND(100+(J144-J140)*K139*100,1)</f>
        <v>103.2</v>
      </c>
    </row>
    <row r="145" spans="2:11" ht="15">
      <c r="B145" s="1723" t="s">
        <v>1992</v>
      </c>
      <c r="C145" s="1724">
        <f>ROUND(MAX(C139:C144)/MIN(C139:C144)-1,3)</f>
        <v>7.2999999999999995E-2</v>
      </c>
      <c r="D145" s="1725"/>
      <c r="E145" s="1725"/>
      <c r="F145" s="1726" t="s">
        <v>1993</v>
      </c>
      <c r="G145" s="1621"/>
      <c r="H145" s="1625"/>
      <c r="I145" s="1736" t="s">
        <v>1990</v>
      </c>
      <c r="J145" s="1737">
        <v>8</v>
      </c>
      <c r="K145" s="1738">
        <f>ROUND(100+(J145-J140)*K139*100,1)</f>
        <v>99.2</v>
      </c>
    </row>
    <row r="147" spans="2:11">
      <c r="B147" s="1700" t="s">
        <v>1994</v>
      </c>
    </row>
    <row r="148" spans="2:11">
      <c r="B148" s="1700" t="s">
        <v>1995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F54">
    <cfRule type="containsText" dxfId="131" priority="16" stopIfTrue="1" operator="containsText" text="超过">
      <formula>NOT(ISERROR(SEARCH("超过",F54)))</formula>
    </cfRule>
  </conditionalFormatting>
  <conditionalFormatting sqref="G54">
    <cfRule type="expression" dxfId="130" priority="12" stopIfTrue="1">
      <formula>$H$54="超过30%"</formula>
    </cfRule>
  </conditionalFormatting>
  <conditionalFormatting sqref="H54">
    <cfRule type="containsText" dxfId="129" priority="17"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18"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J52">
    <cfRule type="containsText" dxfId="125" priority="19" stopIfTrue="1" operator="containsText" text="超过">
      <formula>NOT(ISERROR(SEARCH("超过",F52)))</formula>
    </cfRule>
  </conditionalFormatting>
  <conditionalFormatting sqref="F53 H53 J53">
    <cfRule type="containsText" dxfId="12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9" customWidth="1"/>
    <col min="2" max="2" width="15.75" style="1099" customWidth="1"/>
    <col min="3" max="3" width="15.12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4.5" style="1099" customWidth="1"/>
    <col min="10" max="10" width="12.25" style="1099" customWidth="1"/>
    <col min="11" max="11" width="12.25" style="1100" customWidth="1"/>
    <col min="12" max="12" width="12.25" style="1101" customWidth="1"/>
    <col min="13" max="15" width="12.25" style="1099" customWidth="1"/>
    <col min="16" max="16" width="4.75" style="1634"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471" customFormat="1" ht="28.5" customHeight="1">
      <c r="A1" s="1472" t="s">
        <v>1955</v>
      </c>
      <c r="B1" s="1635" t="s">
        <v>1996</v>
      </c>
      <c r="C1" s="1532" t="s">
        <v>1388</v>
      </c>
      <c r="D1" s="1475"/>
      <c r="E1" s="1636"/>
      <c r="F1" s="1477"/>
      <c r="G1" s="1478" t="s">
        <v>1391</v>
      </c>
      <c r="H1" s="1479"/>
      <c r="I1" s="1479"/>
      <c r="J1" s="1479"/>
      <c r="K1" s="1530"/>
      <c r="L1" s="1531"/>
      <c r="M1" s="1532"/>
      <c r="N1" s="1532"/>
      <c r="O1" s="1532"/>
      <c r="P1" s="1641"/>
      <c r="Q1" s="1650"/>
      <c r="R1" s="1650"/>
      <c r="S1" s="1650"/>
      <c r="T1" s="1650"/>
      <c r="U1" s="1650"/>
      <c r="V1" s="1650"/>
      <c r="W1" s="1650"/>
      <c r="X1" s="1650"/>
      <c r="Y1" s="1650"/>
      <c r="Z1" s="1650"/>
      <c r="AA1" s="1650"/>
      <c r="AB1" s="1650"/>
      <c r="AC1" s="1651"/>
    </row>
    <row r="2" spans="1:29" s="1092" customFormat="1" ht="28.5" customHeight="1">
      <c r="A2" s="1480" t="s">
        <v>1392</v>
      </c>
      <c r="B2" s="1481" t="b">
        <f>IF(E1="项目模式",IF(C2="——",ROUND(C49*D3/10000,0),ROUND(C49*D3/10000,0)-D2),IF(E1="单套模式",IF(C2="——",ROUND(C49*D3/10000,4),ROUND(C49*D3/10000,4)-D2)))</f>
        <v>0</v>
      </c>
      <c r="C2" s="1482"/>
      <c r="D2" s="1600" t="e">
        <f ca="1">IF(E1="项目模式",SUMIF(INDIRECT("'"&amp;F2&amp;"'"&amp;"!A:A"),"承租人权益价值",INDIRECT("'"&amp;F2&amp;"'"&amp;"!c:c")),SUMIF(INDIRECT("'"&amp;F2&amp;"'"&amp;"!A:A"),"承租人权益价值（单套）",INDIRECT("'"&amp;F2&amp;"'"&amp;"!c:c")))</f>
        <v>#REF!</v>
      </c>
      <c r="E2" s="1483" t="s">
        <v>1393</v>
      </c>
      <c r="F2" s="1484"/>
      <c r="G2" s="1108"/>
      <c r="H2" s="1108"/>
      <c r="I2" s="1108"/>
      <c r="J2" s="1108"/>
      <c r="K2" s="1108"/>
      <c r="L2" s="1257"/>
      <c r="M2" s="1258"/>
      <c r="N2" s="1258"/>
      <c r="O2" s="1258"/>
      <c r="P2" s="1642"/>
      <c r="Q2" s="1558"/>
      <c r="R2" s="1558"/>
      <c r="S2" s="1558"/>
      <c r="T2" s="1558"/>
      <c r="U2" s="1558"/>
      <c r="V2" s="1558"/>
      <c r="W2" s="1558"/>
      <c r="X2" s="1558"/>
      <c r="Y2" s="1558"/>
      <c r="Z2" s="1558"/>
      <c r="AA2" s="1558"/>
      <c r="AB2" s="1558"/>
      <c r="AC2" s="1652"/>
    </row>
    <row r="3" spans="1:29" s="1092" customFormat="1" ht="28.5" customHeight="1">
      <c r="A3" s="389" t="s">
        <v>1394</v>
      </c>
      <c r="B3" s="1110">
        <f>IF(C2="——",C49,ROUND(B2*10000/D3,0))</f>
        <v>0</v>
      </c>
      <c r="C3" s="1485" t="s">
        <v>1395</v>
      </c>
      <c r="D3" s="1486">
        <f>IF(D1="",'数据-汇总表'!E3,SUMIF('数据-汇总表'!$C19:$C33,D1,'数据-汇总表'!$E19:$E33))</f>
        <v>30.6</v>
      </c>
      <c r="E3" s="1601"/>
      <c r="F3" s="1109"/>
      <c r="G3" s="1108"/>
      <c r="H3" s="1108"/>
      <c r="I3" s="1108"/>
      <c r="J3" s="1108"/>
      <c r="K3" s="1256"/>
      <c r="L3" s="1257"/>
      <c r="M3" s="1258"/>
      <c r="N3" s="1258"/>
      <c r="O3" s="1258"/>
      <c r="P3" s="1642"/>
      <c r="Q3" s="1558"/>
      <c r="R3" s="1558"/>
      <c r="S3" s="1558"/>
      <c r="T3" s="1558"/>
      <c r="U3" s="1558"/>
      <c r="V3" s="1558"/>
      <c r="W3" s="1558"/>
      <c r="X3" s="1558"/>
      <c r="Y3" s="1558"/>
      <c r="Z3" s="1558"/>
      <c r="AA3" s="1558"/>
      <c r="AB3" s="1558"/>
      <c r="AC3" s="1601"/>
    </row>
    <row r="4" spans="1:29" ht="15">
      <c r="A4" s="1112" t="s">
        <v>1397</v>
      </c>
      <c r="B4" s="1113"/>
      <c r="C4" s="3679" t="s">
        <v>1398</v>
      </c>
      <c r="D4" s="3680"/>
      <c r="E4" s="3681" t="s">
        <v>1399</v>
      </c>
      <c r="F4" s="3682"/>
      <c r="G4" s="3679" t="s">
        <v>1400</v>
      </c>
      <c r="H4" s="3680"/>
      <c r="I4" s="3679" t="s">
        <v>1401</v>
      </c>
      <c r="J4" s="3680"/>
      <c r="K4" s="1259" t="s">
        <v>1402</v>
      </c>
      <c r="L4" s="1260"/>
      <c r="M4" s="1261"/>
      <c r="N4" s="1261"/>
      <c r="O4" s="1261"/>
      <c r="P4" s="3707" t="s">
        <v>1403</v>
      </c>
      <c r="Q4" s="3708"/>
      <c r="R4" s="3713" t="s">
        <v>1399</v>
      </c>
      <c r="S4" s="3714"/>
      <c r="T4" s="3713" t="s">
        <v>1400</v>
      </c>
      <c r="U4" s="3714"/>
      <c r="V4" s="3719" t="s">
        <v>1401</v>
      </c>
      <c r="W4" s="3719"/>
      <c r="X4" s="1303"/>
      <c r="Y4" s="3713" t="s">
        <v>1403</v>
      </c>
      <c r="Z4" s="3714"/>
      <c r="AA4" s="3704" t="s">
        <v>1399</v>
      </c>
      <c r="AB4" s="3719" t="s">
        <v>1400</v>
      </c>
      <c r="AC4" s="3704" t="s">
        <v>1401</v>
      </c>
    </row>
    <row r="5" spans="1:29" ht="15">
      <c r="A5" s="1114"/>
      <c r="B5" s="1115"/>
      <c r="C5" s="3683" t="s">
        <v>1404</v>
      </c>
      <c r="D5" s="3684"/>
      <c r="E5" s="3749" t="s">
        <v>1957</v>
      </c>
      <c r="F5" s="3686"/>
      <c r="G5" s="3683" t="s">
        <v>1958</v>
      </c>
      <c r="H5" s="3684"/>
      <c r="I5" s="3683" t="s">
        <v>1959</v>
      </c>
      <c r="J5" s="3684"/>
      <c r="K5" s="1259"/>
      <c r="L5" s="1260"/>
      <c r="M5" s="1261"/>
      <c r="N5" s="1261"/>
      <c r="O5" s="1261"/>
      <c r="P5" s="3709"/>
      <c r="Q5" s="3710"/>
      <c r="R5" s="3715"/>
      <c r="S5" s="3716"/>
      <c r="T5" s="3715"/>
      <c r="U5" s="3716"/>
      <c r="V5" s="3719"/>
      <c r="W5" s="3719"/>
      <c r="X5" s="1303"/>
      <c r="Y5" s="3715"/>
      <c r="Z5" s="3716"/>
      <c r="AA5" s="3705"/>
      <c r="AB5" s="3719"/>
      <c r="AC5" s="3705"/>
    </row>
    <row r="6" spans="1:29" ht="15">
      <c r="A6" s="1116"/>
      <c r="B6" s="1117"/>
      <c r="C6" s="3688" t="s">
        <v>1408</v>
      </c>
      <c r="D6" s="3689"/>
      <c r="E6" s="3690" t="s">
        <v>1408</v>
      </c>
      <c r="F6" s="3691"/>
      <c r="G6" s="3688" t="s">
        <v>1408</v>
      </c>
      <c r="H6" s="3689"/>
      <c r="I6" s="3688" t="s">
        <v>1408</v>
      </c>
      <c r="J6" s="3689"/>
      <c r="K6" s="1259" t="s">
        <v>1409</v>
      </c>
      <c r="L6" s="1260"/>
      <c r="M6" s="1261"/>
      <c r="N6" s="1261"/>
      <c r="O6" s="1261"/>
      <c r="P6" s="3711"/>
      <c r="Q6" s="3712"/>
      <c r="R6" s="3715"/>
      <c r="S6" s="3716"/>
      <c r="T6" s="3717"/>
      <c r="U6" s="3718"/>
      <c r="V6" s="3719"/>
      <c r="W6" s="3719"/>
      <c r="X6" s="1303"/>
      <c r="Y6" s="3717"/>
      <c r="Z6" s="3718"/>
      <c r="AA6" s="3706"/>
      <c r="AB6" s="3719"/>
      <c r="AC6" s="3706"/>
    </row>
    <row r="7" spans="1:29" s="1093" customFormat="1" ht="15">
      <c r="A7" s="1118" t="s">
        <v>1410</v>
      </c>
      <c r="B7" s="1119"/>
      <c r="C7" s="1120">
        <f>'数据-取费表'!B2</f>
        <v>45911</v>
      </c>
      <c r="D7" s="1121">
        <v>100</v>
      </c>
      <c r="E7" s="1122"/>
      <c r="F7" s="1123">
        <f>SUMIF(58:58,YEAR(E7)&amp;"-"&amp;MONTH(E7),59:59)</f>
        <v>0</v>
      </c>
      <c r="G7" s="1122"/>
      <c r="H7" s="1121">
        <f>SUMIF(58:58,YEAR(G7)&amp;"-"&amp;MONTH(G7),59:59)</f>
        <v>0</v>
      </c>
      <c r="I7" s="1122"/>
      <c r="J7" s="1121">
        <f>SUMIF(58:58,YEAR(I7)&amp;"-"&amp;MONTH(I7),59:59)</f>
        <v>0</v>
      </c>
      <c r="K7" s="1262"/>
      <c r="L7" s="1263"/>
      <c r="M7" s="1264"/>
      <c r="N7" s="1264"/>
      <c r="O7" s="1264"/>
      <c r="P7" s="3692" t="s">
        <v>1411</v>
      </c>
      <c r="Q7" s="3693"/>
      <c r="R7" s="1304" t="s">
        <v>1412</v>
      </c>
      <c r="S7" s="1305">
        <f t="shared" ref="S7:S15" si="0">F7</f>
        <v>0</v>
      </c>
      <c r="T7" s="1304" t="s">
        <v>1412</v>
      </c>
      <c r="U7" s="1305">
        <f t="shared" ref="U7:U15" si="1">H7</f>
        <v>0</v>
      </c>
      <c r="V7" s="1304" t="s">
        <v>1412</v>
      </c>
      <c r="W7" s="1305">
        <f t="shared" ref="W7:W15" si="2">J7</f>
        <v>0</v>
      </c>
      <c r="X7" s="1306"/>
      <c r="Y7" s="3692" t="s">
        <v>1411</v>
      </c>
      <c r="Z7" s="3694"/>
      <c r="AA7" s="1318" t="e">
        <f>D7/F7</f>
        <v>#DIV/0!</v>
      </c>
      <c r="AB7" s="1318" t="e">
        <f>D7/H7</f>
        <v>#DIV/0!</v>
      </c>
      <c r="AC7" s="1318" t="e">
        <f>D7/J7</f>
        <v>#DIV/0!</v>
      </c>
    </row>
    <row r="8" spans="1:29" s="1093" customFormat="1" ht="15">
      <c r="A8" s="1118" t="s">
        <v>1413</v>
      </c>
      <c r="B8" s="1119"/>
      <c r="C8" s="1125"/>
      <c r="D8" s="1121">
        <v>100</v>
      </c>
      <c r="E8" s="1125"/>
      <c r="F8" s="1123">
        <f>SUMIF(61:61,E8,62:62)-SUMIF(61:61,C8,62:62)+100</f>
        <v>100</v>
      </c>
      <c r="G8" s="1125"/>
      <c r="H8" s="1121">
        <f>SUMIF(61:61,G8,62:62)-SUMIF(61:61,C8,62:62)+100</f>
        <v>100</v>
      </c>
      <c r="I8" s="1125"/>
      <c r="J8" s="1121">
        <f>SUMIF(61:61,I8,62:62)-SUMIF(61:61,C8,62:62)+100</f>
        <v>100</v>
      </c>
      <c r="K8" s="1262"/>
      <c r="L8" s="1263"/>
      <c r="M8" s="1264"/>
      <c r="N8" s="1264"/>
      <c r="O8" s="1264"/>
      <c r="P8" s="3692" t="s">
        <v>1415</v>
      </c>
      <c r="Q8" s="3694"/>
      <c r="R8" s="1304" t="s">
        <v>1412</v>
      </c>
      <c r="S8" s="1305">
        <f t="shared" si="0"/>
        <v>100</v>
      </c>
      <c r="T8" s="1304" t="s">
        <v>1412</v>
      </c>
      <c r="U8" s="1305">
        <f t="shared" si="1"/>
        <v>100</v>
      </c>
      <c r="V8" s="1304" t="s">
        <v>1412</v>
      </c>
      <c r="W8" s="1305">
        <f t="shared" si="2"/>
        <v>100</v>
      </c>
      <c r="X8" s="1306"/>
      <c r="Y8" s="3692" t="s">
        <v>1415</v>
      </c>
      <c r="Z8" s="3694"/>
      <c r="AA8" s="1318">
        <f t="shared" ref="AA8:AA46" si="3">D8/F8</f>
        <v>1</v>
      </c>
      <c r="AB8" s="1318">
        <f t="shared" ref="AB8:AB46" si="4">D8/H8</f>
        <v>1</v>
      </c>
      <c r="AC8" s="1318">
        <f t="shared" ref="AC8:AC46" si="5">D8/J8</f>
        <v>1</v>
      </c>
    </row>
    <row r="9" spans="1:29" s="1093" customFormat="1">
      <c r="A9" s="1126" t="s">
        <v>1416</v>
      </c>
      <c r="B9" s="1127" t="s">
        <v>1417</v>
      </c>
      <c r="C9" s="1487"/>
      <c r="D9" s="1129">
        <v>100</v>
      </c>
      <c r="E9" s="1552"/>
      <c r="F9" s="1489">
        <f>SUMIF(63:63,E9,64:64)-SUMIF(63:63,C9,64:64)+100</f>
        <v>100</v>
      </c>
      <c r="G9" s="1552"/>
      <c r="H9" s="1129">
        <f>SUMIF(63:63,G9,64:64)-SUMIF(63:63,C9,64:64)+100</f>
        <v>100</v>
      </c>
      <c r="I9" s="1552"/>
      <c r="J9" s="1129">
        <f>SUMIF(63:63,I9,64:64)-SUMIF(63:63,C9,64:64)+100</f>
        <v>100</v>
      </c>
      <c r="K9" s="1262"/>
      <c r="L9" s="1263"/>
      <c r="M9" s="1264"/>
      <c r="N9" s="1264"/>
      <c r="O9" s="1264"/>
      <c r="P9" s="3751" t="s">
        <v>1418</v>
      </c>
      <c r="Q9" s="1308" t="str">
        <f t="shared" ref="Q9:Q15" si="6">B9</f>
        <v>用途</v>
      </c>
      <c r="R9" s="1304" t="s">
        <v>1412</v>
      </c>
      <c r="S9" s="1305">
        <f t="shared" si="0"/>
        <v>100</v>
      </c>
      <c r="T9" s="1304" t="s">
        <v>1412</v>
      </c>
      <c r="U9" s="1305">
        <f t="shared" si="1"/>
        <v>100</v>
      </c>
      <c r="V9" s="1304" t="s">
        <v>1412</v>
      </c>
      <c r="W9" s="1305">
        <f t="shared" si="2"/>
        <v>100</v>
      </c>
      <c r="X9" s="1306"/>
      <c r="Y9" s="3660" t="s">
        <v>1419</v>
      </c>
      <c r="Z9" s="1319" t="str">
        <f t="shared" ref="Z9:Z15" si="7">Q9</f>
        <v>用途</v>
      </c>
      <c r="AA9" s="1318">
        <f t="shared" si="3"/>
        <v>1</v>
      </c>
      <c r="AB9" s="1318">
        <f t="shared" si="4"/>
        <v>1</v>
      </c>
      <c r="AC9" s="1318">
        <f t="shared" si="5"/>
        <v>1</v>
      </c>
    </row>
    <row r="10" spans="1:29" s="1094" customFormat="1" ht="27">
      <c r="A10" s="1130"/>
      <c r="B10" s="1131" t="s">
        <v>1420</v>
      </c>
      <c r="C10" s="1490"/>
      <c r="D10" s="1133">
        <v>100</v>
      </c>
      <c r="E10" s="1553"/>
      <c r="F10" s="1491">
        <f>SUMIF(65:65,E10,66:66)-SUMIF(65:65,C10,66:66)+100</f>
        <v>100</v>
      </c>
      <c r="G10" s="1490"/>
      <c r="H10" s="1133">
        <f>SUMIF(65:65,G10,66:66)-SUMIF(65:65,C10,66:66)+100</f>
        <v>100</v>
      </c>
      <c r="I10" s="1490"/>
      <c r="J10" s="1133">
        <f>SUMIF(65:65,I10,66:66)-SUMIF(65:65,C10,66:66)+100</f>
        <v>100</v>
      </c>
      <c r="K10" s="1262"/>
      <c r="L10" s="1267"/>
      <c r="M10" s="1268"/>
      <c r="N10" s="1268"/>
      <c r="O10" s="1268"/>
      <c r="P10" s="3751"/>
      <c r="Q10" s="1308" t="str">
        <f t="shared" si="6"/>
        <v>土地使用年限（年）</v>
      </c>
      <c r="R10" s="1304" t="s">
        <v>1412</v>
      </c>
      <c r="S10" s="1305">
        <f t="shared" si="0"/>
        <v>100</v>
      </c>
      <c r="T10" s="1304" t="s">
        <v>1412</v>
      </c>
      <c r="U10" s="1305">
        <f t="shared" si="1"/>
        <v>100</v>
      </c>
      <c r="V10" s="1304" t="s">
        <v>1412</v>
      </c>
      <c r="W10" s="1305">
        <f t="shared" si="2"/>
        <v>100</v>
      </c>
      <c r="X10" s="1306"/>
      <c r="Y10" s="3660"/>
      <c r="Z10" s="1319" t="str">
        <f t="shared" si="7"/>
        <v>土地使用年限（年）</v>
      </c>
      <c r="AA10" s="1318">
        <f t="shared" si="3"/>
        <v>1</v>
      </c>
      <c r="AB10" s="1318">
        <f t="shared" si="4"/>
        <v>1</v>
      </c>
      <c r="AC10" s="1318">
        <f t="shared" si="5"/>
        <v>1</v>
      </c>
    </row>
    <row r="11" spans="1:29" ht="15">
      <c r="A11" s="1134"/>
      <c r="B11" s="1131" t="s">
        <v>1960</v>
      </c>
      <c r="C11" s="1135"/>
      <c r="D11" s="1133">
        <v>100</v>
      </c>
      <c r="E11" s="1136"/>
      <c r="F11" s="1491" t="e">
        <f>LOOKUP(E11,68:68,69:69)-LOOKUP(C11,68:68,69:69)+100</f>
        <v>#N/A</v>
      </c>
      <c r="G11" s="1135"/>
      <c r="H11" s="1133" t="e">
        <f>LOOKUP(G11,68:68,69:69)-LOOKUP(C11,68:68,69:69)+100</f>
        <v>#N/A</v>
      </c>
      <c r="I11" s="1135"/>
      <c r="J11" s="1133" t="e">
        <f>LOOKUP(I11,68:68,69:69)-LOOKUP(C11,68:68,69:69)+100</f>
        <v>#N/A</v>
      </c>
      <c r="K11" s="1279"/>
      <c r="L11" s="1271"/>
      <c r="M11" s="1261"/>
      <c r="N11" s="1261"/>
      <c r="O11" s="1261"/>
      <c r="P11" s="3751"/>
      <c r="Q11" s="1308" t="str">
        <f t="shared" si="6"/>
        <v>容积率</v>
      </c>
      <c r="R11" s="1304" t="s">
        <v>1412</v>
      </c>
      <c r="S11" s="1305" t="e">
        <f t="shared" si="0"/>
        <v>#N/A</v>
      </c>
      <c r="T11" s="1304" t="s">
        <v>1412</v>
      </c>
      <c r="U11" s="1305" t="e">
        <f t="shared" si="1"/>
        <v>#N/A</v>
      </c>
      <c r="V11" s="1304" t="s">
        <v>1412</v>
      </c>
      <c r="W11" s="1305" t="e">
        <f t="shared" si="2"/>
        <v>#N/A</v>
      </c>
      <c r="X11" s="1306"/>
      <c r="Y11" s="3660"/>
      <c r="Z11" s="1319" t="str">
        <f t="shared" si="7"/>
        <v>容积率</v>
      </c>
      <c r="AA11" s="1318" t="e">
        <f t="shared" si="3"/>
        <v>#N/A</v>
      </c>
      <c r="AB11" s="1318" t="e">
        <f t="shared" si="4"/>
        <v>#N/A</v>
      </c>
      <c r="AC11" s="1318" t="e">
        <f t="shared" si="5"/>
        <v>#N/A</v>
      </c>
    </row>
    <row r="12" spans="1:29" s="1093" customFormat="1" ht="15">
      <c r="A12" s="1137"/>
      <c r="B12" s="1138">
        <v>111</v>
      </c>
      <c r="C12" s="1132"/>
      <c r="D12" s="1139">
        <v>100</v>
      </c>
      <c r="E12" s="1142"/>
      <c r="F12" s="1491">
        <f>SUMIF(70:70,E12,71:71)-SUMIF(70:70,C12,71:71)+100</f>
        <v>100</v>
      </c>
      <c r="G12" s="1142"/>
      <c r="H12" s="1133">
        <f>SUMIF(70:70,G12,71:71)-SUMIF(70:70,C12,71:71)+100</f>
        <v>100</v>
      </c>
      <c r="I12" s="1142"/>
      <c r="J12" s="1133">
        <f>SUMIF(70:70,I12,71:71)-SUMIF(70:70,C12,71:71)+100</f>
        <v>100</v>
      </c>
      <c r="K12" s="1278"/>
      <c r="L12" s="1263"/>
      <c r="M12" s="1264"/>
      <c r="N12" s="1264"/>
      <c r="O12" s="1264"/>
      <c r="P12" s="3751"/>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318">
        <f t="shared" si="5"/>
        <v>1</v>
      </c>
    </row>
    <row r="13" spans="1:29" ht="15">
      <c r="A13" s="1134"/>
      <c r="B13" s="1138">
        <v>111</v>
      </c>
      <c r="C13" s="1142"/>
      <c r="D13" s="1143">
        <v>100</v>
      </c>
      <c r="E13" s="1142"/>
      <c r="F13" s="1491">
        <f>SUMIF(72:72,E13,73:73)-SUMIF(72:72,C13,73:73)+100</f>
        <v>100</v>
      </c>
      <c r="G13" s="1142"/>
      <c r="H13" s="1143">
        <f>SUMIF(72:72,G13,73:73)-SUMIF(72:72,C13,73:73)+100</f>
        <v>100</v>
      </c>
      <c r="I13" s="1142"/>
      <c r="J13" s="1143">
        <f>SUMIF(72:72,I13,73:73)-SUMIF(72:72,C13,73:73)+100</f>
        <v>100</v>
      </c>
      <c r="K13" s="1278"/>
      <c r="L13" s="1273"/>
      <c r="M13" s="1261"/>
      <c r="N13" s="1261"/>
      <c r="O13" s="1261"/>
      <c r="P13" s="3751"/>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29" ht="15">
      <c r="A14" s="1144"/>
      <c r="B14" s="1145">
        <v>111</v>
      </c>
      <c r="C14" s="1146"/>
      <c r="D14" s="1147">
        <v>100</v>
      </c>
      <c r="E14" s="1142"/>
      <c r="F14" s="1511">
        <f>SUMIF(74:74,E14,75:75)-SUMIF(74:74,C14,75:75)+100</f>
        <v>100</v>
      </c>
      <c r="G14" s="1142"/>
      <c r="H14" s="1147">
        <f>SUMIF(74:74,G14,75:75)-SUMIF(74:74,C14,75:75)+100</f>
        <v>100</v>
      </c>
      <c r="I14" s="1142"/>
      <c r="J14" s="1147">
        <f>SUMIF(74:74,I14,75:75)-SUMIF(74:74,C14,75:75)+100</f>
        <v>100</v>
      </c>
      <c r="K14" s="1278"/>
      <c r="L14" s="1273"/>
      <c r="M14" s="1261"/>
      <c r="N14" s="1261"/>
      <c r="O14" s="1261"/>
      <c r="P14" s="3751"/>
      <c r="Q14" s="1308">
        <f t="shared" si="6"/>
        <v>111</v>
      </c>
      <c r="R14" s="1304" t="s">
        <v>1412</v>
      </c>
      <c r="S14" s="1305">
        <f t="shared" si="0"/>
        <v>100</v>
      </c>
      <c r="T14" s="1304" t="s">
        <v>1412</v>
      </c>
      <c r="U14" s="1305">
        <f t="shared" si="1"/>
        <v>100</v>
      </c>
      <c r="V14" s="1304" t="s">
        <v>1412</v>
      </c>
      <c r="W14" s="1305">
        <f t="shared" si="2"/>
        <v>100</v>
      </c>
      <c r="X14" s="1306"/>
      <c r="Y14" s="3660"/>
      <c r="Z14" s="1319">
        <f t="shared" si="7"/>
        <v>111</v>
      </c>
      <c r="AA14" s="1318">
        <f t="shared" si="3"/>
        <v>1</v>
      </c>
      <c r="AB14" s="1318">
        <f t="shared" si="4"/>
        <v>1</v>
      </c>
      <c r="AC14" s="1318">
        <f t="shared" si="5"/>
        <v>1</v>
      </c>
    </row>
    <row r="15" spans="1:29" ht="71.25">
      <c r="A15" s="1148" t="s">
        <v>1423</v>
      </c>
      <c r="B15" s="1441" t="s">
        <v>1997</v>
      </c>
      <c r="C15" s="1442" t="str">
        <f>估价对象房地状况!C4</f>
        <v>估价对象位于XX商圈，周边商业氛围成熟，人流量大，商业繁华度好</v>
      </c>
      <c r="D15" s="1151">
        <v>100</v>
      </c>
      <c r="E15" s="1152"/>
      <c r="F15" s="1494">
        <f>SUMIF(76:76,E16,77:77)-SUMIF(76:76,C16,77:77)+100</f>
        <v>100</v>
      </c>
      <c r="G15" s="1274"/>
      <c r="H15" s="1151">
        <f>SUMIF(76:76,G16,77:77)-SUMIF(76:76,C16,77:77)+100</f>
        <v>100</v>
      </c>
      <c r="I15" s="1152"/>
      <c r="J15" s="1151">
        <f>SUMIF(76:76,I16,77:77)-SUMIF(76:76,C16,77:77)+100</f>
        <v>100</v>
      </c>
      <c r="K15" s="1533"/>
      <c r="L15" s="1273"/>
      <c r="M15" s="1261"/>
      <c r="N15" s="1261"/>
      <c r="O15" s="1261"/>
      <c r="P15" s="3752" t="s">
        <v>1425</v>
      </c>
      <c r="Q15" s="816" t="str">
        <f t="shared" si="6"/>
        <v>商业繁华度</v>
      </c>
      <c r="R15" s="1309" t="s">
        <v>1412</v>
      </c>
      <c r="S15" s="1310">
        <f t="shared" si="0"/>
        <v>100</v>
      </c>
      <c r="T15" s="1309" t="s">
        <v>1412</v>
      </c>
      <c r="U15" s="1310">
        <f t="shared" si="1"/>
        <v>100</v>
      </c>
      <c r="V15" s="1309" t="s">
        <v>1412</v>
      </c>
      <c r="W15" s="1310">
        <f t="shared" si="2"/>
        <v>100</v>
      </c>
      <c r="X15" s="1303"/>
      <c r="Y15" s="3700" t="s">
        <v>1425</v>
      </c>
      <c r="Z15" s="1293" t="str">
        <f t="shared" si="7"/>
        <v>商业繁华度</v>
      </c>
      <c r="AA15" s="1320">
        <f t="shared" si="3"/>
        <v>1</v>
      </c>
      <c r="AB15" s="1320">
        <f t="shared" si="4"/>
        <v>1</v>
      </c>
      <c r="AC15" s="1320">
        <f t="shared" si="5"/>
        <v>1</v>
      </c>
    </row>
    <row r="16" spans="1:29" ht="15">
      <c r="A16" s="1134"/>
      <c r="B16" s="1443"/>
      <c r="C16" s="1154"/>
      <c r="D16" s="1155"/>
      <c r="E16" s="1154"/>
      <c r="F16" s="1495"/>
      <c r="G16" s="1154"/>
      <c r="H16" s="1157"/>
      <c r="I16" s="1154"/>
      <c r="J16" s="1155"/>
      <c r="K16" s="1534"/>
      <c r="L16" s="1273"/>
      <c r="M16" s="1261"/>
      <c r="N16" s="1261"/>
      <c r="O16" s="1261"/>
      <c r="P16" s="3753"/>
      <c r="Q16" s="816"/>
      <c r="R16" s="1309"/>
      <c r="S16" s="1310"/>
      <c r="T16" s="1309"/>
      <c r="U16" s="1310"/>
      <c r="V16" s="1309"/>
      <c r="W16" s="1310"/>
      <c r="X16" s="1303"/>
      <c r="Y16" s="3701"/>
      <c r="Z16" s="1293"/>
      <c r="AA16" s="1320">
        <v>1</v>
      </c>
      <c r="AB16" s="1320">
        <v>1</v>
      </c>
      <c r="AC16" s="1320">
        <v>1</v>
      </c>
    </row>
    <row r="17" spans="1:29" ht="85.5">
      <c r="A17" s="1134"/>
      <c r="B17" s="1444" t="s">
        <v>1424</v>
      </c>
      <c r="C17" s="1159" t="str">
        <f>估价对象房地状况!C6</f>
        <v>估价对象周边道路状况、公共交通通达情况、停车便捷程度，综合评价交通便捷度较好</v>
      </c>
      <c r="D17" s="1157">
        <v>100</v>
      </c>
      <c r="E17" s="1160"/>
      <c r="F17" s="1497">
        <f>SUMIF(78:78,E18,79:79)-SUMIF(78:78,C18,79:79)+100</f>
        <v>100</v>
      </c>
      <c r="G17" s="1275"/>
      <c r="H17" s="1161">
        <f>SUMIF(78:78,G18,79:79)-SUMIF(78:78,C18,79:79)+100</f>
        <v>100</v>
      </c>
      <c r="I17" s="1160"/>
      <c r="J17" s="1161">
        <f>SUMIF(78:78,I18,79:79)-SUMIF(78:78,C18,79:79)+100</f>
        <v>100</v>
      </c>
      <c r="K17" s="1533"/>
      <c r="L17" s="1273"/>
      <c r="M17" s="1261"/>
      <c r="N17" s="1261"/>
      <c r="O17" s="1261"/>
      <c r="P17" s="3753"/>
      <c r="Q17" s="816" t="str">
        <f>B17</f>
        <v>交通便捷度</v>
      </c>
      <c r="R17" s="1309" t="s">
        <v>1412</v>
      </c>
      <c r="S17" s="1310">
        <f>F17</f>
        <v>100</v>
      </c>
      <c r="T17" s="1309" t="s">
        <v>1412</v>
      </c>
      <c r="U17" s="1310">
        <f>H17</f>
        <v>100</v>
      </c>
      <c r="V17" s="1309" t="s">
        <v>1412</v>
      </c>
      <c r="W17" s="1310">
        <f>J17</f>
        <v>100</v>
      </c>
      <c r="X17" s="1303"/>
      <c r="Y17" s="3701"/>
      <c r="Z17" s="1293" t="str">
        <f>Q17</f>
        <v>交通便捷度</v>
      </c>
      <c r="AA17" s="1320">
        <f t="shared" si="3"/>
        <v>1</v>
      </c>
      <c r="AB17" s="1320">
        <f t="shared" si="4"/>
        <v>1</v>
      </c>
      <c r="AC17" s="1320">
        <f t="shared" si="5"/>
        <v>1</v>
      </c>
    </row>
    <row r="18" spans="1:29" ht="15">
      <c r="A18" s="1134"/>
      <c r="B18" s="1182"/>
      <c r="C18" s="1445"/>
      <c r="D18" s="1157"/>
      <c r="E18" s="1446"/>
      <c r="F18" s="1497"/>
      <c r="G18" s="1454"/>
      <c r="H18" s="1155"/>
      <c r="I18" s="1446"/>
      <c r="J18" s="1155"/>
      <c r="K18" s="1534"/>
      <c r="L18" s="1273"/>
      <c r="M18" s="1261"/>
      <c r="N18" s="1261"/>
      <c r="O18" s="1261"/>
      <c r="P18" s="3753"/>
      <c r="Q18" s="816"/>
      <c r="R18" s="1309"/>
      <c r="S18" s="1310"/>
      <c r="T18" s="1309"/>
      <c r="U18" s="1310"/>
      <c r="V18" s="1309"/>
      <c r="W18" s="1310"/>
      <c r="X18" s="1303"/>
      <c r="Y18" s="3701"/>
      <c r="Z18" s="1293"/>
      <c r="AA18" s="1320">
        <v>1</v>
      </c>
      <c r="AB18" s="1320">
        <v>1</v>
      </c>
      <c r="AC18" s="1320">
        <v>1</v>
      </c>
    </row>
    <row r="19" spans="1:29" ht="42.75">
      <c r="A19" s="1134"/>
      <c r="B19" s="1444" t="s">
        <v>1427</v>
      </c>
      <c r="C19" s="1159" t="str">
        <f>估价对象房地状况!C7</f>
        <v>估价对象所在区域公共配套设施齐备情况</v>
      </c>
      <c r="D19" s="1161">
        <v>100</v>
      </c>
      <c r="E19" s="1447"/>
      <c r="F19" s="1496">
        <f>SUMIF(80:80,E20,81:81)-SUMIF(80:80,C20,81:81)+100</f>
        <v>100</v>
      </c>
      <c r="G19" s="1455"/>
      <c r="H19" s="1157">
        <f>SUMIF(80:80,G20,81:81)-SUMIF(80:80,C20,81:81)+100</f>
        <v>100</v>
      </c>
      <c r="I19" s="1447"/>
      <c r="J19" s="1157">
        <f>SUMIF(80:80,I20,81:81)-SUMIF(80:80,C20,81:81)+100</f>
        <v>100</v>
      </c>
      <c r="K19" s="1533"/>
      <c r="L19" s="1273"/>
      <c r="M19" s="1261"/>
      <c r="N19" s="1261"/>
      <c r="O19" s="1261"/>
      <c r="P19" s="3753"/>
      <c r="Q19" s="816" t="str">
        <f>B19</f>
        <v>公共配套设施</v>
      </c>
      <c r="R19" s="1309" t="s">
        <v>1412</v>
      </c>
      <c r="S19" s="1310">
        <f>F19</f>
        <v>100</v>
      </c>
      <c r="T19" s="1309" t="s">
        <v>1412</v>
      </c>
      <c r="U19" s="1310">
        <f>H19</f>
        <v>100</v>
      </c>
      <c r="V19" s="1309" t="s">
        <v>1412</v>
      </c>
      <c r="W19" s="1310">
        <f>J19</f>
        <v>100</v>
      </c>
      <c r="X19" s="1303"/>
      <c r="Y19" s="3701"/>
      <c r="Z19" s="1293" t="str">
        <f>Q19</f>
        <v>公共配套设施</v>
      </c>
      <c r="AA19" s="1320">
        <f t="shared" si="3"/>
        <v>1</v>
      </c>
      <c r="AB19" s="1320">
        <f t="shared" si="4"/>
        <v>1</v>
      </c>
      <c r="AC19" s="1320">
        <f t="shared" si="5"/>
        <v>1</v>
      </c>
    </row>
    <row r="20" spans="1:29" ht="15">
      <c r="A20" s="1134"/>
      <c r="B20" s="1182"/>
      <c r="C20" s="1154"/>
      <c r="D20" s="1155"/>
      <c r="E20" s="1163"/>
      <c r="F20" s="1495"/>
      <c r="G20" s="1276"/>
      <c r="H20" s="1155"/>
      <c r="I20" s="1163"/>
      <c r="J20" s="1155"/>
      <c r="K20" s="1534"/>
      <c r="L20" s="1273"/>
      <c r="M20" s="1261"/>
      <c r="N20" s="1261"/>
      <c r="O20" s="1261"/>
      <c r="P20" s="3753"/>
      <c r="Q20" s="816"/>
      <c r="R20" s="1309"/>
      <c r="S20" s="1310"/>
      <c r="T20" s="1309"/>
      <c r="U20" s="1310"/>
      <c r="V20" s="1309"/>
      <c r="W20" s="1310"/>
      <c r="X20" s="1303"/>
      <c r="Y20" s="3701"/>
      <c r="Z20" s="1293"/>
      <c r="AA20" s="1320">
        <v>1</v>
      </c>
      <c r="AB20" s="1320">
        <v>1</v>
      </c>
      <c r="AC20" s="1320">
        <v>1</v>
      </c>
    </row>
    <row r="21" spans="1:29" ht="28.5">
      <c r="A21" s="1134"/>
      <c r="B21" s="1448" t="s">
        <v>1429</v>
      </c>
      <c r="C21" s="1159" t="str">
        <f>估价对象房地状况!C8</f>
        <v>估价对象所在区域基础设施水平</v>
      </c>
      <c r="D21" s="1161">
        <v>100</v>
      </c>
      <c r="E21" s="1447"/>
      <c r="F21" s="1496">
        <f>SUMIF(82:82,E22,83:83)-SUMIF(82:82,C22,83:83)+100</f>
        <v>100</v>
      </c>
      <c r="G21" s="1455"/>
      <c r="H21" s="1157">
        <f>SUMIF(82:82,G22,83:83)-SUMIF(82:82,C22,83:83)+100</f>
        <v>100</v>
      </c>
      <c r="I21" s="1447"/>
      <c r="J21" s="1157">
        <f>SUMIF(82:82,I22,83:83)-SUMIF(82:82,C22,83:83)+100</f>
        <v>100</v>
      </c>
      <c r="K21" s="1533"/>
      <c r="L21" s="1273"/>
      <c r="M21" s="1261"/>
      <c r="N21" s="1261"/>
      <c r="O21" s="1261"/>
      <c r="P21" s="3753"/>
      <c r="Q21" s="816" t="str">
        <f>B21</f>
        <v>基础设施水平</v>
      </c>
      <c r="R21" s="1309" t="s">
        <v>1412</v>
      </c>
      <c r="S21" s="1310">
        <f>F21</f>
        <v>100</v>
      </c>
      <c r="T21" s="1309" t="s">
        <v>1412</v>
      </c>
      <c r="U21" s="1310">
        <f>H21</f>
        <v>100</v>
      </c>
      <c r="V21" s="1309" t="s">
        <v>1412</v>
      </c>
      <c r="W21" s="1310">
        <f>J21</f>
        <v>100</v>
      </c>
      <c r="X21" s="1303"/>
      <c r="Y21" s="3701"/>
      <c r="Z21" s="1293" t="str">
        <f>Q21</f>
        <v>基础设施水平</v>
      </c>
      <c r="AA21" s="1320">
        <f t="shared" ref="AA21" si="8">D21/F21</f>
        <v>1</v>
      </c>
      <c r="AB21" s="1320">
        <f t="shared" ref="AB21" si="9">D21/H21</f>
        <v>1</v>
      </c>
      <c r="AC21" s="1320">
        <f t="shared" ref="AC21" si="10">D21/J21</f>
        <v>1</v>
      </c>
    </row>
    <row r="22" spans="1:29" ht="15">
      <c r="A22" s="1134"/>
      <c r="B22" s="1448"/>
      <c r="C22" s="1445"/>
      <c r="D22" s="1155"/>
      <c r="E22" s="1154"/>
      <c r="F22" s="1495"/>
      <c r="G22" s="1154"/>
      <c r="H22" s="1155"/>
      <c r="I22" s="1154"/>
      <c r="J22" s="1155"/>
      <c r="K22" s="1535"/>
      <c r="L22" s="1273"/>
      <c r="M22" s="1261"/>
      <c r="N22" s="1261"/>
      <c r="O22" s="1261"/>
      <c r="P22" s="3753"/>
      <c r="Q22" s="816"/>
      <c r="R22" s="1309"/>
      <c r="S22" s="1310"/>
      <c r="T22" s="1309"/>
      <c r="U22" s="1310"/>
      <c r="V22" s="1309"/>
      <c r="W22" s="1310"/>
      <c r="X22" s="1303"/>
      <c r="Y22" s="3701"/>
      <c r="Z22" s="1293"/>
      <c r="AA22" s="1320">
        <v>1</v>
      </c>
      <c r="AB22" s="1320">
        <v>1</v>
      </c>
      <c r="AC22" s="1320">
        <v>1</v>
      </c>
    </row>
    <row r="23" spans="1:29" ht="57">
      <c r="A23" s="1134"/>
      <c r="B23" s="1444" t="s">
        <v>1430</v>
      </c>
      <c r="C23" s="813" t="str">
        <f>估价对象房地状况!C9</f>
        <v>区域自然环境：；人文环境；综合评价环境状况一般</v>
      </c>
      <c r="D23" s="1157">
        <v>100</v>
      </c>
      <c r="E23" s="1160"/>
      <c r="F23" s="1497">
        <f>SUMIF(84:84,E24,85:85)-SUMIF(84:84,C24,85:85)+100</f>
        <v>100</v>
      </c>
      <c r="G23" s="1275"/>
      <c r="H23" s="1157">
        <f>SUMIF(84:84,G24,85:85)-SUMIF(84:84,C24,85:85)+100</f>
        <v>100</v>
      </c>
      <c r="I23" s="1160"/>
      <c r="J23" s="1157">
        <f>SUMIF(84:84,I24,85:85)-SUMIF(84:84,C24,85:85)+100</f>
        <v>100</v>
      </c>
      <c r="K23" s="1533"/>
      <c r="L23" s="1273"/>
      <c r="M23" s="1261"/>
      <c r="N23" s="1261"/>
      <c r="O23" s="1261"/>
      <c r="P23" s="3753"/>
      <c r="Q23" s="816" t="str">
        <f>B23</f>
        <v>自然及人文环境</v>
      </c>
      <c r="R23" s="1309" t="s">
        <v>1412</v>
      </c>
      <c r="S23" s="1310">
        <f>F23</f>
        <v>100</v>
      </c>
      <c r="T23" s="1309" t="s">
        <v>1412</v>
      </c>
      <c r="U23" s="1310">
        <f>H23</f>
        <v>100</v>
      </c>
      <c r="V23" s="1309" t="s">
        <v>1412</v>
      </c>
      <c r="W23" s="1310">
        <f>J23</f>
        <v>100</v>
      </c>
      <c r="X23" s="1303"/>
      <c r="Y23" s="3701"/>
      <c r="Z23" s="1293" t="str">
        <f>Q23</f>
        <v>自然及人文环境</v>
      </c>
      <c r="AA23" s="1320">
        <f t="shared" si="3"/>
        <v>1</v>
      </c>
      <c r="AB23" s="1320">
        <f t="shared" si="4"/>
        <v>1</v>
      </c>
      <c r="AC23" s="1320">
        <f t="shared" si="5"/>
        <v>1</v>
      </c>
    </row>
    <row r="24" spans="1:29" ht="15">
      <c r="A24" s="1134"/>
      <c r="B24" s="1182"/>
      <c r="C24" s="1154"/>
      <c r="D24" s="1155"/>
      <c r="E24" s="1163"/>
      <c r="F24" s="1495"/>
      <c r="G24" s="1276"/>
      <c r="H24" s="1155"/>
      <c r="I24" s="1163"/>
      <c r="J24" s="1155"/>
      <c r="K24" s="1534"/>
      <c r="L24" s="1273"/>
      <c r="M24" s="1261"/>
      <c r="N24" s="1261"/>
      <c r="O24" s="1261"/>
      <c r="P24" s="3753"/>
      <c r="Q24" s="816"/>
      <c r="R24" s="1309"/>
      <c r="S24" s="1310"/>
      <c r="T24" s="1309"/>
      <c r="U24" s="1310"/>
      <c r="V24" s="1309"/>
      <c r="W24" s="1310"/>
      <c r="X24" s="1303"/>
      <c r="Y24" s="3701"/>
      <c r="Z24" s="1293"/>
      <c r="AA24" s="1320">
        <v>1</v>
      </c>
      <c r="AB24" s="1320">
        <v>1</v>
      </c>
      <c r="AC24" s="1320">
        <v>1</v>
      </c>
    </row>
    <row r="25" spans="1:29" ht="15">
      <c r="A25" s="1134"/>
      <c r="B25" s="1131" t="s">
        <v>1998</v>
      </c>
      <c r="C25" s="1168"/>
      <c r="D25" s="1143">
        <v>100</v>
      </c>
      <c r="E25" s="1168"/>
      <c r="F25" s="1498">
        <f>SUMIF(86:86,E25,87:87)-SUMIF(86:86,C25,87:87)+100</f>
        <v>100</v>
      </c>
      <c r="G25" s="1168"/>
      <c r="H25" s="1143">
        <f>SUMIF(86:86,G25,87:87)-SUMIF(86:86,C25,87:87)+100</f>
        <v>100</v>
      </c>
      <c r="I25" s="1168"/>
      <c r="J25" s="1143">
        <f>SUMIF(86:86,I25,87:87)-SUMIF(86:86,C25,87:87)+100</f>
        <v>100</v>
      </c>
      <c r="K25" s="1279"/>
      <c r="L25" s="1273"/>
      <c r="M25" s="1261"/>
      <c r="N25" s="1261"/>
      <c r="O25" s="1261"/>
      <c r="P25" s="3753"/>
      <c r="Q25" s="816" t="str">
        <f t="shared" ref="Q25:Q46" si="11">B25</f>
        <v>临街状况</v>
      </c>
      <c r="R25" s="1309" t="s">
        <v>1412</v>
      </c>
      <c r="S25" s="1310">
        <f>F25</f>
        <v>100</v>
      </c>
      <c r="T25" s="1309" t="s">
        <v>1412</v>
      </c>
      <c r="U25" s="1310">
        <f>H25</f>
        <v>100</v>
      </c>
      <c r="V25" s="1309" t="s">
        <v>1412</v>
      </c>
      <c r="W25" s="1310">
        <f>J25</f>
        <v>100</v>
      </c>
      <c r="X25" s="1303"/>
      <c r="Y25" s="3701"/>
      <c r="Z25" s="1293" t="str">
        <f>Q25</f>
        <v>临街状况</v>
      </c>
      <c r="AA25" s="1320">
        <f t="shared" si="3"/>
        <v>1</v>
      </c>
      <c r="AB25" s="1320">
        <f t="shared" si="4"/>
        <v>1</v>
      </c>
      <c r="AC25" s="1320">
        <f t="shared" si="5"/>
        <v>1</v>
      </c>
    </row>
    <row r="26" spans="1:29" ht="15">
      <c r="A26" s="1134"/>
      <c r="B26" s="1449" t="s">
        <v>1999</v>
      </c>
      <c r="C26" s="1142"/>
      <c r="D26" s="1143">
        <v>100</v>
      </c>
      <c r="E26" s="1142"/>
      <c r="F26" s="1498">
        <f>SUMIF(88:88,E26,89:89)-SUMIF(88:88,C26,89:89)+100</f>
        <v>100</v>
      </c>
      <c r="G26" s="1142"/>
      <c r="H26" s="1143">
        <f>SUMIF(88:88,G26,89:89)-SUMIF(88:88,C26,89:89)+100</f>
        <v>100</v>
      </c>
      <c r="I26" s="1142"/>
      <c r="J26" s="1143">
        <f>SUMIF(88:88,I26,89:89)-SUMIF(88:88,C26,89:89)+100</f>
        <v>100</v>
      </c>
      <c r="K26" s="1278"/>
      <c r="L26" s="1273"/>
      <c r="M26" s="1261"/>
      <c r="N26" s="1261"/>
      <c r="O26" s="1261"/>
      <c r="P26" s="3753"/>
      <c r="Q26" s="816" t="str">
        <f t="shared" si="11"/>
        <v>平面位置/可视性</v>
      </c>
      <c r="R26" s="1309" t="s">
        <v>1412</v>
      </c>
      <c r="S26" s="1310">
        <f>F26</f>
        <v>100</v>
      </c>
      <c r="T26" s="1309" t="s">
        <v>1412</v>
      </c>
      <c r="U26" s="1310">
        <f>H26</f>
        <v>100</v>
      </c>
      <c r="V26" s="1309" t="s">
        <v>1412</v>
      </c>
      <c r="W26" s="1310">
        <f>J26</f>
        <v>100</v>
      </c>
      <c r="X26" s="1303"/>
      <c r="Y26" s="3701"/>
      <c r="Z26" s="1293" t="str">
        <f>Q26</f>
        <v>平面位置/可视性</v>
      </c>
      <c r="AA26" s="1320">
        <f t="shared" si="3"/>
        <v>1</v>
      </c>
      <c r="AB26" s="1320">
        <f t="shared" si="4"/>
        <v>1</v>
      </c>
      <c r="AC26" s="1320">
        <f t="shared" si="5"/>
        <v>1</v>
      </c>
    </row>
    <row r="27" spans="1:29" s="1093" customFormat="1" ht="15">
      <c r="A27" s="1137"/>
      <c r="B27" s="1444" t="s">
        <v>2000</v>
      </c>
      <c r="C27" s="1609"/>
      <c r="D27" s="1555">
        <v>100</v>
      </c>
      <c r="E27" s="1609"/>
      <c r="F27" s="1556">
        <f>SUMIF(90:90,E27,91:91)-SUMIF(90:90,C27,91:91)+100</f>
        <v>100</v>
      </c>
      <c r="G27" s="1609"/>
      <c r="H27" s="1555">
        <f>SUMIF(90:90,G27,91:91)-SUMIF(90:90,C27,91:91)+100</f>
        <v>100</v>
      </c>
      <c r="I27" s="1609"/>
      <c r="J27" s="1555">
        <f>SUMIF(90:90,I27,91:91)-SUMIF(90:90,C27,91:91)+100</f>
        <v>100</v>
      </c>
      <c r="K27" s="1279"/>
      <c r="L27" s="1263"/>
      <c r="M27" s="1264"/>
      <c r="N27" s="1264"/>
      <c r="O27" s="1264"/>
      <c r="P27" s="3753"/>
      <c r="Q27" s="1308" t="str">
        <f t="shared" si="11"/>
        <v>人流量</v>
      </c>
      <c r="R27" s="1304" t="s">
        <v>1412</v>
      </c>
      <c r="S27" s="1305">
        <f>F27</f>
        <v>100</v>
      </c>
      <c r="T27" s="1304" t="s">
        <v>1412</v>
      </c>
      <c r="U27" s="1305">
        <f>H27</f>
        <v>100</v>
      </c>
      <c r="V27" s="1304" t="s">
        <v>1412</v>
      </c>
      <c r="W27" s="1305">
        <f>J27</f>
        <v>100</v>
      </c>
      <c r="X27" s="1306"/>
      <c r="Y27" s="3701"/>
      <c r="Z27" s="1319" t="str">
        <f>Q27</f>
        <v>人流量</v>
      </c>
      <c r="AA27" s="1320">
        <f t="shared" si="3"/>
        <v>1</v>
      </c>
      <c r="AB27" s="1320">
        <f t="shared" si="4"/>
        <v>1</v>
      </c>
      <c r="AC27" s="1320">
        <f t="shared" si="5"/>
        <v>1</v>
      </c>
    </row>
    <row r="28" spans="1:29" ht="15">
      <c r="A28" s="1134"/>
      <c r="B28" s="1131" t="s">
        <v>1431</v>
      </c>
      <c r="C28" s="1168"/>
      <c r="D28" s="1143">
        <v>100</v>
      </c>
      <c r="E28" s="1168"/>
      <c r="F28" s="1498">
        <f>SUMIF(92:92,E28,93:93)-SUMIF(92:92,C28,93:93)+100</f>
        <v>100</v>
      </c>
      <c r="G28" s="1168"/>
      <c r="H28" s="1143">
        <f>SUMIF(92:92,G28,93:93)-SUMIF(92:92,C28,93:93)+100</f>
        <v>100</v>
      </c>
      <c r="I28" s="1168"/>
      <c r="J28" s="1143">
        <f>SUMIF(92:92,I28,93:93)-SUMIF(92:92,C28,93:93)+100</f>
        <v>100</v>
      </c>
      <c r="K28" s="1278"/>
      <c r="L28" s="1273"/>
      <c r="M28" s="1261"/>
      <c r="N28" s="1261"/>
      <c r="O28" s="1261"/>
      <c r="P28" s="3753"/>
      <c r="Q28" s="816" t="str">
        <f t="shared" si="11"/>
        <v>楼层</v>
      </c>
      <c r="R28" s="1309" t="s">
        <v>1412</v>
      </c>
      <c r="S28" s="1310">
        <f t="shared" ref="S28:S46" si="12">F28</f>
        <v>100</v>
      </c>
      <c r="T28" s="1309" t="s">
        <v>1412</v>
      </c>
      <c r="U28" s="1310">
        <f t="shared" ref="U28:U46" si="13">H28</f>
        <v>100</v>
      </c>
      <c r="V28" s="1309" t="s">
        <v>1412</v>
      </c>
      <c r="W28" s="1310">
        <f t="shared" ref="W28:W46" si="14">J28</f>
        <v>100</v>
      </c>
      <c r="X28" s="1303"/>
      <c r="Y28" s="3701"/>
      <c r="Z28" s="1293" t="str">
        <f t="shared" ref="Z28:Z46" si="15">Q28</f>
        <v>楼层</v>
      </c>
      <c r="AA28" s="1320">
        <f t="shared" si="3"/>
        <v>1</v>
      </c>
      <c r="AB28" s="1320">
        <f t="shared" si="4"/>
        <v>1</v>
      </c>
      <c r="AC28" s="1320">
        <f t="shared" si="5"/>
        <v>1</v>
      </c>
    </row>
    <row r="29" spans="1:29" ht="15">
      <c r="A29" s="1134"/>
      <c r="B29" s="1449">
        <v>111</v>
      </c>
      <c r="C29" s="1142"/>
      <c r="D29" s="1143">
        <v>100</v>
      </c>
      <c r="E29" s="1142"/>
      <c r="F29" s="1498">
        <f>SUMIF(94:94,E29,95:95)-SUMIF(94:94,C29,95:95)+100</f>
        <v>100</v>
      </c>
      <c r="G29" s="1142"/>
      <c r="H29" s="1143">
        <f>SUMIF(94:94,G29,95:95)-SUMIF(94:94,C29,95:95)+100</f>
        <v>100</v>
      </c>
      <c r="I29" s="1142"/>
      <c r="J29" s="1143">
        <f>SUMIF(94:94,I29,95:95)-SUMIF(94:94,C29,95:95)+100</f>
        <v>100</v>
      </c>
      <c r="K29" s="1278"/>
      <c r="L29" s="1273"/>
      <c r="M29" s="1261"/>
      <c r="N29" s="1261"/>
      <c r="O29" s="1261"/>
      <c r="P29" s="3753"/>
      <c r="Q29" s="816">
        <f t="shared" si="11"/>
        <v>111</v>
      </c>
      <c r="R29" s="1309" t="s">
        <v>1412</v>
      </c>
      <c r="S29" s="1310">
        <f t="shared" si="12"/>
        <v>100</v>
      </c>
      <c r="T29" s="1309" t="s">
        <v>1412</v>
      </c>
      <c r="U29" s="1310">
        <f t="shared" si="13"/>
        <v>100</v>
      </c>
      <c r="V29" s="1309" t="s">
        <v>1412</v>
      </c>
      <c r="W29" s="1310">
        <f t="shared" si="14"/>
        <v>100</v>
      </c>
      <c r="X29" s="1303"/>
      <c r="Y29" s="3701"/>
      <c r="Z29" s="1293">
        <f t="shared" si="15"/>
        <v>111</v>
      </c>
      <c r="AA29" s="1320">
        <f t="shared" si="3"/>
        <v>1</v>
      </c>
      <c r="AB29" s="1320">
        <f t="shared" si="4"/>
        <v>1</v>
      </c>
      <c r="AC29" s="1320">
        <f t="shared" si="5"/>
        <v>1</v>
      </c>
    </row>
    <row r="30" spans="1:29" ht="15">
      <c r="A30" s="1134"/>
      <c r="B30" s="1449">
        <v>111</v>
      </c>
      <c r="C30" s="1142"/>
      <c r="D30" s="1143">
        <v>100</v>
      </c>
      <c r="E30" s="1142"/>
      <c r="F30" s="1498">
        <f>SUMIF(96:96,E30,97:97)-SUMIF(96:96,C30,97:97)+100</f>
        <v>100</v>
      </c>
      <c r="G30" s="1142"/>
      <c r="H30" s="1143">
        <f>SUMIF(96:96,G30,97:97)-SUMIF(96:96,C30,97:97)+100</f>
        <v>100</v>
      </c>
      <c r="I30" s="1142"/>
      <c r="J30" s="1143">
        <f>SUMIF(96:96,I30,97:97)-SUMIF(96:96,C30,97:97)+100</f>
        <v>100</v>
      </c>
      <c r="K30" s="1278"/>
      <c r="L30" s="1273"/>
      <c r="M30" s="1261"/>
      <c r="N30" s="1261"/>
      <c r="O30" s="1261"/>
      <c r="P30" s="3753"/>
      <c r="Q30" s="816">
        <f t="shared" si="11"/>
        <v>111</v>
      </c>
      <c r="R30" s="1309" t="s">
        <v>1412</v>
      </c>
      <c r="S30" s="1310">
        <f t="shared" si="12"/>
        <v>100</v>
      </c>
      <c r="T30" s="1309" t="s">
        <v>1412</v>
      </c>
      <c r="U30" s="1310">
        <f t="shared" si="13"/>
        <v>100</v>
      </c>
      <c r="V30" s="1309" t="s">
        <v>1412</v>
      </c>
      <c r="W30" s="1310">
        <f t="shared" si="14"/>
        <v>100</v>
      </c>
      <c r="X30" s="1303"/>
      <c r="Y30" s="3701"/>
      <c r="Z30" s="1293">
        <f t="shared" si="15"/>
        <v>111</v>
      </c>
      <c r="AA30" s="1320">
        <f t="shared" si="3"/>
        <v>1</v>
      </c>
      <c r="AB30" s="1320">
        <f t="shared" si="4"/>
        <v>1</v>
      </c>
      <c r="AC30" s="1320">
        <f t="shared" si="5"/>
        <v>1</v>
      </c>
    </row>
    <row r="31" spans="1:29" ht="15">
      <c r="A31" s="1144"/>
      <c r="B31" s="1449">
        <v>111</v>
      </c>
      <c r="C31" s="1146"/>
      <c r="D31" s="1147">
        <v>100</v>
      </c>
      <c r="E31" s="1142"/>
      <c r="F31" s="1511">
        <f>SUMIF(98:98,E31,99:99)-SUMIF(98:98,C31,99:99)+100</f>
        <v>100</v>
      </c>
      <c r="G31" s="1142"/>
      <c r="H31" s="1147">
        <f>SUMIF(98:98,G31,99:99)-SUMIF(98:98,C31,99:99)+100</f>
        <v>100</v>
      </c>
      <c r="I31" s="1142"/>
      <c r="J31" s="1147">
        <f>SUMIF(98:98,I31,99:99)-SUMIF(98:98,C31,99:99)+100</f>
        <v>100</v>
      </c>
      <c r="K31" s="1278"/>
      <c r="L31" s="1273"/>
      <c r="M31" s="1261"/>
      <c r="N31" s="1261"/>
      <c r="O31" s="1261"/>
      <c r="P31" s="3753"/>
      <c r="Q31" s="816">
        <f t="shared" si="11"/>
        <v>111</v>
      </c>
      <c r="R31" s="1309" t="s">
        <v>1412</v>
      </c>
      <c r="S31" s="1310">
        <f t="shared" si="12"/>
        <v>100</v>
      </c>
      <c r="T31" s="1309" t="s">
        <v>1412</v>
      </c>
      <c r="U31" s="1310">
        <f t="shared" si="13"/>
        <v>100</v>
      </c>
      <c r="V31" s="1309" t="s">
        <v>1412</v>
      </c>
      <c r="W31" s="1310">
        <f t="shared" si="14"/>
        <v>100</v>
      </c>
      <c r="X31" s="1303"/>
      <c r="Y31" s="3701"/>
      <c r="Z31" s="1293">
        <f t="shared" si="15"/>
        <v>111</v>
      </c>
      <c r="AA31" s="1320">
        <f t="shared" si="3"/>
        <v>1</v>
      </c>
      <c r="AB31" s="1320">
        <f t="shared" si="4"/>
        <v>1</v>
      </c>
      <c r="AC31" s="1320">
        <f t="shared" si="5"/>
        <v>1</v>
      </c>
    </row>
    <row r="32" spans="1:29" ht="15">
      <c r="A32" s="1148" t="s">
        <v>1434</v>
      </c>
      <c r="B32" s="1127" t="s">
        <v>2001</v>
      </c>
      <c r="C32" s="1637"/>
      <c r="D32" s="1184">
        <v>100</v>
      </c>
      <c r="E32" s="1637"/>
      <c r="F32" s="1498">
        <f>SUMIF(100:100,E32,101:101)-SUMIF(100:100,C32,101:101)+100</f>
        <v>100</v>
      </c>
      <c r="G32" s="1637"/>
      <c r="H32" s="1143">
        <f>SUMIF(100:100,G32,101:101)-SUMIF(100:100,C32,101:101)+100</f>
        <v>100</v>
      </c>
      <c r="I32" s="1637"/>
      <c r="J32" s="1184">
        <f>SUMIF(100:100,I32,101:101)-SUMIF(100:100,C32,101:101)+100</f>
        <v>100</v>
      </c>
      <c r="K32" s="1279"/>
      <c r="L32" s="1273"/>
      <c r="M32" s="1261"/>
      <c r="N32" s="1261"/>
      <c r="O32" s="1261"/>
      <c r="P32" s="3754" t="s">
        <v>1436</v>
      </c>
      <c r="Q32" s="816" t="str">
        <f t="shared" si="11"/>
        <v>商业类型</v>
      </c>
      <c r="R32" s="1309" t="s">
        <v>1412</v>
      </c>
      <c r="S32" s="1310">
        <f t="shared" si="12"/>
        <v>100</v>
      </c>
      <c r="T32" s="1309" t="s">
        <v>1412</v>
      </c>
      <c r="U32" s="1310">
        <f t="shared" si="13"/>
        <v>100</v>
      </c>
      <c r="V32" s="1309" t="s">
        <v>1412</v>
      </c>
      <c r="W32" s="1310">
        <f t="shared" si="14"/>
        <v>100</v>
      </c>
      <c r="X32" s="1303"/>
      <c r="Y32" s="3703" t="s">
        <v>1436</v>
      </c>
      <c r="Z32" s="1293" t="str">
        <f t="shared" si="15"/>
        <v>商业类型</v>
      </c>
      <c r="AA32" s="1320">
        <f t="shared" si="3"/>
        <v>1</v>
      </c>
      <c r="AB32" s="1320">
        <f t="shared" si="4"/>
        <v>1</v>
      </c>
      <c r="AC32" s="1320">
        <f t="shared" si="5"/>
        <v>1</v>
      </c>
    </row>
    <row r="33" spans="1:29" s="1095" customFormat="1" ht="15">
      <c r="A33" s="1190"/>
      <c r="B33" s="1131" t="s">
        <v>1965</v>
      </c>
      <c r="C33" s="1492"/>
      <c r="D33" s="1133">
        <v>100</v>
      </c>
      <c r="E33" s="1136"/>
      <c r="F33" s="1491" t="e">
        <f>LOOKUP(E33,103:103,104:104)-LOOKUP(C33,103:103,104:104)+100</f>
        <v>#N/A</v>
      </c>
      <c r="G33" s="1135"/>
      <c r="H33" s="1133" t="e">
        <f>LOOKUP(G33,103:103,104:104)-LOOKUP(C33,103:103,104:104)+100</f>
        <v>#N/A</v>
      </c>
      <c r="I33" s="1135"/>
      <c r="J33" s="1133" t="e">
        <f>LOOKUP(I33,103:103,104:104)-LOOKUP(C33,103:103,104:104)+100</f>
        <v>#N/A</v>
      </c>
      <c r="K33" s="1278"/>
      <c r="L33" s="1271"/>
      <c r="M33" s="1280"/>
      <c r="N33" s="1280"/>
      <c r="O33" s="1280"/>
      <c r="P33" s="3755"/>
      <c r="Q33" s="1537" t="str">
        <f t="shared" si="11"/>
        <v>项目建筑规模</v>
      </c>
      <c r="R33" s="1311" t="s">
        <v>1412</v>
      </c>
      <c r="S33" s="1312" t="e">
        <f t="shared" si="12"/>
        <v>#N/A</v>
      </c>
      <c r="T33" s="1311" t="s">
        <v>1412</v>
      </c>
      <c r="U33" s="1312" t="e">
        <f t="shared" si="13"/>
        <v>#N/A</v>
      </c>
      <c r="V33" s="1311" t="s">
        <v>1412</v>
      </c>
      <c r="W33" s="1312" t="e">
        <f t="shared" si="14"/>
        <v>#N/A</v>
      </c>
      <c r="X33" s="1313"/>
      <c r="Y33" s="3703"/>
      <c r="Z33" s="1321" t="str">
        <f t="shared" si="15"/>
        <v>项目建筑规模</v>
      </c>
      <c r="AA33" s="1320" t="e">
        <f t="shared" si="3"/>
        <v>#N/A</v>
      </c>
      <c r="AB33" s="1320" t="e">
        <f t="shared" si="4"/>
        <v>#N/A</v>
      </c>
      <c r="AC33" s="1320" t="e">
        <f t="shared" si="5"/>
        <v>#N/A</v>
      </c>
    </row>
    <row r="34" spans="1:29" ht="15">
      <c r="A34" s="1185"/>
      <c r="B34" s="1131" t="s">
        <v>1966</v>
      </c>
      <c r="C34" s="1638"/>
      <c r="D34" s="1143">
        <v>100</v>
      </c>
      <c r="E34" s="1638"/>
      <c r="F34" s="1498">
        <f>SUMIF(105:105,E34,106:106)-SUMIF(105:105,C34,106:106)+100</f>
        <v>100</v>
      </c>
      <c r="G34" s="1638"/>
      <c r="H34" s="1143">
        <f>SUMIF(105:105,G34,106:106)-SUMIF(105:105,C34,106:106)+100</f>
        <v>100</v>
      </c>
      <c r="I34" s="1638"/>
      <c r="J34" s="1143">
        <f>SUMIF(105:105,I34,106:106)-SUMIF(105:105,C34,106:106)+100</f>
        <v>100</v>
      </c>
      <c r="K34" s="1279"/>
      <c r="L34" s="1273"/>
      <c r="M34" s="1261"/>
      <c r="N34" s="1261"/>
      <c r="O34" s="1261"/>
      <c r="P34" s="3755"/>
      <c r="Q34" s="816" t="str">
        <f t="shared" si="11"/>
        <v>建筑结构</v>
      </c>
      <c r="R34" s="1309" t="s">
        <v>1412</v>
      </c>
      <c r="S34" s="1310">
        <f t="shared" si="12"/>
        <v>100</v>
      </c>
      <c r="T34" s="1309" t="s">
        <v>1412</v>
      </c>
      <c r="U34" s="1310">
        <f t="shared" si="13"/>
        <v>100</v>
      </c>
      <c r="V34" s="1309" t="s">
        <v>1412</v>
      </c>
      <c r="W34" s="1310">
        <f t="shared" si="14"/>
        <v>100</v>
      </c>
      <c r="X34" s="1303"/>
      <c r="Y34" s="3703"/>
      <c r="Z34" s="1293" t="str">
        <f t="shared" si="15"/>
        <v>建筑结构</v>
      </c>
      <c r="AA34" s="1320">
        <f t="shared" si="3"/>
        <v>1</v>
      </c>
      <c r="AB34" s="1320">
        <f t="shared" si="4"/>
        <v>1</v>
      </c>
      <c r="AC34" s="1320">
        <f t="shared" si="5"/>
        <v>1</v>
      </c>
    </row>
    <row r="35" spans="1:29" ht="15">
      <c r="A35" s="1185"/>
      <c r="B35" s="1131" t="s">
        <v>1441</v>
      </c>
      <c r="C35" s="1186"/>
      <c r="D35" s="1143">
        <v>100</v>
      </c>
      <c r="E35" s="1186"/>
      <c r="F35" s="1498">
        <f>SUMIF(107:107,E35,108:108)-SUMIF(107:107,C35,108:108)+100</f>
        <v>100</v>
      </c>
      <c r="G35" s="1186"/>
      <c r="H35" s="1143">
        <f>SUMIF(107:107,G35,108:108)-SUMIF(107:107,C35,108:108)+100</f>
        <v>100</v>
      </c>
      <c r="I35" s="1186"/>
      <c r="J35" s="1143">
        <f>SUMIF(107:107,I35,108:108)-SUMIF(107:107,C35,108:108)+100</f>
        <v>100</v>
      </c>
      <c r="K35" s="1279"/>
      <c r="L35" s="1273"/>
      <c r="M35" s="1261"/>
      <c r="N35" s="1261"/>
      <c r="O35" s="1261"/>
      <c r="P35" s="3755"/>
      <c r="Q35" s="816" t="str">
        <f t="shared" si="11"/>
        <v>公共部分装修</v>
      </c>
      <c r="R35" s="1309" t="s">
        <v>1412</v>
      </c>
      <c r="S35" s="1310">
        <f t="shared" si="12"/>
        <v>100</v>
      </c>
      <c r="T35" s="1309" t="s">
        <v>1412</v>
      </c>
      <c r="U35" s="1310">
        <f t="shared" si="13"/>
        <v>100</v>
      </c>
      <c r="V35" s="1309" t="s">
        <v>1412</v>
      </c>
      <c r="W35" s="1310">
        <f t="shared" si="14"/>
        <v>100</v>
      </c>
      <c r="X35" s="1303"/>
      <c r="Y35" s="3703"/>
      <c r="Z35" s="1293" t="str">
        <f t="shared" si="15"/>
        <v>公共部分装修</v>
      </c>
      <c r="AA35" s="1320">
        <f t="shared" si="3"/>
        <v>1</v>
      </c>
      <c r="AB35" s="1320">
        <f t="shared" si="4"/>
        <v>1</v>
      </c>
      <c r="AC35" s="1320">
        <f t="shared" si="5"/>
        <v>1</v>
      </c>
    </row>
    <row r="36" spans="1:29" ht="15">
      <c r="A36" s="1185"/>
      <c r="B36" s="1131" t="s">
        <v>683</v>
      </c>
      <c r="C36" s="1505"/>
      <c r="D36" s="1143">
        <v>100</v>
      </c>
      <c r="E36" s="1505"/>
      <c r="F36" s="1498" t="e">
        <f>LOOKUP(E36,110:110,111:111)-LOOKUP(C36,110:110,111:111)+100</f>
        <v>#N/A</v>
      </c>
      <c r="G36" s="1505"/>
      <c r="H36" s="1498" t="e">
        <f>LOOKUP(G36,110:110,111:111)-LOOKUP(C36,110:110,111:111)+100</f>
        <v>#N/A</v>
      </c>
      <c r="I36" s="1505"/>
      <c r="J36" s="1143" t="e">
        <f>LOOKUP(I36,110:110,111:111)-LOOKUP(C36,110:110,111:111)+100</f>
        <v>#N/A</v>
      </c>
      <c r="K36" s="1279"/>
      <c r="L36" s="1273"/>
      <c r="M36" s="1261"/>
      <c r="N36" s="1261"/>
      <c r="O36" s="1261"/>
      <c r="P36" s="3755"/>
      <c r="Q36" s="816" t="str">
        <f t="shared" si="11"/>
        <v>成新度</v>
      </c>
      <c r="R36" s="1309" t="s">
        <v>1412</v>
      </c>
      <c r="S36" s="1310" t="e">
        <f t="shared" si="12"/>
        <v>#N/A</v>
      </c>
      <c r="T36" s="1309" t="s">
        <v>1412</v>
      </c>
      <c r="U36" s="1310" t="e">
        <f t="shared" si="13"/>
        <v>#N/A</v>
      </c>
      <c r="V36" s="1309" t="s">
        <v>1412</v>
      </c>
      <c r="W36" s="1310" t="e">
        <f t="shared" si="14"/>
        <v>#N/A</v>
      </c>
      <c r="X36" s="1303"/>
      <c r="Y36" s="3703"/>
      <c r="Z36" s="1293" t="str">
        <f t="shared" si="15"/>
        <v>成新度</v>
      </c>
      <c r="AA36" s="1320" t="e">
        <f t="shared" si="3"/>
        <v>#N/A</v>
      </c>
      <c r="AB36" s="1320" t="e">
        <f t="shared" si="4"/>
        <v>#N/A</v>
      </c>
      <c r="AC36" s="1320" t="e">
        <f t="shared" si="5"/>
        <v>#N/A</v>
      </c>
    </row>
    <row r="37" spans="1:29" s="1093" customFormat="1" ht="15">
      <c r="A37" s="1187"/>
      <c r="B37" s="1131" t="s">
        <v>1969</v>
      </c>
      <c r="C37" s="1186"/>
      <c r="D37" s="1133">
        <v>100</v>
      </c>
      <c r="E37" s="1186"/>
      <c r="F37" s="1498">
        <f>SUMIF(112:112,E37,113:113)-SUMIF(112:112,C37,113:113)+100</f>
        <v>100</v>
      </c>
      <c r="G37" s="1186"/>
      <c r="H37" s="1143">
        <f>SUMIF(112:112,G37,113:113)-SUMIF(112:112,C37,113:113)+100</f>
        <v>100</v>
      </c>
      <c r="I37" s="1186"/>
      <c r="J37" s="1143">
        <f>SUMIF(112:112,I37,113:113)-SUMIF(112:112,C37,113:113)+100</f>
        <v>100</v>
      </c>
      <c r="K37" s="1279"/>
      <c r="L37" s="1263"/>
      <c r="M37" s="1264"/>
      <c r="N37" s="1264"/>
      <c r="O37" s="1264"/>
      <c r="P37" s="3755"/>
      <c r="Q37" s="1308" t="str">
        <f t="shared" si="11"/>
        <v>市政基础设施</v>
      </c>
      <c r="R37" s="1304" t="s">
        <v>1412</v>
      </c>
      <c r="S37" s="1305">
        <f t="shared" si="12"/>
        <v>100</v>
      </c>
      <c r="T37" s="1304" t="s">
        <v>1412</v>
      </c>
      <c r="U37" s="1305">
        <f t="shared" si="13"/>
        <v>100</v>
      </c>
      <c r="V37" s="1304" t="s">
        <v>1412</v>
      </c>
      <c r="W37" s="1305">
        <f t="shared" si="14"/>
        <v>100</v>
      </c>
      <c r="X37" s="1306"/>
      <c r="Y37" s="3703"/>
      <c r="Z37" s="1319" t="str">
        <f t="shared" si="15"/>
        <v>市政基础设施</v>
      </c>
      <c r="AA37" s="1318">
        <f t="shared" si="3"/>
        <v>1</v>
      </c>
      <c r="AB37" s="1318">
        <f t="shared" si="4"/>
        <v>1</v>
      </c>
      <c r="AC37" s="1318">
        <f t="shared" si="5"/>
        <v>1</v>
      </c>
    </row>
    <row r="38" spans="1:29" ht="15">
      <c r="A38" s="1185"/>
      <c r="B38" s="1131" t="s">
        <v>2002</v>
      </c>
      <c r="C38" s="1186"/>
      <c r="D38" s="1143">
        <v>100</v>
      </c>
      <c r="E38" s="1186"/>
      <c r="F38" s="1498">
        <f>SUMIF(114:114,E38,115:115)-SUMIF(114:114,C38,115:115)+100</f>
        <v>100</v>
      </c>
      <c r="G38" s="1186"/>
      <c r="H38" s="1143">
        <f>SUMIF(114:114,G38,115:115)-SUMIF(114:114,C38,115:115)+100</f>
        <v>100</v>
      </c>
      <c r="I38" s="1186"/>
      <c r="J38" s="1143">
        <f>SUMIF(114:114,I38,115:115)-SUMIF(114:114,C38,115:115)+100</f>
        <v>100</v>
      </c>
      <c r="K38" s="1279"/>
      <c r="L38" s="1273"/>
      <c r="M38" s="1261"/>
      <c r="N38" s="1261"/>
      <c r="O38" s="1261"/>
      <c r="P38" s="3755" t="s">
        <v>1436</v>
      </c>
      <c r="Q38" s="816" t="str">
        <f t="shared" si="11"/>
        <v>业态</v>
      </c>
      <c r="R38" s="1309" t="s">
        <v>1412</v>
      </c>
      <c r="S38" s="1310">
        <f t="shared" si="12"/>
        <v>100</v>
      </c>
      <c r="T38" s="1309" t="s">
        <v>1412</v>
      </c>
      <c r="U38" s="1310">
        <f t="shared" si="13"/>
        <v>100</v>
      </c>
      <c r="V38" s="1309" t="s">
        <v>1412</v>
      </c>
      <c r="W38" s="1310">
        <f t="shared" si="14"/>
        <v>100</v>
      </c>
      <c r="X38" s="1303"/>
      <c r="Y38" s="3703" t="s">
        <v>1436</v>
      </c>
      <c r="Z38" s="1293" t="str">
        <f t="shared" si="15"/>
        <v>业态</v>
      </c>
      <c r="AA38" s="1320">
        <f t="shared" si="3"/>
        <v>1</v>
      </c>
      <c r="AB38" s="1320">
        <f t="shared" si="4"/>
        <v>1</v>
      </c>
      <c r="AC38" s="1320">
        <f t="shared" si="5"/>
        <v>1</v>
      </c>
    </row>
    <row r="39" spans="1:29" ht="15">
      <c r="A39" s="1185"/>
      <c r="B39" s="1131" t="s">
        <v>2003</v>
      </c>
      <c r="C39" s="1186"/>
      <c r="D39" s="1143">
        <v>100</v>
      </c>
      <c r="E39" s="1186"/>
      <c r="F39" s="1498">
        <f>SUMIF(116:116,E39,117:117)-SUMIF(116:116,C39,117:117)+100</f>
        <v>100</v>
      </c>
      <c r="G39" s="1186"/>
      <c r="H39" s="1143">
        <f>SUMIF(116:116,G39,117:117)-SUMIF(116:116,C39,117:117)+100</f>
        <v>100</v>
      </c>
      <c r="I39" s="1186"/>
      <c r="J39" s="1143">
        <f>SUMIF(116:116,I39,117:117)-SUMIF(116:116,C39,117:117)+100</f>
        <v>100</v>
      </c>
      <c r="K39" s="1279"/>
      <c r="L39" s="1273"/>
      <c r="M39" s="1261"/>
      <c r="N39" s="1261"/>
      <c r="O39" s="1261"/>
      <c r="P39" s="3755"/>
      <c r="Q39" s="816" t="str">
        <f t="shared" si="11"/>
        <v>层高</v>
      </c>
      <c r="R39" s="1309" t="s">
        <v>1412</v>
      </c>
      <c r="S39" s="1310">
        <f t="shared" si="12"/>
        <v>100</v>
      </c>
      <c r="T39" s="1309" t="s">
        <v>1412</v>
      </c>
      <c r="U39" s="1310">
        <f t="shared" si="13"/>
        <v>100</v>
      </c>
      <c r="V39" s="1309" t="s">
        <v>1412</v>
      </c>
      <c r="W39" s="1310">
        <f t="shared" si="14"/>
        <v>100</v>
      </c>
      <c r="X39" s="1303"/>
      <c r="Y39" s="3703"/>
      <c r="Z39" s="1293" t="str">
        <f t="shared" si="15"/>
        <v>层高</v>
      </c>
      <c r="AA39" s="1320">
        <f t="shared" si="3"/>
        <v>1</v>
      </c>
      <c r="AB39" s="1320">
        <f t="shared" si="4"/>
        <v>1</v>
      </c>
      <c r="AC39" s="1320">
        <f t="shared" si="5"/>
        <v>1</v>
      </c>
    </row>
    <row r="40" spans="1:29" ht="15">
      <c r="A40" s="1185"/>
      <c r="B40" s="1131" t="s">
        <v>2004</v>
      </c>
      <c r="C40" s="1639"/>
      <c r="D40" s="1143">
        <v>100</v>
      </c>
      <c r="E40" s="1640"/>
      <c r="F40" s="1498">
        <f>SUMIF(118:118,E40,119:119)-SUMIF(118:118,C40,119:119)+100</f>
        <v>100</v>
      </c>
      <c r="G40" s="1640"/>
      <c r="H40" s="1143">
        <f>SUMIF(118:118,G40,119:119)-SUMIF(118:118,C40,119:119)+100</f>
        <v>100</v>
      </c>
      <c r="I40" s="1640"/>
      <c r="J40" s="1143">
        <f>SUMIF(118:118,I40,119:119)-SUMIF(118:118,C40,119:119)+100</f>
        <v>100</v>
      </c>
      <c r="K40" s="1278"/>
      <c r="L40" s="1273"/>
      <c r="M40" s="1261"/>
      <c r="N40" s="1261"/>
      <c r="O40" s="1261"/>
      <c r="P40" s="3755"/>
      <c r="Q40" s="816" t="str">
        <f t="shared" si="11"/>
        <v>单套建筑面积</v>
      </c>
      <c r="R40" s="1309" t="s">
        <v>1412</v>
      </c>
      <c r="S40" s="1310">
        <f t="shared" si="12"/>
        <v>100</v>
      </c>
      <c r="T40" s="1309" t="s">
        <v>1412</v>
      </c>
      <c r="U40" s="1310">
        <f t="shared" si="13"/>
        <v>100</v>
      </c>
      <c r="V40" s="1309" t="s">
        <v>1412</v>
      </c>
      <c r="W40" s="1310">
        <f t="shared" si="14"/>
        <v>100</v>
      </c>
      <c r="X40" s="1303"/>
      <c r="Y40" s="3703"/>
      <c r="Z40" s="1293" t="str">
        <f t="shared" si="15"/>
        <v>单套建筑面积</v>
      </c>
      <c r="AA40" s="1320">
        <f t="shared" si="3"/>
        <v>1</v>
      </c>
      <c r="AB40" s="1320">
        <f t="shared" si="4"/>
        <v>1</v>
      </c>
      <c r="AC40" s="1320">
        <f t="shared" si="5"/>
        <v>1</v>
      </c>
    </row>
    <row r="41" spans="1:29" s="1095" customFormat="1" ht="15">
      <c r="A41" s="1190"/>
      <c r="B41" s="1288" t="s">
        <v>2005</v>
      </c>
      <c r="C41" s="1168"/>
      <c r="D41" s="1143">
        <v>100</v>
      </c>
      <c r="E41" s="1168"/>
      <c r="F41" s="1498">
        <f>SUMIF(120:120,E41,121:121)-SUMIF(120:120,C41,121:121)+100</f>
        <v>100</v>
      </c>
      <c r="G41" s="1168"/>
      <c r="H41" s="1143">
        <f>SUMIF(120:120,G41,121:121)-SUMIF(120:120,C41,121:121)+100</f>
        <v>100</v>
      </c>
      <c r="I41" s="1168"/>
      <c r="J41" s="1143">
        <f>SUMIF(120:120,I41,121:121)-SUMIF(120:120,C41,121:121)+100</f>
        <v>100</v>
      </c>
      <c r="K41" s="1279"/>
      <c r="L41" s="1271"/>
      <c r="M41" s="1280"/>
      <c r="N41" s="1280"/>
      <c r="O41" s="1280"/>
      <c r="P41" s="3755"/>
      <c r="Q41" s="1537" t="str">
        <f t="shared" si="11"/>
        <v>进深比</v>
      </c>
      <c r="R41" s="1311" t="s">
        <v>1412</v>
      </c>
      <c r="S41" s="1312">
        <f t="shared" si="12"/>
        <v>100</v>
      </c>
      <c r="T41" s="1311" t="s">
        <v>1412</v>
      </c>
      <c r="U41" s="1312">
        <f t="shared" si="13"/>
        <v>100</v>
      </c>
      <c r="V41" s="1311" t="s">
        <v>1412</v>
      </c>
      <c r="W41" s="1312">
        <f t="shared" si="14"/>
        <v>100</v>
      </c>
      <c r="X41" s="1313"/>
      <c r="Y41" s="3703"/>
      <c r="Z41" s="1321" t="str">
        <f t="shared" si="15"/>
        <v>进深比</v>
      </c>
      <c r="AA41" s="1320">
        <f t="shared" si="3"/>
        <v>1</v>
      </c>
      <c r="AB41" s="1320">
        <f t="shared" si="4"/>
        <v>1</v>
      </c>
      <c r="AC41" s="1320">
        <f t="shared" si="5"/>
        <v>1</v>
      </c>
    </row>
    <row r="42" spans="1:29" ht="15">
      <c r="A42" s="1185"/>
      <c r="B42" s="1131" t="s">
        <v>1972</v>
      </c>
      <c r="C42" s="1186"/>
      <c r="D42" s="1143">
        <v>100</v>
      </c>
      <c r="E42" s="1186"/>
      <c r="F42" s="1498">
        <f>SUMIF(122:122,E42,123:123)-SUMIF(122:122,C42,123:123)+100</f>
        <v>100</v>
      </c>
      <c r="G42" s="1186"/>
      <c r="H42" s="1143">
        <f>SUMIF(122:122,G42,123:123)-SUMIF(122:122,C42,123:123)+100</f>
        <v>100</v>
      </c>
      <c r="I42" s="1186"/>
      <c r="J42" s="1143">
        <f>SUMIF(122:122,I42,123:123)-SUMIF(122:122,C42,123:123)+100</f>
        <v>100</v>
      </c>
      <c r="K42" s="1279"/>
      <c r="L42" s="1273"/>
      <c r="M42" s="1261"/>
      <c r="N42" s="1261"/>
      <c r="O42" s="1261"/>
      <c r="P42" s="3755"/>
      <c r="Q42" s="816" t="str">
        <f t="shared" si="11"/>
        <v>内部装修</v>
      </c>
      <c r="R42" s="1309" t="s">
        <v>1412</v>
      </c>
      <c r="S42" s="1310">
        <f t="shared" si="12"/>
        <v>100</v>
      </c>
      <c r="T42" s="1309" t="s">
        <v>1412</v>
      </c>
      <c r="U42" s="1310">
        <f t="shared" si="13"/>
        <v>100</v>
      </c>
      <c r="V42" s="1309" t="s">
        <v>1412</v>
      </c>
      <c r="W42" s="1310">
        <f t="shared" si="14"/>
        <v>100</v>
      </c>
      <c r="X42" s="1303"/>
      <c r="Y42" s="3703"/>
      <c r="Z42" s="1293" t="str">
        <f t="shared" si="15"/>
        <v>内部装修</v>
      </c>
      <c r="AA42" s="1320">
        <f t="shared" si="3"/>
        <v>1</v>
      </c>
      <c r="AB42" s="1320">
        <f t="shared" si="4"/>
        <v>1</v>
      </c>
      <c r="AC42" s="1320">
        <f t="shared" si="5"/>
        <v>1</v>
      </c>
    </row>
    <row r="43" spans="1:29" ht="15">
      <c r="A43" s="1185"/>
      <c r="B43" s="1131" t="s">
        <v>1973</v>
      </c>
      <c r="C43" s="1186"/>
      <c r="D43" s="1143">
        <v>100</v>
      </c>
      <c r="E43" s="1186"/>
      <c r="F43" s="1498">
        <f>SUMIF(124:124,E43,125:125)-SUMIF(124:124,C43,125:125)+100</f>
        <v>100</v>
      </c>
      <c r="G43" s="1186"/>
      <c r="H43" s="1143">
        <f>SUMIF(124:124,G43,125:125)-SUMIF(124:124,C43,125:125)+100</f>
        <v>100</v>
      </c>
      <c r="I43" s="1186"/>
      <c r="J43" s="1143">
        <f>SUMIF(124:124,I43,125:125)-SUMIF(124:124,C43,125:125)+100</f>
        <v>100</v>
      </c>
      <c r="K43" s="1279"/>
      <c r="L43" s="1273"/>
      <c r="M43" s="1261"/>
      <c r="N43" s="1261"/>
      <c r="O43" s="1261"/>
      <c r="P43" s="3755"/>
      <c r="Q43" s="816" t="str">
        <f t="shared" si="11"/>
        <v>内部装修维护情况</v>
      </c>
      <c r="R43" s="1309" t="s">
        <v>1412</v>
      </c>
      <c r="S43" s="1310">
        <f t="shared" si="12"/>
        <v>100</v>
      </c>
      <c r="T43" s="1309" t="s">
        <v>1412</v>
      </c>
      <c r="U43" s="1310">
        <f t="shared" si="13"/>
        <v>100</v>
      </c>
      <c r="V43" s="1309" t="s">
        <v>1412</v>
      </c>
      <c r="W43" s="1310">
        <f t="shared" si="14"/>
        <v>100</v>
      </c>
      <c r="X43" s="1303"/>
      <c r="Y43" s="3703"/>
      <c r="Z43" s="1293" t="str">
        <f t="shared" si="15"/>
        <v>内部装修维护情况</v>
      </c>
      <c r="AA43" s="1320">
        <f t="shared" si="3"/>
        <v>1</v>
      </c>
      <c r="AB43" s="1320">
        <f t="shared" si="4"/>
        <v>1</v>
      </c>
      <c r="AC43" s="1320">
        <f t="shared" si="5"/>
        <v>1</v>
      </c>
    </row>
    <row r="44" spans="1:29" s="1093" customFormat="1" ht="15">
      <c r="A44" s="1187"/>
      <c r="B44" s="1449">
        <v>111</v>
      </c>
      <c r="C44" s="1492"/>
      <c r="D44" s="1133">
        <v>100</v>
      </c>
      <c r="E44" s="1142"/>
      <c r="F44" s="1491">
        <f>SUMIF(126:126,E44,127:127)-SUMIF(126:126,C44,127:127)+100</f>
        <v>100</v>
      </c>
      <c r="G44" s="1142"/>
      <c r="H44" s="1133">
        <f>SUMIF(126:126,G44,127:127)-SUMIF(126:126,C44,127:127)+100</f>
        <v>100</v>
      </c>
      <c r="I44" s="1142"/>
      <c r="J44" s="1133">
        <f>SUMIF(126:126,I44,127:127)-SUMIF(126:126,C44,127:127)+100</f>
        <v>100</v>
      </c>
      <c r="K44" s="1278"/>
      <c r="L44" s="1263"/>
      <c r="M44" s="1264"/>
      <c r="N44" s="1264"/>
      <c r="O44" s="1264"/>
      <c r="P44" s="3755"/>
      <c r="Q44" s="1308">
        <f t="shared" si="11"/>
        <v>111</v>
      </c>
      <c r="R44" s="1304" t="s">
        <v>1412</v>
      </c>
      <c r="S44" s="1305">
        <f t="shared" si="12"/>
        <v>100</v>
      </c>
      <c r="T44" s="1304" t="s">
        <v>1412</v>
      </c>
      <c r="U44" s="1305">
        <f t="shared" si="13"/>
        <v>100</v>
      </c>
      <c r="V44" s="1304" t="s">
        <v>1412</v>
      </c>
      <c r="W44" s="1305">
        <f t="shared" si="14"/>
        <v>100</v>
      </c>
      <c r="X44" s="1306"/>
      <c r="Y44" s="3703"/>
      <c r="Z44" s="1319">
        <f t="shared" si="15"/>
        <v>111</v>
      </c>
      <c r="AA44" s="1318">
        <f t="shared" si="3"/>
        <v>1</v>
      </c>
      <c r="AB44" s="1318">
        <f t="shared" si="4"/>
        <v>1</v>
      </c>
      <c r="AC44" s="1318">
        <f t="shared" si="5"/>
        <v>1</v>
      </c>
    </row>
    <row r="45" spans="1:29" ht="15">
      <c r="A45" s="1185"/>
      <c r="B45" s="1449">
        <v>111</v>
      </c>
      <c r="C45" s="1142"/>
      <c r="D45" s="1143">
        <v>100</v>
      </c>
      <c r="E45" s="1142"/>
      <c r="F45" s="1498">
        <f>SUMIF(128:128,E45,129:129)-SUMIF(128:128,C45,129:129)+100</f>
        <v>100</v>
      </c>
      <c r="G45" s="1142"/>
      <c r="H45" s="1143">
        <f>SUMIF(128:128,G45,129:129)-SUMIF(128:128,C45,129:129)+100</f>
        <v>100</v>
      </c>
      <c r="I45" s="1142"/>
      <c r="J45" s="1143">
        <f>SUMIF(128:128,I45,129:129)-SUMIF(128:128,C45,129:129)+100</f>
        <v>100</v>
      </c>
      <c r="K45" s="1278"/>
      <c r="L45" s="1273"/>
      <c r="M45" s="1261"/>
      <c r="N45" s="1261"/>
      <c r="O45" s="1261"/>
      <c r="P45" s="3755"/>
      <c r="Q45" s="816">
        <f t="shared" si="11"/>
        <v>111</v>
      </c>
      <c r="R45" s="1309" t="s">
        <v>1412</v>
      </c>
      <c r="S45" s="1310">
        <f t="shared" si="12"/>
        <v>100</v>
      </c>
      <c r="T45" s="1309" t="s">
        <v>1412</v>
      </c>
      <c r="U45" s="1310">
        <f t="shared" si="13"/>
        <v>100</v>
      </c>
      <c r="V45" s="1309" t="s">
        <v>1412</v>
      </c>
      <c r="W45" s="1310">
        <f t="shared" si="14"/>
        <v>100</v>
      </c>
      <c r="X45" s="1303"/>
      <c r="Y45" s="3703"/>
      <c r="Z45" s="1293">
        <f t="shared" si="15"/>
        <v>111</v>
      </c>
      <c r="AA45" s="1320">
        <f t="shared" si="3"/>
        <v>1</v>
      </c>
      <c r="AB45" s="1320">
        <f t="shared" si="4"/>
        <v>1</v>
      </c>
      <c r="AC45" s="1320">
        <f t="shared" si="5"/>
        <v>1</v>
      </c>
    </row>
    <row r="46" spans="1:29" ht="15">
      <c r="A46" s="1510"/>
      <c r="B46" s="1145">
        <v>111</v>
      </c>
      <c r="C46" s="1146"/>
      <c r="D46" s="1147">
        <v>100</v>
      </c>
      <c r="E46" s="1142"/>
      <c r="F46" s="1511">
        <f>SUMIF(130:130,E46,131:131)-SUMIF(130:130,C46,131:131)+100</f>
        <v>100</v>
      </c>
      <c r="G46" s="1142"/>
      <c r="H46" s="1147">
        <f>SUMIF(130:130,G46,131:131)-SUMIF(130:130,C46,131:131)+100</f>
        <v>100</v>
      </c>
      <c r="I46" s="1142"/>
      <c r="J46" s="1147">
        <f>SUMIF(130:130,I46,131:131)-SUMIF(130:130,C46,131:131)+100</f>
        <v>100</v>
      </c>
      <c r="K46" s="1278"/>
      <c r="L46" s="1273"/>
      <c r="M46" s="1261"/>
      <c r="N46" s="1261"/>
      <c r="O46" s="1261"/>
      <c r="P46" s="3756"/>
      <c r="Q46" s="816">
        <f t="shared" si="11"/>
        <v>111</v>
      </c>
      <c r="R46" s="1309" t="s">
        <v>1412</v>
      </c>
      <c r="S46" s="1310">
        <f t="shared" si="12"/>
        <v>100</v>
      </c>
      <c r="T46" s="1309" t="s">
        <v>1412</v>
      </c>
      <c r="U46" s="1310">
        <f t="shared" si="13"/>
        <v>100</v>
      </c>
      <c r="V46" s="1309" t="s">
        <v>1412</v>
      </c>
      <c r="W46" s="1310">
        <f t="shared" si="14"/>
        <v>100</v>
      </c>
      <c r="X46" s="1303"/>
      <c r="Y46" s="3757"/>
      <c r="Z46" s="1293">
        <f t="shared" si="15"/>
        <v>111</v>
      </c>
      <c r="AA46" s="1320">
        <f t="shared" si="3"/>
        <v>1</v>
      </c>
      <c r="AB46" s="1320">
        <f t="shared" si="4"/>
        <v>1</v>
      </c>
      <c r="AC46" s="1320">
        <f t="shared" si="5"/>
        <v>1</v>
      </c>
    </row>
    <row r="47" spans="1:29" ht="15">
      <c r="A47" s="1192" t="s">
        <v>1974</v>
      </c>
      <c r="B47" s="1512"/>
      <c r="C47" s="1513" t="s">
        <v>124</v>
      </c>
      <c r="D47" s="1514"/>
      <c r="E47" s="1515"/>
      <c r="F47" s="1516"/>
      <c r="G47" s="1517"/>
      <c r="H47" s="1518"/>
      <c r="I47" s="1515"/>
      <c r="J47" s="1518"/>
      <c r="K47" s="1284"/>
      <c r="L47" s="1285"/>
      <c r="M47" s="1209"/>
      <c r="N47" s="1261"/>
      <c r="O47" s="1209"/>
      <c r="P47" s="3695" t="str">
        <f>A47</f>
        <v>成交单价（元/平方米）</v>
      </c>
      <c r="Q47" s="3695"/>
      <c r="R47" s="3719">
        <f>E47</f>
        <v>0</v>
      </c>
      <c r="S47" s="3719"/>
      <c r="T47" s="3719">
        <f>G47</f>
        <v>0</v>
      </c>
      <c r="U47" s="3719"/>
      <c r="V47" s="3719">
        <f>I47</f>
        <v>0</v>
      </c>
      <c r="W47" s="3719"/>
      <c r="X47" s="1249"/>
      <c r="Y47" s="1322"/>
      <c r="Z47" s="1249"/>
      <c r="AA47" s="1249"/>
      <c r="AB47" s="1249"/>
      <c r="AC47" s="1249"/>
    </row>
    <row r="48" spans="1:29" ht="15">
      <c r="A48" s="1200" t="s">
        <v>1451</v>
      </c>
      <c r="B48" s="1519"/>
      <c r="C48" s="1520" t="e">
        <f>R49</f>
        <v>#DIV/0!</v>
      </c>
      <c r="D48" s="1203" t="s">
        <v>1452</v>
      </c>
      <c r="E48" s="1521" t="e">
        <f>R48</f>
        <v>#DIV/0!</v>
      </c>
      <c r="F48" s="1204"/>
      <c r="G48" s="1520" t="e">
        <f>T48</f>
        <v>#DIV/0!</v>
      </c>
      <c r="H48" s="1204"/>
      <c r="I48" s="1521" t="e">
        <f>V48</f>
        <v>#DIV/0!</v>
      </c>
      <c r="J48" s="1204"/>
      <c r="K48" s="1286">
        <f>F48+H48+J48</f>
        <v>0</v>
      </c>
      <c r="L48" s="1285"/>
      <c r="M48" s="1209"/>
      <c r="N48" s="1261"/>
      <c r="O48" s="1209"/>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249"/>
      <c r="Y48" s="1249"/>
      <c r="Z48" s="1249"/>
      <c r="AA48" s="1249"/>
      <c r="AB48" s="1249"/>
      <c r="AC48" s="1249"/>
    </row>
    <row r="49" spans="1:29" ht="15">
      <c r="A49" s="1206" t="s">
        <v>1975</v>
      </c>
      <c r="B49" s="1207"/>
      <c r="C49" s="1522" t="e">
        <f>R49</f>
        <v>#DIV/0!</v>
      </c>
      <c r="D49" s="1522"/>
      <c r="E49" s="1522"/>
      <c r="F49" s="1522"/>
      <c r="G49" s="1522"/>
      <c r="H49" s="1522"/>
      <c r="I49" s="1522"/>
      <c r="J49" s="1522"/>
      <c r="K49" s="1287"/>
      <c r="L49" s="1285"/>
      <c r="M49" s="1209"/>
      <c r="N49" s="1261"/>
      <c r="O49" s="1209"/>
      <c r="P49" s="3697" t="str">
        <f>A49</f>
        <v>估价对象XX用房的比较价值（楼面单价，元/平方米）</v>
      </c>
      <c r="Q49" s="3698"/>
      <c r="R49" s="3750" t="e">
        <f>IF(F1="售价",ROUND(IF(D48="简单平均",AVERAGE(R48:V48),R48*F48+T48*H48+V48*J48),0),ROUND(IF(D48="简单平均",AVERAGE(R48:V48),R48*F48+T48*H48+V48*J48),1))</f>
        <v>#DIV/0!</v>
      </c>
      <c r="S49" s="3750"/>
      <c r="T49" s="3750"/>
      <c r="U49" s="3750"/>
      <c r="V49" s="3750"/>
      <c r="W49" s="3750"/>
      <c r="X49" s="1249"/>
      <c r="Y49" s="1249"/>
      <c r="Z49" s="1249"/>
      <c r="AA49" s="1249"/>
      <c r="AB49" s="1249"/>
      <c r="AC49" s="1249"/>
    </row>
    <row r="50" spans="1:29">
      <c r="A50" s="1209"/>
      <c r="B50" s="1209"/>
      <c r="C50" s="1209"/>
      <c r="D50" s="1209"/>
      <c r="E50" s="1209"/>
      <c r="F50" s="1209"/>
      <c r="G50" s="1210"/>
      <c r="H50" s="1209"/>
      <c r="I50" s="1209"/>
      <c r="J50" s="1209"/>
      <c r="K50" s="1289"/>
      <c r="L50" s="1290"/>
      <c r="M50" s="1209"/>
      <c r="N50" s="1209"/>
      <c r="O50" s="1209"/>
      <c r="P50" s="1643"/>
      <c r="Q50" s="1209"/>
      <c r="R50" s="1209"/>
      <c r="S50" s="1209"/>
      <c r="T50" s="1209"/>
      <c r="U50" s="1209"/>
      <c r="V50" s="1209"/>
      <c r="W50" s="1209"/>
      <c r="X50" s="1209"/>
      <c r="Y50" s="1209"/>
      <c r="Z50" s="1209"/>
      <c r="AA50" s="1209"/>
      <c r="AB50" s="1209"/>
      <c r="AC50" s="1209"/>
    </row>
    <row r="51" spans="1:29">
      <c r="A51" s="1209"/>
      <c r="B51" s="1209"/>
      <c r="C51" s="1209"/>
      <c r="D51" s="1209"/>
      <c r="E51" s="1209"/>
      <c r="F51" s="1209"/>
      <c r="G51" s="1209"/>
      <c r="H51" s="1209"/>
      <c r="I51" s="1209"/>
      <c r="J51" s="1209"/>
      <c r="K51" s="1289"/>
      <c r="L51" s="1290"/>
      <c r="M51" s="1209"/>
      <c r="N51" s="1209"/>
      <c r="O51" s="1209"/>
      <c r="P51" s="1643"/>
      <c r="Q51" s="1209"/>
      <c r="R51" s="1209"/>
      <c r="S51" s="1209"/>
      <c r="T51" s="1209"/>
      <c r="U51" s="1209"/>
      <c r="V51" s="1209"/>
      <c r="W51" s="1209"/>
      <c r="X51" s="1209"/>
      <c r="Y51" s="1209"/>
      <c r="Z51" s="1209"/>
      <c r="AA51" s="1209"/>
      <c r="AB51" s="1209"/>
      <c r="AC51" s="1209"/>
    </row>
    <row r="52" spans="1:29" ht="13.5" customHeight="1">
      <c r="A52" s="1209"/>
      <c r="B52" s="1209"/>
      <c r="C52" s="1211" t="s">
        <v>1454</v>
      </c>
      <c r="D52" s="860"/>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K52" s="1289"/>
      <c r="L52" s="1290"/>
      <c r="M52" s="1209"/>
      <c r="N52" s="1209"/>
      <c r="O52" s="1209"/>
      <c r="P52" s="1643"/>
      <c r="Q52" s="1209"/>
      <c r="R52" s="1209"/>
      <c r="S52" s="1209"/>
      <c r="T52" s="1209"/>
      <c r="U52" s="1209"/>
      <c r="V52" s="1209"/>
      <c r="W52" s="1209"/>
      <c r="X52" s="1209"/>
      <c r="Y52" s="1209"/>
      <c r="Z52" s="1209"/>
      <c r="AA52" s="1209"/>
      <c r="AB52" s="1209"/>
      <c r="AC52" s="1209"/>
    </row>
    <row r="53" spans="1:29" ht="13.5" customHeight="1">
      <c r="A53" s="1209"/>
      <c r="B53" s="1209"/>
      <c r="C53" s="1211" t="s">
        <v>1455</v>
      </c>
      <c r="D53" s="859"/>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K53" s="1289"/>
      <c r="L53" s="1290"/>
      <c r="M53" s="1209"/>
      <c r="N53" s="1209"/>
      <c r="O53" s="1209"/>
      <c r="P53" s="1643"/>
      <c r="Q53" s="1209"/>
      <c r="R53" s="1209"/>
      <c r="S53" s="1209"/>
      <c r="T53" s="1209"/>
      <c r="U53" s="1209"/>
      <c r="V53" s="1209"/>
      <c r="W53" s="1209"/>
      <c r="X53" s="1209"/>
      <c r="Y53" s="1209"/>
      <c r="Z53" s="1209"/>
      <c r="AA53" s="1209"/>
      <c r="AB53" s="1209"/>
      <c r="AC53" s="1209"/>
    </row>
    <row r="54" spans="1:29" s="1096" customFormat="1" ht="13.5" customHeight="1">
      <c r="A54" s="1214"/>
      <c r="B54" s="1214"/>
      <c r="C54" s="1211" t="s">
        <v>1456</v>
      </c>
      <c r="D54" s="859"/>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91"/>
      <c r="L54" s="1292"/>
      <c r="M54" s="1214"/>
      <c r="N54" s="1214"/>
      <c r="O54" s="1214"/>
      <c r="P54" s="1644"/>
      <c r="Q54" s="1214"/>
      <c r="R54" s="1214"/>
      <c r="S54" s="1214"/>
      <c r="T54" s="1214"/>
      <c r="U54" s="1214"/>
      <c r="V54" s="1214"/>
      <c r="W54" s="1214"/>
      <c r="X54" s="1214"/>
      <c r="Y54" s="1214"/>
      <c r="Z54" s="1214"/>
      <c r="AA54" s="1214"/>
      <c r="AB54" s="1214"/>
      <c r="AC54" s="1214"/>
    </row>
    <row r="55" spans="1:29" s="1096" customFormat="1">
      <c r="A55" s="1214"/>
      <c r="B55" s="1215"/>
      <c r="C55" s="1523"/>
      <c r="D55" s="1214"/>
      <c r="E55" s="1214"/>
      <c r="F55" s="1214"/>
      <c r="G55" s="1214"/>
      <c r="H55" s="1214"/>
      <c r="I55" s="1214"/>
      <c r="J55" s="1214"/>
      <c r="K55" s="1291"/>
      <c r="L55" s="1292"/>
      <c r="M55" s="1214"/>
      <c r="N55" s="1214"/>
      <c r="O55" s="1214"/>
      <c r="P55" s="1644"/>
      <c r="Q55" s="1214"/>
      <c r="R55" s="1214"/>
      <c r="S55" s="1214"/>
      <c r="T55" s="1214"/>
      <c r="U55" s="1214"/>
      <c r="V55" s="1214"/>
      <c r="W55" s="1214"/>
      <c r="X55" s="1214"/>
      <c r="Y55" s="1214"/>
      <c r="Z55" s="1214"/>
      <c r="AA55" s="1214"/>
      <c r="AB55" s="1214"/>
      <c r="AC55" s="1214"/>
    </row>
    <row r="56" spans="1:29">
      <c r="A56" s="1209"/>
      <c r="B56" s="1215"/>
      <c r="C56" s="1523"/>
      <c r="D56" s="1209"/>
      <c r="E56" s="1209"/>
      <c r="F56" s="1209"/>
      <c r="G56" s="1209"/>
      <c r="H56" s="1209"/>
      <c r="I56" s="1209"/>
      <c r="J56" s="1209"/>
      <c r="K56" s="1289"/>
      <c r="L56" s="1290"/>
      <c r="M56" s="1209"/>
      <c r="N56" s="1209"/>
      <c r="O56" s="1209"/>
      <c r="P56" s="1643"/>
      <c r="Q56" s="1209"/>
      <c r="R56" s="1209"/>
      <c r="S56" s="1209"/>
      <c r="T56" s="1209"/>
      <c r="U56" s="1209"/>
      <c r="V56" s="1209"/>
      <c r="W56" s="1209"/>
      <c r="X56" s="1209"/>
      <c r="Y56" s="1209"/>
      <c r="Z56" s="1209"/>
      <c r="AA56" s="1209"/>
      <c r="AB56" s="1209"/>
      <c r="AC56" s="1209"/>
    </row>
    <row r="57" spans="1:29" ht="21">
      <c r="A57" s="1248" t="s">
        <v>1457</v>
      </c>
      <c r="B57" s="1249"/>
      <c r="C57" s="1250"/>
      <c r="D57" s="1250"/>
      <c r="E57" s="1250"/>
      <c r="F57" s="1251"/>
      <c r="G57" s="1251"/>
      <c r="H57" s="1250"/>
      <c r="I57" s="1250"/>
      <c r="J57" s="1250"/>
      <c r="K57" s="1299"/>
      <c r="L57" s="1468"/>
      <c r="M57" s="1301"/>
      <c r="N57" s="1301"/>
      <c r="O57" s="1301"/>
      <c r="P57" s="1645"/>
      <c r="Q57" s="1314"/>
      <c r="R57" s="1209"/>
      <c r="S57" s="1209"/>
      <c r="T57" s="1209"/>
      <c r="U57" s="1209"/>
      <c r="V57" s="1209"/>
      <c r="W57" s="1209"/>
      <c r="X57" s="1209"/>
      <c r="Y57" s="1209"/>
      <c r="Z57" s="1209"/>
      <c r="AA57" s="1209"/>
      <c r="AB57" s="1209"/>
      <c r="AC57" s="1209"/>
    </row>
    <row r="58" spans="1:29" s="1098" customFormat="1" ht="15">
      <c r="A58" s="1524" t="s">
        <v>1410</v>
      </c>
      <c r="B58" s="1525"/>
      <c r="C58" s="1526" t="str">
        <f>YEAR(C7)&amp;"-"&amp;MONTH(C7)</f>
        <v>2025-9</v>
      </c>
      <c r="D58" s="1527">
        <f>EDATE(C58,-1)</f>
        <v>45870</v>
      </c>
      <c r="E58" s="1527">
        <f t="shared" ref="E58:O58" si="16">EDATE(D58,-1)</f>
        <v>45839</v>
      </c>
      <c r="F58" s="1527">
        <f t="shared" si="16"/>
        <v>45809</v>
      </c>
      <c r="G58" s="1527">
        <f t="shared" si="16"/>
        <v>45778</v>
      </c>
      <c r="H58" s="1527">
        <f t="shared" si="16"/>
        <v>45748</v>
      </c>
      <c r="I58" s="1527">
        <f t="shared" si="16"/>
        <v>45717</v>
      </c>
      <c r="J58" s="1527">
        <f t="shared" si="16"/>
        <v>45689</v>
      </c>
      <c r="K58" s="1527">
        <f t="shared" si="16"/>
        <v>45658</v>
      </c>
      <c r="L58" s="1527">
        <f t="shared" si="16"/>
        <v>45627</v>
      </c>
      <c r="M58" s="1527">
        <f t="shared" si="16"/>
        <v>45597</v>
      </c>
      <c r="N58" s="1527">
        <f t="shared" si="16"/>
        <v>45566</v>
      </c>
      <c r="O58" s="1527">
        <f t="shared" si="16"/>
        <v>45536</v>
      </c>
      <c r="P58" s="1646"/>
      <c r="Q58" s="1433"/>
      <c r="R58" s="1433"/>
      <c r="S58" s="1433"/>
      <c r="T58" s="1433"/>
      <c r="U58" s="1433"/>
      <c r="V58" s="1433"/>
      <c r="W58" s="1433"/>
      <c r="X58" s="1433"/>
      <c r="Y58" s="1433"/>
      <c r="Z58" s="1433"/>
      <c r="AA58" s="1433"/>
      <c r="AB58" s="1433"/>
      <c r="AC58" s="1433"/>
    </row>
    <row r="59" spans="1:29" s="1093" customFormat="1" ht="15">
      <c r="A59" s="1528"/>
      <c r="B59" s="1334"/>
      <c r="C59" s="1529">
        <v>100</v>
      </c>
      <c r="D59" s="1338"/>
      <c r="E59" s="1338"/>
      <c r="F59" s="1338"/>
      <c r="G59" s="1338"/>
      <c r="H59" s="1338"/>
      <c r="I59" s="1338"/>
      <c r="J59" s="1338"/>
      <c r="K59" s="1338"/>
      <c r="L59" s="1338"/>
      <c r="M59" s="1536"/>
      <c r="N59" s="1338"/>
      <c r="O59" s="1536"/>
      <c r="P59" s="1647"/>
      <c r="Q59" s="1434"/>
      <c r="R59" s="1434"/>
      <c r="S59" s="1434"/>
      <c r="T59" s="1434"/>
      <c r="U59" s="1434"/>
      <c r="V59" s="1434"/>
      <c r="W59" s="1434"/>
      <c r="X59" s="1434"/>
      <c r="Y59" s="1434"/>
      <c r="Z59" s="1434"/>
      <c r="AA59" s="1434"/>
      <c r="AB59" s="1434"/>
      <c r="AC59" s="1434"/>
    </row>
    <row r="60" spans="1:29" s="1093" customFormat="1" ht="15">
      <c r="A60" s="1329" t="s">
        <v>1458</v>
      </c>
      <c r="B60" s="1330"/>
      <c r="C60" s="1331"/>
      <c r="D60" s="1332"/>
      <c r="E60" s="1332"/>
      <c r="F60" s="1332"/>
      <c r="G60" s="1332"/>
      <c r="H60" s="1332"/>
      <c r="I60" s="1332"/>
      <c r="J60" s="1332"/>
      <c r="K60" s="1332"/>
      <c r="L60" s="1332"/>
      <c r="M60" s="1380"/>
      <c r="N60" s="1332"/>
      <c r="O60" s="1380"/>
      <c r="P60" s="1647"/>
      <c r="Q60" s="1314"/>
      <c r="R60" s="1434"/>
      <c r="S60" s="1434"/>
      <c r="T60" s="1434"/>
      <c r="U60" s="1434"/>
      <c r="V60" s="1434"/>
      <c r="W60" s="1434"/>
      <c r="X60" s="1434"/>
      <c r="Y60" s="1434"/>
      <c r="Z60" s="1434"/>
      <c r="AA60" s="1434"/>
      <c r="AB60" s="1434"/>
      <c r="AC60" s="1434"/>
    </row>
    <row r="61" spans="1:29" s="1093" customFormat="1" ht="15">
      <c r="A61" s="1333" t="s">
        <v>1413</v>
      </c>
      <c r="B61" s="1334"/>
      <c r="C61" s="1335" t="s">
        <v>1459</v>
      </c>
      <c r="D61" s="1336"/>
      <c r="E61" s="1336"/>
      <c r="F61" s="1336"/>
      <c r="G61" s="1336"/>
      <c r="H61" s="1336"/>
      <c r="I61" s="1336"/>
      <c r="J61" s="1336"/>
      <c r="K61" s="1336"/>
      <c r="L61" s="1382"/>
      <c r="M61" s="1383"/>
      <c r="N61" s="1384"/>
      <c r="O61" s="1384"/>
      <c r="P61" s="1648"/>
      <c r="Q61" s="1314"/>
      <c r="R61" s="1434"/>
      <c r="S61" s="1434"/>
      <c r="T61" s="1434"/>
      <c r="U61" s="1434"/>
      <c r="V61" s="1434"/>
      <c r="W61" s="1434"/>
      <c r="X61" s="1434"/>
      <c r="Y61" s="1434"/>
      <c r="Z61" s="1434"/>
      <c r="AA61" s="1434"/>
      <c r="AB61" s="1434"/>
      <c r="AC61" s="1434"/>
    </row>
    <row r="62" spans="1:29" s="1093" customFormat="1" ht="15">
      <c r="A62" s="1333"/>
      <c r="B62" s="1334"/>
      <c r="C62" s="1612">
        <v>100</v>
      </c>
      <c r="D62" s="1338"/>
      <c r="E62" s="1338"/>
      <c r="F62" s="1338"/>
      <c r="G62" s="1338"/>
      <c r="H62" s="1338"/>
      <c r="I62" s="1338"/>
      <c r="J62" s="1338"/>
      <c r="K62" s="1338"/>
      <c r="L62" s="1338"/>
      <c r="M62" s="1386"/>
      <c r="N62" s="1384"/>
      <c r="O62" s="1384"/>
      <c r="P62" s="1647"/>
      <c r="Q62" s="1314"/>
      <c r="R62" s="1434"/>
      <c r="S62" s="1434"/>
      <c r="T62" s="1434"/>
      <c r="U62" s="1434"/>
      <c r="V62" s="1434"/>
      <c r="W62" s="1434"/>
      <c r="X62" s="1434"/>
      <c r="Y62" s="1434"/>
      <c r="Z62" s="1434"/>
      <c r="AA62" s="1434"/>
      <c r="AB62" s="1434"/>
      <c r="AC62" s="1434"/>
    </row>
    <row r="63" spans="1:29">
      <c r="A63" s="1339" t="s">
        <v>1460</v>
      </c>
      <c r="B63" s="1340" t="s">
        <v>1417</v>
      </c>
      <c r="C63" s="1362">
        <f>C9</f>
        <v>0</v>
      </c>
      <c r="D63" s="1282"/>
      <c r="E63" s="1282"/>
      <c r="F63" s="1282"/>
      <c r="G63" s="1282"/>
      <c r="H63" s="1282"/>
      <c r="I63" s="1282"/>
      <c r="J63" s="1282"/>
      <c r="K63" s="1387"/>
      <c r="L63" s="1388"/>
      <c r="M63" s="1389"/>
      <c r="N63" s="1390"/>
      <c r="O63" s="1390"/>
      <c r="P63" s="1649"/>
      <c r="Q63" s="1314"/>
      <c r="R63" s="1209"/>
      <c r="S63" s="1209"/>
      <c r="T63" s="1209"/>
      <c r="U63" s="1209"/>
      <c r="V63" s="1209"/>
      <c r="W63" s="1209"/>
      <c r="X63" s="1209"/>
      <c r="Y63" s="1209"/>
      <c r="Z63" s="1209"/>
      <c r="AA63" s="1209"/>
      <c r="AB63" s="1209"/>
      <c r="AC63" s="1209"/>
    </row>
    <row r="64" spans="1:29" ht="15">
      <c r="A64" s="1341"/>
      <c r="B64" s="1342"/>
      <c r="C64" s="1343">
        <v>100</v>
      </c>
      <c r="D64" s="1343"/>
      <c r="E64" s="1343"/>
      <c r="F64" s="1343"/>
      <c r="G64" s="1343"/>
      <c r="H64" s="1343"/>
      <c r="I64" s="1343"/>
      <c r="J64" s="1343"/>
      <c r="K64" s="1343"/>
      <c r="L64" s="1343"/>
      <c r="M64" s="1392"/>
      <c r="N64" s="1393"/>
      <c r="O64" s="1393"/>
      <c r="P64" s="1649"/>
      <c r="Q64" s="1314"/>
      <c r="R64" s="1209"/>
      <c r="S64" s="1209"/>
      <c r="T64" s="1209"/>
      <c r="U64" s="1209"/>
      <c r="V64" s="1209"/>
      <c r="W64" s="1209"/>
      <c r="X64" s="1209"/>
      <c r="Y64" s="1209"/>
      <c r="Z64" s="1209"/>
      <c r="AA64" s="1209"/>
      <c r="AB64" s="1209"/>
      <c r="AC64" s="1209"/>
    </row>
    <row r="65" spans="1:29" ht="27">
      <c r="A65" s="1341"/>
      <c r="B65" s="1344" t="s">
        <v>1420</v>
      </c>
      <c r="C65" s="1369"/>
      <c r="D65" s="1369"/>
      <c r="E65" s="1369"/>
      <c r="F65" s="1369"/>
      <c r="G65" s="1369"/>
      <c r="H65" s="1369"/>
      <c r="I65" s="1369"/>
      <c r="J65" s="1369"/>
      <c r="K65" s="1420"/>
      <c r="L65" s="1421"/>
      <c r="M65" s="1422"/>
      <c r="N65" s="1390"/>
      <c r="O65" s="1390"/>
      <c r="P65" s="1649"/>
      <c r="Q65" s="1314"/>
      <c r="R65" s="1209"/>
      <c r="S65" s="1209"/>
      <c r="T65" s="1209"/>
      <c r="U65" s="1209"/>
      <c r="V65" s="1209"/>
      <c r="W65" s="1209"/>
      <c r="X65" s="1209"/>
      <c r="Y65" s="1209"/>
      <c r="Z65" s="1209"/>
      <c r="AA65" s="1209"/>
      <c r="AB65" s="1209"/>
      <c r="AC65" s="1209"/>
    </row>
    <row r="66" spans="1:29" ht="15">
      <c r="A66" s="1341"/>
      <c r="B66" s="1346"/>
      <c r="C66" s="1343"/>
      <c r="D66" s="1343"/>
      <c r="E66" s="1343"/>
      <c r="F66" s="1343"/>
      <c r="G66" s="1343"/>
      <c r="H66" s="1343"/>
      <c r="I66" s="1343"/>
      <c r="J66" s="1343"/>
      <c r="K66" s="1343"/>
      <c r="L66" s="1343"/>
      <c r="M66" s="1392"/>
      <c r="N66" s="1393"/>
      <c r="O66" s="1393"/>
      <c r="P66" s="1649"/>
      <c r="Q66" s="1314"/>
      <c r="R66" s="1209"/>
      <c r="S66" s="1209"/>
      <c r="T66" s="1209"/>
      <c r="U66" s="1209"/>
      <c r="V66" s="1209"/>
      <c r="W66" s="1209"/>
      <c r="X66" s="1209"/>
      <c r="Y66" s="1209"/>
      <c r="Z66" s="1209"/>
      <c r="AA66" s="1209"/>
      <c r="AB66" s="1209"/>
      <c r="AC66" s="1209"/>
    </row>
    <row r="67" spans="1:29" ht="15">
      <c r="A67" s="1341"/>
      <c r="B67" s="1348" t="s">
        <v>1960</v>
      </c>
      <c r="C67" s="1349" t="str">
        <f>C68&amp;"（含）"&amp;"-"&amp;D68</f>
        <v>（含）-</v>
      </c>
      <c r="D67" s="1349" t="str">
        <f t="shared" ref="D67:L67" si="17">D68&amp;"（含）"&amp;"-"&amp;E68</f>
        <v>（含）-</v>
      </c>
      <c r="E67" s="1349" t="str">
        <f t="shared" si="17"/>
        <v>（含）-</v>
      </c>
      <c r="F67" s="1349" t="str">
        <f t="shared" si="17"/>
        <v>（含）-</v>
      </c>
      <c r="G67" s="1349" t="str">
        <f t="shared" si="17"/>
        <v>（含）-</v>
      </c>
      <c r="H67" s="1349" t="str">
        <f t="shared" si="17"/>
        <v>（含）-</v>
      </c>
      <c r="I67" s="1349" t="str">
        <f t="shared" si="17"/>
        <v>（含）-</v>
      </c>
      <c r="J67" s="1349" t="str">
        <f t="shared" si="17"/>
        <v>（含）-</v>
      </c>
      <c r="K67" s="1349" t="str">
        <f t="shared" si="17"/>
        <v>（含）-</v>
      </c>
      <c r="L67" s="1349" t="str">
        <f t="shared" si="17"/>
        <v>（含）-</v>
      </c>
      <c r="M67" s="1155" t="str">
        <f>M68&amp;"（含）"&amp;"-"&amp;P68</f>
        <v>（含）-</v>
      </c>
      <c r="N67" s="1393"/>
      <c r="O67" s="1393"/>
      <c r="P67" s="1649"/>
      <c r="Q67" s="1314"/>
      <c r="R67" s="1209"/>
      <c r="S67" s="1209"/>
      <c r="T67" s="1209"/>
      <c r="U67" s="1209"/>
      <c r="V67" s="1209"/>
      <c r="W67" s="1209"/>
      <c r="X67" s="1209"/>
      <c r="Y67" s="1209"/>
      <c r="Z67" s="1209"/>
      <c r="AA67" s="1209"/>
      <c r="AB67" s="1209"/>
      <c r="AC67" s="1209"/>
    </row>
    <row r="68" spans="1:29" ht="15">
      <c r="A68" s="1341"/>
      <c r="B68" s="1350"/>
      <c r="C68" s="1140"/>
      <c r="D68" s="1140"/>
      <c r="E68" s="1140"/>
      <c r="F68" s="1140"/>
      <c r="G68" s="1140"/>
      <c r="H68" s="1140"/>
      <c r="I68" s="1140"/>
      <c r="J68" s="1140"/>
      <c r="K68" s="1398"/>
      <c r="L68" s="1399"/>
      <c r="M68" s="1400"/>
      <c r="N68" s="1390"/>
      <c r="O68" s="1390"/>
      <c r="P68" s="1649"/>
      <c r="Q68" s="1314"/>
      <c r="R68" s="1209"/>
      <c r="S68" s="1209"/>
      <c r="T68" s="1209"/>
      <c r="U68" s="1209"/>
      <c r="V68" s="1209"/>
      <c r="W68" s="1209"/>
      <c r="X68" s="1209"/>
      <c r="Y68" s="1209"/>
      <c r="Z68" s="1209"/>
      <c r="AA68" s="1209"/>
      <c r="AB68" s="1209"/>
      <c r="AC68" s="1209"/>
    </row>
    <row r="69" spans="1:29" ht="15">
      <c r="A69" s="1341"/>
      <c r="B69" s="1342"/>
      <c r="C69" s="1347">
        <v>100</v>
      </c>
      <c r="D69" s="1347">
        <f t="shared" ref="D69:M69" si="18">C69-$K11</f>
        <v>100</v>
      </c>
      <c r="E69" s="1347">
        <f t="shared" si="18"/>
        <v>100</v>
      </c>
      <c r="F69" s="1347">
        <f t="shared" si="18"/>
        <v>100</v>
      </c>
      <c r="G69" s="1347">
        <f t="shared" si="18"/>
        <v>100</v>
      </c>
      <c r="H69" s="1347">
        <f t="shared" si="18"/>
        <v>100</v>
      </c>
      <c r="I69" s="1347">
        <f t="shared" si="18"/>
        <v>100</v>
      </c>
      <c r="J69" s="1347">
        <f t="shared" si="18"/>
        <v>100</v>
      </c>
      <c r="K69" s="1347">
        <f t="shared" si="18"/>
        <v>100</v>
      </c>
      <c r="L69" s="1347">
        <f t="shared" si="18"/>
        <v>100</v>
      </c>
      <c r="M69" s="1397">
        <f t="shared" si="18"/>
        <v>100</v>
      </c>
      <c r="N69" s="1393"/>
      <c r="O69" s="1393"/>
      <c r="P69" s="1649"/>
      <c r="Q69" s="1314"/>
      <c r="R69" s="1209"/>
      <c r="S69" s="1209"/>
      <c r="T69" s="1209"/>
      <c r="U69" s="1209"/>
      <c r="V69" s="1209"/>
      <c r="W69" s="1209"/>
      <c r="X69" s="1209"/>
      <c r="Y69" s="1209"/>
      <c r="Z69" s="1209"/>
      <c r="AA69" s="1209"/>
      <c r="AB69" s="1209"/>
      <c r="AC69" s="1209"/>
    </row>
    <row r="70" spans="1:29" s="1095" customFormat="1" ht="15">
      <c r="A70" s="1351"/>
      <c r="B70" s="1344">
        <f>B12</f>
        <v>111</v>
      </c>
      <c r="C70" s="1352"/>
      <c r="D70" s="1352"/>
      <c r="E70" s="1352"/>
      <c r="F70" s="1352"/>
      <c r="G70" s="1352"/>
      <c r="H70" s="1353"/>
      <c r="I70" s="1353"/>
      <c r="J70" s="1353"/>
      <c r="K70" s="1353"/>
      <c r="L70" s="1401"/>
      <c r="M70" s="1402"/>
      <c r="N70" s="1403"/>
      <c r="O70" s="1403"/>
      <c r="P70" s="1654"/>
      <c r="Q70" s="1435"/>
      <c r="R70" s="1436"/>
      <c r="S70" s="1436"/>
      <c r="T70" s="1436"/>
      <c r="U70" s="1436"/>
      <c r="V70" s="1436"/>
      <c r="W70" s="1436"/>
      <c r="X70" s="1436"/>
      <c r="Y70" s="1436"/>
      <c r="Z70" s="1436"/>
      <c r="AA70" s="1436"/>
      <c r="AB70" s="1436"/>
      <c r="AC70" s="1436"/>
    </row>
    <row r="71" spans="1:29" s="1095" customFormat="1" ht="15">
      <c r="A71" s="1351"/>
      <c r="B71" s="1346"/>
      <c r="C71" s="1354"/>
      <c r="D71" s="1343"/>
      <c r="E71" s="1343"/>
      <c r="F71" s="1343"/>
      <c r="G71" s="1343"/>
      <c r="H71" s="1343"/>
      <c r="I71" s="1343"/>
      <c r="J71" s="1343"/>
      <c r="K71" s="1343"/>
      <c r="L71" s="1343"/>
      <c r="M71" s="1392"/>
      <c r="N71" s="1393"/>
      <c r="O71" s="1393"/>
      <c r="P71" s="1654"/>
      <c r="Q71" s="1435"/>
      <c r="R71" s="1436"/>
      <c r="S71" s="1436"/>
      <c r="T71" s="1436"/>
      <c r="U71" s="1436"/>
      <c r="V71" s="1436"/>
      <c r="W71" s="1436"/>
      <c r="X71" s="1436"/>
      <c r="Y71" s="1436"/>
      <c r="Z71" s="1436"/>
      <c r="AA71" s="1436"/>
      <c r="AB71" s="1436"/>
      <c r="AC71" s="1436"/>
    </row>
    <row r="72" spans="1:29" s="1095" customFormat="1" ht="15">
      <c r="A72" s="1351"/>
      <c r="B72" s="1344">
        <f>B13</f>
        <v>111</v>
      </c>
      <c r="C72" s="1352"/>
      <c r="D72" s="1352"/>
      <c r="E72" s="1352"/>
      <c r="F72" s="1352"/>
      <c r="G72" s="1352"/>
      <c r="H72" s="1353"/>
      <c r="I72" s="1353"/>
      <c r="J72" s="1353"/>
      <c r="K72" s="1353"/>
      <c r="L72" s="1401"/>
      <c r="M72" s="1402"/>
      <c r="N72" s="1403"/>
      <c r="O72" s="1403"/>
      <c r="P72" s="1655"/>
      <c r="Q72" s="1437"/>
      <c r="R72" s="1436"/>
      <c r="S72" s="1436"/>
      <c r="T72" s="1436"/>
      <c r="U72" s="1436"/>
      <c r="V72" s="1436"/>
      <c r="W72" s="1436"/>
      <c r="X72" s="1436"/>
      <c r="Y72" s="1436"/>
      <c r="Z72" s="1436"/>
      <c r="AA72" s="1436"/>
      <c r="AB72" s="1436"/>
      <c r="AC72" s="1436"/>
    </row>
    <row r="73" spans="1:29" s="1095" customFormat="1" ht="15">
      <c r="A73" s="1351"/>
      <c r="B73" s="1346"/>
      <c r="C73" s="1354"/>
      <c r="D73" s="1343"/>
      <c r="E73" s="1343"/>
      <c r="F73" s="1343"/>
      <c r="G73" s="1354"/>
      <c r="H73" s="1355"/>
      <c r="I73" s="1355"/>
      <c r="J73" s="1355"/>
      <c r="K73" s="1355"/>
      <c r="L73" s="1355"/>
      <c r="M73" s="1405"/>
      <c r="N73" s="1403"/>
      <c r="O73" s="1403"/>
      <c r="P73" s="1654"/>
      <c r="Q73" s="1435"/>
      <c r="R73" s="1436"/>
      <c r="S73" s="1436"/>
      <c r="T73" s="1436"/>
      <c r="U73" s="1436"/>
      <c r="V73" s="1436"/>
      <c r="W73" s="1436"/>
      <c r="X73" s="1436"/>
      <c r="Y73" s="1436"/>
      <c r="Z73" s="1436"/>
      <c r="AA73" s="1436"/>
      <c r="AB73" s="1436"/>
      <c r="AC73" s="1436"/>
    </row>
    <row r="74" spans="1:29" s="1095" customFormat="1" ht="15">
      <c r="A74" s="1351"/>
      <c r="B74" s="1348">
        <f>B14</f>
        <v>111</v>
      </c>
      <c r="C74" s="1352"/>
      <c r="D74" s="1352"/>
      <c r="E74" s="1352"/>
      <c r="F74" s="1352"/>
      <c r="G74" s="1336"/>
      <c r="H74" s="1356"/>
      <c r="I74" s="1356"/>
      <c r="J74" s="1356"/>
      <c r="K74" s="1356"/>
      <c r="L74" s="1406"/>
      <c r="M74" s="1407"/>
      <c r="N74" s="1403"/>
      <c r="O74" s="1403"/>
      <c r="P74" s="1656"/>
      <c r="Q74" s="1435"/>
      <c r="R74" s="1436"/>
      <c r="S74" s="1436"/>
      <c r="T74" s="1436"/>
      <c r="U74" s="1436"/>
      <c r="V74" s="1436"/>
      <c r="W74" s="1436"/>
      <c r="X74" s="1436"/>
      <c r="Y74" s="1436"/>
      <c r="Z74" s="1436"/>
      <c r="AA74" s="1436"/>
      <c r="AB74" s="1436"/>
      <c r="AC74" s="1436"/>
    </row>
    <row r="75" spans="1:29" s="1095" customFormat="1" ht="15">
      <c r="A75" s="1357"/>
      <c r="B75" s="1358"/>
      <c r="C75" s="1359"/>
      <c r="D75" s="1359"/>
      <c r="E75" s="1359"/>
      <c r="F75" s="1359"/>
      <c r="G75" s="1359"/>
      <c r="H75" s="1360"/>
      <c r="I75" s="1360"/>
      <c r="J75" s="1360"/>
      <c r="K75" s="1360"/>
      <c r="L75" s="1360"/>
      <c r="M75" s="1409"/>
      <c r="N75" s="1403"/>
      <c r="O75" s="1403"/>
      <c r="P75" s="1654"/>
      <c r="Q75" s="1435"/>
      <c r="R75" s="1436"/>
      <c r="S75" s="1436"/>
      <c r="T75" s="1436"/>
      <c r="U75" s="1436"/>
      <c r="V75" s="1436"/>
      <c r="W75" s="1436"/>
      <c r="X75" s="1436"/>
      <c r="Y75" s="1436"/>
      <c r="Z75" s="1436"/>
      <c r="AA75" s="1436"/>
      <c r="AB75" s="1436"/>
      <c r="AC75" s="1436"/>
    </row>
    <row r="76" spans="1:29">
      <c r="A76" s="1339" t="s">
        <v>1423</v>
      </c>
      <c r="B76" s="1340" t="s">
        <v>1961</v>
      </c>
      <c r="C76" s="1361" t="s">
        <v>1463</v>
      </c>
      <c r="D76" s="1361" t="s">
        <v>1464</v>
      </c>
      <c r="E76" s="1361" t="s">
        <v>1465</v>
      </c>
      <c r="F76" s="1361" t="s">
        <v>1466</v>
      </c>
      <c r="G76" s="1361" t="s">
        <v>1467</v>
      </c>
      <c r="H76" s="1362"/>
      <c r="I76" s="1362"/>
      <c r="J76" s="1362"/>
      <c r="K76" s="1410"/>
      <c r="L76" s="1411"/>
      <c r="M76" s="1412"/>
      <c r="N76" s="1390"/>
      <c r="O76" s="1390"/>
      <c r="P76" s="1657"/>
      <c r="Q76" s="1314"/>
      <c r="R76" s="1209"/>
      <c r="S76" s="1209"/>
      <c r="T76" s="1209"/>
      <c r="U76" s="1209"/>
      <c r="V76" s="1209"/>
      <c r="W76" s="1209"/>
      <c r="X76" s="1209"/>
      <c r="Y76" s="1209"/>
      <c r="Z76" s="1209"/>
      <c r="AA76" s="1209"/>
      <c r="AB76" s="1209"/>
      <c r="AC76" s="1209"/>
    </row>
    <row r="77" spans="1:29" ht="15">
      <c r="A77" s="1341"/>
      <c r="B77" s="1346"/>
      <c r="C77" s="1347">
        <v>100</v>
      </c>
      <c r="D77" s="1347">
        <f>C77-$K15</f>
        <v>100</v>
      </c>
      <c r="E77" s="1347">
        <f>D77-$K15</f>
        <v>100</v>
      </c>
      <c r="F77" s="1347">
        <f>E77-$K15</f>
        <v>100</v>
      </c>
      <c r="G77" s="1347">
        <f>F77-$K15</f>
        <v>100</v>
      </c>
      <c r="H77" s="1347"/>
      <c r="I77" s="1347"/>
      <c r="J77" s="1347"/>
      <c r="K77" s="1347"/>
      <c r="L77" s="1347"/>
      <c r="M77" s="1397"/>
      <c r="N77" s="1393"/>
      <c r="O77" s="1393"/>
      <c r="P77" s="1649"/>
      <c r="Q77" s="1314"/>
      <c r="R77" s="1209"/>
      <c r="S77" s="1209"/>
      <c r="T77" s="1209"/>
      <c r="U77" s="1209"/>
      <c r="V77" s="1209"/>
      <c r="W77" s="1209"/>
      <c r="X77" s="1209"/>
      <c r="Y77" s="1209"/>
      <c r="Z77" s="1209"/>
      <c r="AA77" s="1209"/>
      <c r="AB77" s="1209"/>
      <c r="AC77" s="1209"/>
    </row>
    <row r="78" spans="1:29" ht="15">
      <c r="A78" s="1341"/>
      <c r="B78" s="1344" t="s">
        <v>1424</v>
      </c>
      <c r="C78" s="1363" t="s">
        <v>1463</v>
      </c>
      <c r="D78" s="1363" t="s">
        <v>1464</v>
      </c>
      <c r="E78" s="1363" t="s">
        <v>1465</v>
      </c>
      <c r="F78" s="1363" t="s">
        <v>1466</v>
      </c>
      <c r="G78" s="1363" t="s">
        <v>1467</v>
      </c>
      <c r="H78" s="1345"/>
      <c r="I78" s="1345"/>
      <c r="J78" s="1345"/>
      <c r="K78" s="1394"/>
      <c r="L78" s="1395"/>
      <c r="M78" s="1396"/>
      <c r="N78" s="1390"/>
      <c r="O78" s="1390"/>
      <c r="P78" s="1649"/>
      <c r="Q78" s="1314"/>
      <c r="R78" s="1209"/>
      <c r="S78" s="1209"/>
      <c r="T78" s="1209"/>
      <c r="U78" s="1209"/>
      <c r="V78" s="1209"/>
      <c r="W78" s="1209"/>
      <c r="X78" s="1209"/>
      <c r="Y78" s="1209"/>
      <c r="Z78" s="1209"/>
      <c r="AA78" s="1209"/>
      <c r="AB78" s="1209"/>
      <c r="AC78" s="1209"/>
    </row>
    <row r="79" spans="1:29" ht="15">
      <c r="A79" s="1341"/>
      <c r="B79" s="1346"/>
      <c r="C79" s="1347">
        <v>100</v>
      </c>
      <c r="D79" s="1347">
        <f>C79-$K17</f>
        <v>100</v>
      </c>
      <c r="E79" s="1347">
        <f>D79-$K17</f>
        <v>100</v>
      </c>
      <c r="F79" s="1347">
        <f>E79-$K17</f>
        <v>100</v>
      </c>
      <c r="G79" s="1347">
        <f>F79-$K17</f>
        <v>100</v>
      </c>
      <c r="H79" s="1347"/>
      <c r="I79" s="1347"/>
      <c r="J79" s="1347"/>
      <c r="K79" s="1347"/>
      <c r="L79" s="1347"/>
      <c r="M79" s="1397"/>
      <c r="N79" s="1393"/>
      <c r="O79" s="1393"/>
      <c r="P79" s="1649"/>
      <c r="Q79" s="1314"/>
      <c r="R79" s="1209"/>
      <c r="S79" s="1209"/>
      <c r="T79" s="1209"/>
      <c r="U79" s="1209"/>
      <c r="V79" s="1209"/>
      <c r="W79" s="1209"/>
      <c r="X79" s="1209"/>
      <c r="Y79" s="1209"/>
      <c r="Z79" s="1209"/>
      <c r="AA79" s="1209"/>
      <c r="AB79" s="1209"/>
      <c r="AC79" s="1209"/>
    </row>
    <row r="80" spans="1:29" ht="15">
      <c r="A80" s="1341"/>
      <c r="B80" s="1344" t="s">
        <v>1427</v>
      </c>
      <c r="C80" s="1363" t="s">
        <v>1463</v>
      </c>
      <c r="D80" s="1363" t="s">
        <v>1464</v>
      </c>
      <c r="E80" s="1363" t="s">
        <v>1465</v>
      </c>
      <c r="F80" s="1363" t="s">
        <v>1466</v>
      </c>
      <c r="G80" s="1363" t="s">
        <v>1467</v>
      </c>
      <c r="H80" s="1345"/>
      <c r="I80" s="1345"/>
      <c r="J80" s="1345"/>
      <c r="K80" s="1394"/>
      <c r="L80" s="1395"/>
      <c r="M80" s="1396"/>
      <c r="N80" s="1390"/>
      <c r="O80" s="1390"/>
      <c r="P80" s="1649"/>
      <c r="Q80" s="1314"/>
      <c r="R80" s="1209"/>
      <c r="S80" s="1209"/>
      <c r="T80" s="1209"/>
      <c r="U80" s="1209"/>
      <c r="V80" s="1209"/>
      <c r="W80" s="1209"/>
      <c r="X80" s="1209"/>
      <c r="Y80" s="1209"/>
      <c r="Z80" s="1209"/>
      <c r="AA80" s="1209"/>
      <c r="AB80" s="1209"/>
      <c r="AC80" s="1209"/>
    </row>
    <row r="81" spans="1:29" ht="15">
      <c r="A81" s="1341"/>
      <c r="B81" s="1346"/>
      <c r="C81" s="1347">
        <v>100</v>
      </c>
      <c r="D81" s="1347">
        <f>C81-$K19</f>
        <v>100</v>
      </c>
      <c r="E81" s="1347">
        <f>D81-$K19</f>
        <v>100</v>
      </c>
      <c r="F81" s="1347">
        <f>E81-$K19</f>
        <v>100</v>
      </c>
      <c r="G81" s="1347">
        <f>F81-$K19</f>
        <v>100</v>
      </c>
      <c r="H81" s="1347"/>
      <c r="I81" s="1347"/>
      <c r="J81" s="1347"/>
      <c r="K81" s="1347"/>
      <c r="L81" s="1347"/>
      <c r="M81" s="1397"/>
      <c r="N81" s="1393"/>
      <c r="O81" s="1393"/>
      <c r="P81" s="1649"/>
      <c r="Q81" s="1314"/>
      <c r="R81" s="1209"/>
      <c r="S81" s="1209"/>
      <c r="T81" s="1209"/>
      <c r="U81" s="1209"/>
      <c r="V81" s="1209"/>
      <c r="W81" s="1209"/>
      <c r="X81" s="1209"/>
      <c r="Y81" s="1209"/>
      <c r="Z81" s="1209"/>
      <c r="AA81" s="1209"/>
      <c r="AB81" s="1209"/>
      <c r="AC81" s="1209"/>
    </row>
    <row r="82" spans="1:29" ht="15">
      <c r="A82" s="1341"/>
      <c r="B82" s="1348" t="s">
        <v>1429</v>
      </c>
      <c r="C82" s="1368" t="s">
        <v>1468</v>
      </c>
      <c r="D82" s="1368" t="s">
        <v>1469</v>
      </c>
      <c r="E82" s="1368" t="s">
        <v>1470</v>
      </c>
      <c r="F82" s="1368" t="s">
        <v>1471</v>
      </c>
      <c r="G82" s="1368" t="s">
        <v>1472</v>
      </c>
      <c r="H82" s="1345"/>
      <c r="I82" s="1345"/>
      <c r="J82" s="1345"/>
      <c r="K82" s="1345"/>
      <c r="L82" s="1345"/>
      <c r="M82" s="1541"/>
      <c r="N82" s="1393"/>
      <c r="O82" s="1393"/>
      <c r="P82" s="1649"/>
      <c r="Q82" s="1314"/>
      <c r="R82" s="1209"/>
      <c r="S82" s="1209"/>
      <c r="T82" s="1209"/>
      <c r="U82" s="1209"/>
      <c r="V82" s="1209"/>
      <c r="W82" s="1209"/>
      <c r="X82" s="1209"/>
      <c r="Y82" s="1209"/>
      <c r="Z82" s="1209"/>
      <c r="AA82" s="1209"/>
      <c r="AB82" s="1209"/>
      <c r="AC82" s="1209"/>
    </row>
    <row r="83" spans="1:29" ht="15">
      <c r="A83" s="1341"/>
      <c r="B83" s="1348"/>
      <c r="C83" s="1347">
        <v>100</v>
      </c>
      <c r="D83" s="1347">
        <f>C83-$K21</f>
        <v>100</v>
      </c>
      <c r="E83" s="1347">
        <f t="shared" ref="E83:G83" si="19">D83-$K21</f>
        <v>100</v>
      </c>
      <c r="F83" s="1347">
        <f t="shared" si="19"/>
        <v>100</v>
      </c>
      <c r="G83" s="1347">
        <f t="shared" si="19"/>
        <v>100</v>
      </c>
      <c r="H83" s="1368"/>
      <c r="I83" s="1368"/>
      <c r="J83" s="1368"/>
      <c r="K83" s="1368"/>
      <c r="L83" s="1368"/>
      <c r="M83" s="1157"/>
      <c r="N83" s="1393"/>
      <c r="O83" s="1393"/>
      <c r="P83" s="1649"/>
      <c r="Q83" s="1314"/>
      <c r="R83" s="1209"/>
      <c r="S83" s="1209"/>
      <c r="T83" s="1209"/>
      <c r="U83" s="1209"/>
      <c r="V83" s="1209"/>
      <c r="W83" s="1209"/>
      <c r="X83" s="1209"/>
      <c r="Y83" s="1209"/>
      <c r="Z83" s="1209"/>
      <c r="AA83" s="1209"/>
      <c r="AB83" s="1209"/>
      <c r="AC83" s="1209"/>
    </row>
    <row r="84" spans="1:29" ht="15">
      <c r="A84" s="1341"/>
      <c r="B84" s="1344" t="s">
        <v>1430</v>
      </c>
      <c r="C84" s="1363" t="s">
        <v>1463</v>
      </c>
      <c r="D84" s="1363" t="s">
        <v>1464</v>
      </c>
      <c r="E84" s="1363" t="s">
        <v>1465</v>
      </c>
      <c r="F84" s="1363" t="s">
        <v>1466</v>
      </c>
      <c r="G84" s="1363" t="s">
        <v>1467</v>
      </c>
      <c r="H84" s="1345"/>
      <c r="I84" s="1345"/>
      <c r="J84" s="1345"/>
      <c r="K84" s="1394"/>
      <c r="L84" s="1395"/>
      <c r="M84" s="1396"/>
      <c r="N84" s="1390"/>
      <c r="O84" s="1390"/>
      <c r="P84" s="1649"/>
      <c r="Q84" s="1314"/>
      <c r="R84" s="1209"/>
      <c r="S84" s="1209"/>
      <c r="T84" s="1209"/>
      <c r="U84" s="1209"/>
      <c r="V84" s="1209"/>
      <c r="W84" s="1209"/>
      <c r="X84" s="1209"/>
      <c r="Y84" s="1209"/>
      <c r="Z84" s="1209"/>
      <c r="AA84" s="1209"/>
      <c r="AB84" s="1209"/>
      <c r="AC84" s="1209"/>
    </row>
    <row r="85" spans="1:29" ht="15">
      <c r="A85" s="1341"/>
      <c r="B85" s="1346"/>
      <c r="C85" s="1347">
        <v>100</v>
      </c>
      <c r="D85" s="1347">
        <f>C85-$K23</f>
        <v>100</v>
      </c>
      <c r="E85" s="1347">
        <f>D85-$K23</f>
        <v>100</v>
      </c>
      <c r="F85" s="1347">
        <f>E85-$K23</f>
        <v>100</v>
      </c>
      <c r="G85" s="1347">
        <f>F85-$K23</f>
        <v>100</v>
      </c>
      <c r="H85" s="1347"/>
      <c r="I85" s="1347"/>
      <c r="J85" s="1347"/>
      <c r="K85" s="1347"/>
      <c r="L85" s="1347"/>
      <c r="M85" s="1397"/>
      <c r="N85" s="1393"/>
      <c r="O85" s="1393"/>
      <c r="P85" s="1649"/>
      <c r="Q85" s="1314"/>
      <c r="R85" s="1209"/>
      <c r="S85" s="1209"/>
      <c r="T85" s="1209"/>
      <c r="U85" s="1209"/>
      <c r="V85" s="1209"/>
      <c r="W85" s="1209"/>
      <c r="X85" s="1209"/>
      <c r="Y85" s="1209"/>
      <c r="Z85" s="1209"/>
      <c r="AA85" s="1209"/>
      <c r="AB85" s="1209"/>
      <c r="AC85" s="1209"/>
    </row>
    <row r="86" spans="1:29" s="1093" customFormat="1" ht="15">
      <c r="A86" s="1364"/>
      <c r="B86" s="1344" t="s">
        <v>1998</v>
      </c>
      <c r="C86" s="1352"/>
      <c r="D86" s="1352"/>
      <c r="E86" s="1352"/>
      <c r="F86" s="1352"/>
      <c r="G86" s="1352"/>
      <c r="H86" s="1352"/>
      <c r="I86" s="1352"/>
      <c r="J86" s="1352"/>
      <c r="K86" s="1352"/>
      <c r="L86" s="1542"/>
      <c r="M86" s="1543"/>
      <c r="N86" s="1384"/>
      <c r="O86" s="1384"/>
      <c r="P86" s="1649"/>
      <c r="Q86" s="1314"/>
      <c r="R86" s="1434"/>
      <c r="S86" s="1434"/>
      <c r="T86" s="1434"/>
      <c r="U86" s="1434"/>
      <c r="V86" s="1434"/>
      <c r="W86" s="1434"/>
      <c r="X86" s="1434"/>
      <c r="Y86" s="1434"/>
      <c r="Z86" s="1434"/>
      <c r="AA86" s="1434"/>
      <c r="AB86" s="1434"/>
      <c r="AC86" s="1434"/>
    </row>
    <row r="87" spans="1:29" s="1093" customFormat="1" ht="15">
      <c r="A87" s="1364"/>
      <c r="B87" s="1346"/>
      <c r="C87" s="1365">
        <v>100</v>
      </c>
      <c r="D87" s="1347">
        <f t="shared" ref="D87:M87" si="20">C87-$K25</f>
        <v>100</v>
      </c>
      <c r="E87" s="1347">
        <f t="shared" si="20"/>
        <v>100</v>
      </c>
      <c r="F87" s="1347">
        <f t="shared" si="20"/>
        <v>100</v>
      </c>
      <c r="G87" s="1347">
        <f t="shared" si="20"/>
        <v>100</v>
      </c>
      <c r="H87" s="1347">
        <f t="shared" si="20"/>
        <v>100</v>
      </c>
      <c r="I87" s="1347">
        <f t="shared" si="20"/>
        <v>100</v>
      </c>
      <c r="J87" s="1347">
        <f t="shared" si="20"/>
        <v>100</v>
      </c>
      <c r="K87" s="1347">
        <f t="shared" si="20"/>
        <v>100</v>
      </c>
      <c r="L87" s="1347">
        <f t="shared" si="20"/>
        <v>100</v>
      </c>
      <c r="M87" s="1347">
        <f t="shared" si="20"/>
        <v>100</v>
      </c>
      <c r="N87" s="1393"/>
      <c r="O87" s="1393"/>
      <c r="P87" s="1649"/>
      <c r="Q87" s="1314"/>
      <c r="R87" s="1434"/>
      <c r="S87" s="1434"/>
      <c r="T87" s="1434"/>
      <c r="U87" s="1434"/>
      <c r="V87" s="1434"/>
      <c r="W87" s="1434"/>
      <c r="X87" s="1434"/>
      <c r="Y87" s="1434"/>
      <c r="Z87" s="1434"/>
      <c r="AA87" s="1434"/>
      <c r="AB87" s="1434"/>
      <c r="AC87" s="1434"/>
    </row>
    <row r="88" spans="1:29" s="1093" customFormat="1" ht="15">
      <c r="A88" s="1364"/>
      <c r="B88" s="1344" t="str">
        <f>B26</f>
        <v>平面位置/可视性</v>
      </c>
      <c r="C88" s="1352"/>
      <c r="D88" s="1352"/>
      <c r="E88" s="1352"/>
      <c r="F88" s="1626"/>
      <c r="G88" s="1352"/>
      <c r="H88" s="1352"/>
      <c r="I88" s="1352"/>
      <c r="J88" s="1352"/>
      <c r="K88" s="1352"/>
      <c r="L88" s="1352"/>
      <c r="M88" s="1543"/>
      <c r="N88" s="1384"/>
      <c r="O88" s="1384"/>
      <c r="P88" s="1649"/>
      <c r="Q88" s="1314"/>
      <c r="R88" s="1434"/>
      <c r="S88" s="1434"/>
      <c r="T88" s="1434"/>
      <c r="U88" s="1434"/>
      <c r="V88" s="1434"/>
      <c r="W88" s="1434"/>
      <c r="X88" s="1434"/>
      <c r="Y88" s="1434"/>
      <c r="Z88" s="1434"/>
      <c r="AA88" s="1434"/>
      <c r="AB88" s="1434"/>
      <c r="AC88" s="1434"/>
    </row>
    <row r="89" spans="1:29" s="1093" customFormat="1" ht="15">
      <c r="A89" s="1364"/>
      <c r="B89" s="1346"/>
      <c r="C89" s="1354"/>
      <c r="D89" s="1343"/>
      <c r="E89" s="1343"/>
      <c r="F89" s="1343"/>
      <c r="G89" s="1343"/>
      <c r="H89" s="1343"/>
      <c r="I89" s="1343"/>
      <c r="J89" s="1343"/>
      <c r="K89" s="1343"/>
      <c r="L89" s="1343"/>
      <c r="M89" s="1343"/>
      <c r="N89" s="1393"/>
      <c r="O89" s="1393"/>
      <c r="P89" s="1649"/>
      <c r="Q89" s="1314"/>
      <c r="R89" s="1434"/>
      <c r="S89" s="1434"/>
      <c r="T89" s="1434"/>
      <c r="U89" s="1434"/>
      <c r="V89" s="1434"/>
      <c r="W89" s="1434"/>
      <c r="X89" s="1434"/>
      <c r="Y89" s="1434"/>
      <c r="Z89" s="1434"/>
      <c r="AA89" s="1434"/>
      <c r="AB89" s="1434"/>
      <c r="AC89" s="1434"/>
    </row>
    <row r="90" spans="1:29" s="1095" customFormat="1" ht="15">
      <c r="A90" s="1351"/>
      <c r="B90" s="1344" t="str">
        <f>B27</f>
        <v>人流量</v>
      </c>
      <c r="C90" s="1352"/>
      <c r="D90" s="1352"/>
      <c r="E90" s="1352"/>
      <c r="F90" s="1352"/>
      <c r="G90" s="1352"/>
      <c r="H90" s="1353"/>
      <c r="I90" s="1353"/>
      <c r="J90" s="1353"/>
      <c r="K90" s="1353"/>
      <c r="L90" s="1401"/>
      <c r="M90" s="1402"/>
      <c r="N90" s="1403"/>
      <c r="O90" s="1403"/>
      <c r="P90" s="1654"/>
      <c r="Q90" s="1435"/>
      <c r="R90" s="1436"/>
      <c r="S90" s="1436"/>
      <c r="T90" s="1436"/>
      <c r="U90" s="1436"/>
      <c r="V90" s="1436"/>
      <c r="W90" s="1436"/>
      <c r="X90" s="1436"/>
      <c r="Y90" s="1436"/>
      <c r="Z90" s="1436"/>
      <c r="AA90" s="1436"/>
      <c r="AB90" s="1436"/>
      <c r="AC90" s="1436"/>
    </row>
    <row r="91" spans="1:29" s="1095" customFormat="1" ht="15">
      <c r="A91" s="1351"/>
      <c r="B91" s="1346"/>
      <c r="C91" s="1365">
        <v>100</v>
      </c>
      <c r="D91" s="1347">
        <f>C91-$K27</f>
        <v>100</v>
      </c>
      <c r="E91" s="1347">
        <f t="shared" ref="E91:M91" si="21">D91-$K27</f>
        <v>100</v>
      </c>
      <c r="F91" s="1347">
        <f t="shared" si="21"/>
        <v>100</v>
      </c>
      <c r="G91" s="1347">
        <f t="shared" si="21"/>
        <v>100</v>
      </c>
      <c r="H91" s="1347">
        <f t="shared" si="21"/>
        <v>100</v>
      </c>
      <c r="I91" s="1347">
        <f t="shared" si="21"/>
        <v>100</v>
      </c>
      <c r="J91" s="1347">
        <f t="shared" si="21"/>
        <v>100</v>
      </c>
      <c r="K91" s="1347">
        <f t="shared" si="21"/>
        <v>100</v>
      </c>
      <c r="L91" s="1347">
        <f t="shared" si="21"/>
        <v>100</v>
      </c>
      <c r="M91" s="1347">
        <f t="shared" si="21"/>
        <v>100</v>
      </c>
      <c r="N91" s="1403"/>
      <c r="O91" s="1403"/>
      <c r="P91" s="1654"/>
      <c r="Q91" s="1435"/>
      <c r="R91" s="1436"/>
      <c r="S91" s="1436"/>
      <c r="T91" s="1436"/>
      <c r="U91" s="1436"/>
      <c r="V91" s="1436"/>
      <c r="W91" s="1436"/>
      <c r="X91" s="1436"/>
      <c r="Y91" s="1436"/>
      <c r="Z91" s="1436"/>
      <c r="AA91" s="1436"/>
      <c r="AB91" s="1436"/>
      <c r="AC91" s="1436"/>
    </row>
    <row r="92" spans="1:29" ht="15">
      <c r="A92" s="1341"/>
      <c r="B92" s="1344" t="str">
        <f>B28</f>
        <v>楼层</v>
      </c>
      <c r="C92" s="1352"/>
      <c r="D92" s="1352"/>
      <c r="E92" s="1352"/>
      <c r="F92" s="1352"/>
      <c r="G92" s="1352"/>
      <c r="H92" s="1352"/>
      <c r="I92" s="1352"/>
      <c r="J92" s="1352"/>
      <c r="K92" s="1352"/>
      <c r="L92" s="1542"/>
      <c r="M92" s="1543"/>
      <c r="N92" s="1390"/>
      <c r="O92" s="1390"/>
      <c r="P92" s="1649"/>
      <c r="Q92" s="1314"/>
      <c r="R92" s="1209"/>
      <c r="S92" s="1209"/>
      <c r="T92" s="1209"/>
      <c r="U92" s="1209"/>
      <c r="V92" s="1209"/>
      <c r="W92" s="1209"/>
      <c r="X92" s="1209"/>
      <c r="Y92" s="1209"/>
      <c r="Z92" s="1209"/>
      <c r="AA92" s="1209"/>
      <c r="AB92" s="1209"/>
      <c r="AC92" s="1209"/>
    </row>
    <row r="93" spans="1:29" ht="15">
      <c r="A93" s="1341"/>
      <c r="B93" s="1346"/>
      <c r="C93" s="1343"/>
      <c r="D93" s="1343"/>
      <c r="E93" s="1343"/>
      <c r="F93" s="1343"/>
      <c r="G93" s="1343"/>
      <c r="H93" s="1343"/>
      <c r="I93" s="1343"/>
      <c r="J93" s="1343"/>
      <c r="K93" s="1343"/>
      <c r="L93" s="1343"/>
      <c r="M93" s="1392"/>
      <c r="N93" s="1393"/>
      <c r="O93" s="1393"/>
      <c r="P93" s="1649"/>
      <c r="Q93" s="1314"/>
      <c r="R93" s="1209"/>
      <c r="S93" s="1209"/>
      <c r="T93" s="1209"/>
      <c r="U93" s="1209"/>
      <c r="V93" s="1209"/>
      <c r="W93" s="1209"/>
      <c r="X93" s="1209"/>
      <c r="Y93" s="1209"/>
      <c r="Z93" s="1209"/>
      <c r="AA93" s="1209"/>
      <c r="AB93" s="1209"/>
      <c r="AC93" s="1209"/>
    </row>
    <row r="94" spans="1:29" ht="15">
      <c r="A94" s="1341"/>
      <c r="B94" s="1344">
        <f>B29</f>
        <v>111</v>
      </c>
      <c r="C94" s="1352"/>
      <c r="D94" s="1352"/>
      <c r="E94" s="1352"/>
      <c r="F94" s="1352"/>
      <c r="G94" s="1369"/>
      <c r="H94" s="1369"/>
      <c r="I94" s="1369"/>
      <c r="J94" s="1369"/>
      <c r="K94" s="1420"/>
      <c r="L94" s="1421"/>
      <c r="M94" s="1422"/>
      <c r="N94" s="1390"/>
      <c r="O94" s="1390"/>
      <c r="P94" s="1649"/>
      <c r="Q94" s="1314"/>
      <c r="R94" s="1209"/>
      <c r="S94" s="1209"/>
      <c r="T94" s="1209"/>
      <c r="U94" s="1209"/>
      <c r="V94" s="1209"/>
      <c r="W94" s="1209"/>
      <c r="X94" s="1209"/>
      <c r="Y94" s="1209"/>
      <c r="Z94" s="1209"/>
      <c r="AA94" s="1209"/>
      <c r="AB94" s="1209"/>
      <c r="AC94" s="1209"/>
    </row>
    <row r="95" spans="1:29" ht="15">
      <c r="A95" s="1341"/>
      <c r="B95" s="1346"/>
      <c r="C95" s="1354"/>
      <c r="D95" s="1343"/>
      <c r="E95" s="1343"/>
      <c r="F95" s="1343"/>
      <c r="G95" s="1343"/>
      <c r="H95" s="1343"/>
      <c r="I95" s="1343"/>
      <c r="J95" s="1343"/>
      <c r="K95" s="1343"/>
      <c r="L95" s="1343"/>
      <c r="M95" s="1392"/>
      <c r="N95" s="1393"/>
      <c r="O95" s="1393"/>
      <c r="P95" s="1649"/>
      <c r="Q95" s="1314"/>
      <c r="R95" s="1209"/>
      <c r="S95" s="1209"/>
      <c r="T95" s="1209"/>
      <c r="U95" s="1209"/>
      <c r="V95" s="1209"/>
      <c r="W95" s="1209"/>
      <c r="X95" s="1209"/>
      <c r="Y95" s="1209"/>
      <c r="Z95" s="1209"/>
      <c r="AA95" s="1209"/>
      <c r="AB95" s="1209"/>
      <c r="AC95" s="1209"/>
    </row>
    <row r="96" spans="1:29" ht="15">
      <c r="A96" s="1341"/>
      <c r="B96" s="1344">
        <f>B30</f>
        <v>111</v>
      </c>
      <c r="C96" s="1352"/>
      <c r="D96" s="1352"/>
      <c r="E96" s="1352"/>
      <c r="F96" s="1352"/>
      <c r="G96" s="1369"/>
      <c r="H96" s="1369"/>
      <c r="I96" s="1369"/>
      <c r="J96" s="1369"/>
      <c r="K96" s="1420"/>
      <c r="L96" s="1421"/>
      <c r="M96" s="1422"/>
      <c r="N96" s="1390"/>
      <c r="O96" s="1390"/>
      <c r="P96" s="1649"/>
      <c r="Q96" s="1314"/>
      <c r="R96" s="1209"/>
      <c r="S96" s="1209"/>
      <c r="T96" s="1209"/>
      <c r="U96" s="1209"/>
      <c r="V96" s="1209"/>
      <c r="W96" s="1209"/>
      <c r="X96" s="1209"/>
      <c r="Y96" s="1209"/>
      <c r="Z96" s="1209"/>
      <c r="AA96" s="1209"/>
      <c r="AB96" s="1209"/>
      <c r="AC96" s="1209"/>
    </row>
    <row r="97" spans="1:29" ht="15">
      <c r="A97" s="1341"/>
      <c r="B97" s="1346"/>
      <c r="C97" s="1354"/>
      <c r="D97" s="1343"/>
      <c r="E97" s="1343"/>
      <c r="F97" s="1343"/>
      <c r="G97" s="1343"/>
      <c r="H97" s="1343"/>
      <c r="I97" s="1343"/>
      <c r="J97" s="1343"/>
      <c r="K97" s="1343"/>
      <c r="L97" s="1343"/>
      <c r="M97" s="1392"/>
      <c r="N97" s="1393"/>
      <c r="O97" s="1393"/>
      <c r="P97" s="1649"/>
      <c r="Q97" s="1314"/>
      <c r="R97" s="1209"/>
      <c r="S97" s="1209"/>
      <c r="T97" s="1209"/>
      <c r="U97" s="1209"/>
      <c r="V97" s="1209"/>
      <c r="W97" s="1209"/>
      <c r="X97" s="1209"/>
      <c r="Y97" s="1209"/>
      <c r="Z97" s="1209"/>
      <c r="AA97" s="1209"/>
      <c r="AB97" s="1209"/>
      <c r="AC97" s="1209"/>
    </row>
    <row r="98" spans="1:29" ht="15">
      <c r="A98" s="1341"/>
      <c r="B98" s="1348">
        <f>B31</f>
        <v>111</v>
      </c>
      <c r="C98" s="1352"/>
      <c r="D98" s="1352"/>
      <c r="E98" s="1352"/>
      <c r="F98" s="1352"/>
      <c r="G98" s="1370"/>
      <c r="H98" s="1370"/>
      <c r="I98" s="1370"/>
      <c r="J98" s="1370"/>
      <c r="K98" s="1423"/>
      <c r="L98" s="1424"/>
      <c r="M98" s="1425"/>
      <c r="N98" s="1390"/>
      <c r="O98" s="1390"/>
      <c r="P98" s="1649"/>
      <c r="Q98" s="1314"/>
      <c r="R98" s="1209"/>
      <c r="S98" s="1209"/>
      <c r="T98" s="1209"/>
      <c r="U98" s="1209"/>
      <c r="V98" s="1209"/>
      <c r="W98" s="1209"/>
      <c r="X98" s="1209"/>
      <c r="Y98" s="1209"/>
      <c r="Z98" s="1209"/>
      <c r="AA98" s="1209"/>
      <c r="AB98" s="1209"/>
      <c r="AC98" s="1209"/>
    </row>
    <row r="99" spans="1:29" ht="15">
      <c r="A99" s="1588"/>
      <c r="B99" s="1358"/>
      <c r="C99" s="1359"/>
      <c r="D99" s="1359"/>
      <c r="E99" s="1359"/>
      <c r="F99" s="1359"/>
      <c r="G99" s="1371"/>
      <c r="H99" s="1371"/>
      <c r="I99" s="1371"/>
      <c r="J99" s="1371"/>
      <c r="K99" s="1371"/>
      <c r="L99" s="1371"/>
      <c r="M99" s="1426"/>
      <c r="N99" s="1393"/>
      <c r="O99" s="1393"/>
      <c r="P99" s="1649"/>
      <c r="Q99" s="1314"/>
      <c r="R99" s="1209"/>
      <c r="S99" s="1209"/>
      <c r="T99" s="1209"/>
      <c r="U99" s="1209"/>
      <c r="V99" s="1209"/>
      <c r="W99" s="1209"/>
      <c r="X99" s="1209"/>
      <c r="Y99" s="1209"/>
      <c r="Z99" s="1209"/>
      <c r="AA99" s="1209"/>
      <c r="AB99" s="1209"/>
      <c r="AC99" s="1209"/>
    </row>
    <row r="100" spans="1:29">
      <c r="A100" s="1339" t="s">
        <v>1434</v>
      </c>
      <c r="B100" s="1340" t="s">
        <v>2001</v>
      </c>
      <c r="C100" s="1282"/>
      <c r="D100" s="1282"/>
      <c r="E100" s="1282"/>
      <c r="F100" s="1282"/>
      <c r="G100" s="1282"/>
      <c r="H100" s="1282"/>
      <c r="I100" s="1282"/>
      <c r="J100" s="1282"/>
      <c r="K100" s="1387"/>
      <c r="L100" s="1388"/>
      <c r="M100" s="1389"/>
      <c r="N100" s="1390"/>
      <c r="O100" s="1390"/>
      <c r="P100" s="1649"/>
      <c r="Q100" s="1314"/>
      <c r="R100" s="1209"/>
      <c r="S100" s="1209"/>
      <c r="T100" s="1209"/>
      <c r="U100" s="1209"/>
      <c r="V100" s="1209"/>
      <c r="W100" s="1209"/>
      <c r="X100" s="1209"/>
      <c r="Y100" s="1209"/>
      <c r="Z100" s="1209"/>
      <c r="AA100" s="1209"/>
      <c r="AB100" s="1209"/>
      <c r="AC100" s="1209"/>
    </row>
    <row r="101" spans="1:29" ht="15">
      <c r="A101" s="1341"/>
      <c r="B101" s="1346"/>
      <c r="C101" s="1347">
        <v>100</v>
      </c>
      <c r="D101" s="1347">
        <f t="shared" ref="D101:M101" si="22">C101-$K32</f>
        <v>100</v>
      </c>
      <c r="E101" s="1347">
        <f t="shared" si="22"/>
        <v>100</v>
      </c>
      <c r="F101" s="1347">
        <f t="shared" si="22"/>
        <v>100</v>
      </c>
      <c r="G101" s="1347">
        <f t="shared" si="22"/>
        <v>100</v>
      </c>
      <c r="H101" s="1347">
        <f t="shared" si="22"/>
        <v>100</v>
      </c>
      <c r="I101" s="1347">
        <f t="shared" si="22"/>
        <v>100</v>
      </c>
      <c r="J101" s="1347">
        <f t="shared" si="22"/>
        <v>100</v>
      </c>
      <c r="K101" s="1347">
        <f t="shared" si="22"/>
        <v>100</v>
      </c>
      <c r="L101" s="1347">
        <f t="shared" si="22"/>
        <v>100</v>
      </c>
      <c r="M101" s="1397">
        <f t="shared" si="22"/>
        <v>100</v>
      </c>
      <c r="N101" s="1393"/>
      <c r="O101" s="1393"/>
      <c r="P101" s="1649"/>
      <c r="Q101" s="1314"/>
      <c r="R101" s="1209"/>
      <c r="S101" s="1209"/>
      <c r="T101" s="1209"/>
      <c r="U101" s="1209"/>
      <c r="V101" s="1209"/>
      <c r="W101" s="1209"/>
      <c r="X101" s="1209"/>
      <c r="Y101" s="1209"/>
      <c r="Z101" s="1209"/>
      <c r="AA101" s="1209"/>
      <c r="AB101" s="1209"/>
      <c r="AC101" s="1209"/>
    </row>
    <row r="102" spans="1:29" ht="15">
      <c r="A102" s="1341"/>
      <c r="B102" s="1344" t="s">
        <v>1965</v>
      </c>
      <c r="C102" s="1363" t="str">
        <f>C103&amp;"(含)"&amp;"-"&amp;D103</f>
        <v>(含)-</v>
      </c>
      <c r="D102" s="1363" t="str">
        <f t="shared" ref="D102:L102" si="23">D103&amp;"(含)"&amp;"-"&amp;E103</f>
        <v>(含)-</v>
      </c>
      <c r="E102" s="1363" t="str">
        <f t="shared" si="23"/>
        <v>(含)-</v>
      </c>
      <c r="F102" s="1363" t="str">
        <f t="shared" si="23"/>
        <v>(含)-</v>
      </c>
      <c r="G102" s="1363" t="str">
        <f t="shared" si="23"/>
        <v>(含)-</v>
      </c>
      <c r="H102" s="1363" t="str">
        <f t="shared" si="23"/>
        <v>(含)-</v>
      </c>
      <c r="I102" s="1363" t="str">
        <f t="shared" si="23"/>
        <v>(含)-</v>
      </c>
      <c r="J102" s="1363" t="str">
        <f t="shared" si="23"/>
        <v>(含)-</v>
      </c>
      <c r="K102" s="1363" t="str">
        <f t="shared" si="23"/>
        <v>(含)-</v>
      </c>
      <c r="L102" s="1363" t="str">
        <f t="shared" si="23"/>
        <v>(含)-</v>
      </c>
      <c r="M102" s="1415" t="str">
        <f>M103&amp;"(含)"&amp;"-"&amp;P103</f>
        <v>(含)-</v>
      </c>
      <c r="N102" s="1384"/>
      <c r="O102" s="1384"/>
      <c r="P102" s="1649"/>
      <c r="Q102" s="1314"/>
      <c r="R102" s="1209"/>
      <c r="S102" s="1209"/>
      <c r="T102" s="1209"/>
      <c r="U102" s="1209"/>
      <c r="V102" s="1209"/>
      <c r="W102" s="1209"/>
      <c r="X102" s="1209"/>
      <c r="Y102" s="1209"/>
      <c r="Z102" s="1209"/>
      <c r="AA102" s="1209"/>
      <c r="AB102" s="1209"/>
      <c r="AC102" s="1209"/>
    </row>
    <row r="103" spans="1:29" s="1095" customFormat="1">
      <c r="A103" s="1372"/>
      <c r="B103" s="1373"/>
      <c r="C103" s="1328"/>
      <c r="D103" s="1328"/>
      <c r="E103" s="1328"/>
      <c r="F103" s="1328"/>
      <c r="G103" s="1328"/>
      <c r="H103" s="1328"/>
      <c r="I103" s="1328"/>
      <c r="J103" s="1427"/>
      <c r="K103" s="1427"/>
      <c r="L103" s="1428"/>
      <c r="M103" s="1429"/>
      <c r="N103" s="1403"/>
      <c r="O103" s="1403"/>
      <c r="P103" s="1654"/>
      <c r="Q103" s="1435"/>
      <c r="R103" s="1436"/>
      <c r="S103" s="1436"/>
      <c r="T103" s="1436"/>
      <c r="U103" s="1436"/>
      <c r="V103" s="1436"/>
      <c r="W103" s="1436"/>
      <c r="X103" s="1436"/>
      <c r="Y103" s="1436"/>
      <c r="Z103" s="1436"/>
      <c r="AA103" s="1436"/>
      <c r="AB103" s="1436"/>
      <c r="AC103" s="1436"/>
    </row>
    <row r="104" spans="1:29" s="1095" customFormat="1" ht="15">
      <c r="A104" s="1351"/>
      <c r="B104" s="1346"/>
      <c r="C104" s="1354"/>
      <c r="D104" s="1343"/>
      <c r="E104" s="1343"/>
      <c r="F104" s="1343"/>
      <c r="G104" s="1343"/>
      <c r="H104" s="1343"/>
      <c r="I104" s="1343"/>
      <c r="J104" s="1343"/>
      <c r="K104" s="1343"/>
      <c r="L104" s="1343"/>
      <c r="M104" s="1392"/>
      <c r="N104" s="1393"/>
      <c r="O104" s="1393"/>
      <c r="P104" s="1654"/>
      <c r="Q104" s="1435"/>
      <c r="R104" s="1436"/>
      <c r="S104" s="1436"/>
      <c r="T104" s="1436"/>
      <c r="U104" s="1436"/>
      <c r="V104" s="1436"/>
      <c r="W104" s="1436"/>
      <c r="X104" s="1436"/>
      <c r="Y104" s="1436"/>
      <c r="Z104" s="1436"/>
      <c r="AA104" s="1436"/>
      <c r="AB104" s="1436"/>
      <c r="AC104" s="1436"/>
    </row>
    <row r="105" spans="1:29">
      <c r="A105" s="1375"/>
      <c r="B105" s="1344" t="s">
        <v>1966</v>
      </c>
      <c r="C105" s="1352"/>
      <c r="D105" s="1352"/>
      <c r="E105" s="1369"/>
      <c r="F105" s="1369"/>
      <c r="G105" s="1369"/>
      <c r="H105" s="1369"/>
      <c r="I105" s="1369"/>
      <c r="J105" s="1369"/>
      <c r="K105" s="1420"/>
      <c r="L105" s="1421"/>
      <c r="M105" s="1422"/>
      <c r="N105" s="1390"/>
      <c r="O105" s="1390"/>
      <c r="P105" s="1649"/>
      <c r="Q105" s="1314"/>
      <c r="R105" s="1209"/>
      <c r="S105" s="1209"/>
      <c r="T105" s="1209"/>
      <c r="U105" s="1209"/>
      <c r="V105" s="1209"/>
      <c r="W105" s="1209"/>
      <c r="X105" s="1209"/>
      <c r="Y105" s="1209"/>
      <c r="Z105" s="1209"/>
      <c r="AA105" s="1209"/>
      <c r="AB105" s="1209"/>
      <c r="AC105" s="1209"/>
    </row>
    <row r="106" spans="1:29" ht="15">
      <c r="A106" s="1341"/>
      <c r="B106" s="1346"/>
      <c r="C106" s="1347">
        <v>100</v>
      </c>
      <c r="D106" s="1347">
        <f t="shared" ref="D106:M106" si="24">C106-$K34</f>
        <v>100</v>
      </c>
      <c r="E106" s="1347">
        <f t="shared" si="24"/>
        <v>100</v>
      </c>
      <c r="F106" s="1347">
        <f t="shared" si="24"/>
        <v>100</v>
      </c>
      <c r="G106" s="1347">
        <f t="shared" si="24"/>
        <v>100</v>
      </c>
      <c r="H106" s="1347">
        <f t="shared" si="24"/>
        <v>100</v>
      </c>
      <c r="I106" s="1347">
        <f t="shared" si="24"/>
        <v>100</v>
      </c>
      <c r="J106" s="1347">
        <f t="shared" si="24"/>
        <v>100</v>
      </c>
      <c r="K106" s="1347">
        <f t="shared" si="24"/>
        <v>100</v>
      </c>
      <c r="L106" s="1347">
        <f t="shared" si="24"/>
        <v>100</v>
      </c>
      <c r="M106" s="1397">
        <f t="shared" si="24"/>
        <v>100</v>
      </c>
      <c r="N106" s="1393"/>
      <c r="O106" s="1393"/>
      <c r="P106" s="1649"/>
      <c r="Q106" s="1314"/>
      <c r="R106" s="1209"/>
      <c r="S106" s="1209"/>
      <c r="T106" s="1209"/>
      <c r="U106" s="1209"/>
      <c r="V106" s="1209"/>
      <c r="W106" s="1209"/>
      <c r="X106" s="1209"/>
      <c r="Y106" s="1209"/>
      <c r="Z106" s="1209"/>
      <c r="AA106" s="1209"/>
      <c r="AB106" s="1209"/>
      <c r="AC106" s="1209"/>
    </row>
    <row r="107" spans="1:29">
      <c r="A107" s="1375"/>
      <c r="B107" s="1344" t="s">
        <v>1441</v>
      </c>
      <c r="C107" s="1352"/>
      <c r="D107" s="1352"/>
      <c r="E107" s="1352"/>
      <c r="F107" s="1369"/>
      <c r="G107" s="1369"/>
      <c r="H107" s="1369"/>
      <c r="I107" s="1369"/>
      <c r="J107" s="1369"/>
      <c r="K107" s="1420"/>
      <c r="L107" s="1421"/>
      <c r="M107" s="1422"/>
      <c r="N107" s="1390"/>
      <c r="O107" s="1390"/>
      <c r="P107" s="1649"/>
      <c r="Q107" s="1314"/>
      <c r="R107" s="1209"/>
      <c r="S107" s="1209"/>
      <c r="T107" s="1209"/>
      <c r="U107" s="1209"/>
      <c r="V107" s="1209"/>
      <c r="W107" s="1209"/>
      <c r="X107" s="1209"/>
      <c r="Y107" s="1209"/>
      <c r="Z107" s="1209"/>
      <c r="AA107" s="1209"/>
      <c r="AB107" s="1209"/>
      <c r="AC107" s="1209"/>
    </row>
    <row r="108" spans="1:29" ht="15">
      <c r="A108" s="1341"/>
      <c r="B108" s="1346"/>
      <c r="C108" s="1347">
        <v>100</v>
      </c>
      <c r="D108" s="1347">
        <f t="shared" ref="D108:M108" si="25">C108-$K35</f>
        <v>100</v>
      </c>
      <c r="E108" s="1347">
        <f t="shared" si="25"/>
        <v>100</v>
      </c>
      <c r="F108" s="1347">
        <f t="shared" si="25"/>
        <v>100</v>
      </c>
      <c r="G108" s="1347">
        <f t="shared" si="25"/>
        <v>100</v>
      </c>
      <c r="H108" s="1347">
        <f t="shared" si="25"/>
        <v>100</v>
      </c>
      <c r="I108" s="1347">
        <f t="shared" si="25"/>
        <v>100</v>
      </c>
      <c r="J108" s="1347">
        <f t="shared" si="25"/>
        <v>100</v>
      </c>
      <c r="K108" s="1347">
        <f t="shared" si="25"/>
        <v>100</v>
      </c>
      <c r="L108" s="1347">
        <f t="shared" si="25"/>
        <v>100</v>
      </c>
      <c r="M108" s="1397">
        <f t="shared" si="25"/>
        <v>100</v>
      </c>
      <c r="N108" s="1393"/>
      <c r="O108" s="1393"/>
      <c r="P108" s="1649"/>
      <c r="Q108" s="1314"/>
      <c r="R108" s="1209"/>
      <c r="S108" s="1209"/>
      <c r="T108" s="1209"/>
      <c r="U108" s="1209"/>
      <c r="V108" s="1209"/>
      <c r="W108" s="1209"/>
      <c r="X108" s="1209"/>
      <c r="Y108" s="1209"/>
      <c r="Z108" s="1209"/>
      <c r="AA108" s="1209"/>
      <c r="AB108" s="1209"/>
      <c r="AC108" s="1209"/>
    </row>
    <row r="109" spans="1:29">
      <c r="A109" s="1375"/>
      <c r="B109" s="1344" t="s">
        <v>683</v>
      </c>
      <c r="C109" s="1363" t="str">
        <f>C110&amp;"(含)"&amp;"-"&amp;D110</f>
        <v>0.5(含)-0.6</v>
      </c>
      <c r="D109" s="1363" t="str">
        <f>D110&amp;"(含)"&amp;"-"&amp;E110</f>
        <v>0.6(含)-0.7</v>
      </c>
      <c r="E109" s="1363" t="str">
        <f>E110&amp;"(含)"&amp;"-"&amp;F110</f>
        <v>0.7(含)-0.8</v>
      </c>
      <c r="F109" s="1363" t="str">
        <f>F110&amp;"(含)"&amp;"-"&amp;G110</f>
        <v>0.8(含)-0.9</v>
      </c>
      <c r="G109" s="1363" t="str">
        <f>G110&amp;"(含)"&amp;"-"&amp;ROUND(H110,0)&amp;"(含)"</f>
        <v>0.9(含)-1(含)</v>
      </c>
      <c r="H109" s="1363"/>
      <c r="I109" s="1369"/>
      <c r="J109" s="1369"/>
      <c r="K109" s="1420"/>
      <c r="L109" s="1421"/>
      <c r="M109" s="1422"/>
      <c r="N109" s="1390"/>
      <c r="O109" s="1390"/>
      <c r="P109" s="1649"/>
      <c r="Q109" s="1314"/>
      <c r="R109" s="1209"/>
      <c r="S109" s="1209"/>
      <c r="T109" s="1209"/>
      <c r="U109" s="1209"/>
      <c r="V109" s="1209"/>
      <c r="W109" s="1209"/>
      <c r="X109" s="1209"/>
      <c r="Y109" s="1209"/>
      <c r="Z109" s="1209"/>
      <c r="AA109" s="1209"/>
      <c r="AB109" s="1209"/>
      <c r="AC109" s="1209"/>
    </row>
    <row r="110" spans="1:29">
      <c r="A110" s="1375"/>
      <c r="B110" s="1348"/>
      <c r="C110" s="992">
        <v>0.5</v>
      </c>
      <c r="D110" s="992">
        <v>0.6</v>
      </c>
      <c r="E110" s="992">
        <v>0.7</v>
      </c>
      <c r="F110" s="992">
        <v>0.8</v>
      </c>
      <c r="G110" s="992">
        <v>0.9</v>
      </c>
      <c r="H110" s="992">
        <v>1.0001</v>
      </c>
      <c r="I110" s="1592"/>
      <c r="J110" s="1592"/>
      <c r="K110" s="1593"/>
      <c r="L110" s="1594"/>
      <c r="M110" s="1595"/>
      <c r="N110" s="1390"/>
      <c r="O110" s="1390"/>
      <c r="P110" s="1649"/>
      <c r="Q110" s="1314"/>
      <c r="R110" s="1209"/>
      <c r="S110" s="1209"/>
      <c r="T110" s="1209"/>
      <c r="U110" s="1209"/>
      <c r="V110" s="1209"/>
      <c r="W110" s="1209"/>
      <c r="X110" s="1209"/>
      <c r="Y110" s="1209"/>
      <c r="Z110" s="1209"/>
      <c r="AA110" s="1209"/>
      <c r="AB110" s="1209"/>
      <c r="AC110" s="1209"/>
    </row>
    <row r="111" spans="1:29" ht="15">
      <c r="A111" s="1341"/>
      <c r="B111" s="1346"/>
      <c r="C111" s="1365">
        <v>100</v>
      </c>
      <c r="D111" s="1347">
        <f>C111+$K36</f>
        <v>100</v>
      </c>
      <c r="E111" s="1347">
        <f t="shared" ref="E111:M111" si="26">D111+$K36</f>
        <v>100</v>
      </c>
      <c r="F111" s="1347">
        <f t="shared" si="26"/>
        <v>100</v>
      </c>
      <c r="G111" s="1347">
        <f t="shared" si="26"/>
        <v>100</v>
      </c>
      <c r="H111" s="1347">
        <f t="shared" si="26"/>
        <v>100</v>
      </c>
      <c r="I111" s="1347">
        <f t="shared" si="26"/>
        <v>100</v>
      </c>
      <c r="J111" s="1347">
        <f t="shared" si="26"/>
        <v>100</v>
      </c>
      <c r="K111" s="1347">
        <f t="shared" si="26"/>
        <v>100</v>
      </c>
      <c r="L111" s="1347">
        <f t="shared" si="26"/>
        <v>100</v>
      </c>
      <c r="M111" s="1347">
        <f t="shared" si="26"/>
        <v>100</v>
      </c>
      <c r="N111" s="1393"/>
      <c r="O111" s="1393"/>
      <c r="P111" s="1649"/>
      <c r="Q111" s="1314"/>
      <c r="R111" s="1209"/>
      <c r="S111" s="1209"/>
      <c r="T111" s="1209"/>
      <c r="U111" s="1209"/>
      <c r="V111" s="1209"/>
      <c r="W111" s="1209"/>
      <c r="X111" s="1209"/>
      <c r="Y111" s="1209"/>
      <c r="Z111" s="1209"/>
      <c r="AA111" s="1209"/>
      <c r="AB111" s="1209"/>
      <c r="AC111" s="1209"/>
    </row>
    <row r="112" spans="1:29" s="1095" customFormat="1">
      <c r="A112" s="1372"/>
      <c r="B112" s="1344" t="s">
        <v>1969</v>
      </c>
      <c r="C112" s="1352"/>
      <c r="D112" s="1352"/>
      <c r="E112" s="1352"/>
      <c r="F112" s="1352"/>
      <c r="G112" s="1352"/>
      <c r="H112" s="1369"/>
      <c r="I112" s="1369"/>
      <c r="J112" s="1369"/>
      <c r="K112" s="1420"/>
      <c r="L112" s="1421"/>
      <c r="M112" s="1422"/>
      <c r="N112" s="1403"/>
      <c r="O112" s="1403"/>
      <c r="P112" s="1654"/>
      <c r="Q112" s="1435"/>
      <c r="R112" s="1436"/>
      <c r="S112" s="1436"/>
      <c r="T112" s="1436"/>
      <c r="U112" s="1436"/>
      <c r="V112" s="1436"/>
      <c r="W112" s="1436"/>
      <c r="X112" s="1436"/>
      <c r="Y112" s="1436"/>
      <c r="Z112" s="1436"/>
      <c r="AA112" s="1436"/>
      <c r="AB112" s="1436"/>
      <c r="AC112" s="1436"/>
    </row>
    <row r="113" spans="1:29" s="1095" customFormat="1" ht="15">
      <c r="A113" s="1351"/>
      <c r="B113" s="1346"/>
      <c r="C113" s="1347">
        <v>100</v>
      </c>
      <c r="D113" s="1347">
        <f>C113-$K37</f>
        <v>100</v>
      </c>
      <c r="E113" s="1347">
        <f t="shared" ref="E113:M113" si="27">D113-$K37</f>
        <v>100</v>
      </c>
      <c r="F113" s="1347">
        <f t="shared" si="27"/>
        <v>100</v>
      </c>
      <c r="G113" s="1347">
        <f t="shared" si="27"/>
        <v>100</v>
      </c>
      <c r="H113" s="1347">
        <f t="shared" si="27"/>
        <v>100</v>
      </c>
      <c r="I113" s="1347">
        <f t="shared" si="27"/>
        <v>100</v>
      </c>
      <c r="J113" s="1347">
        <f t="shared" si="27"/>
        <v>100</v>
      </c>
      <c r="K113" s="1347">
        <f t="shared" si="27"/>
        <v>100</v>
      </c>
      <c r="L113" s="1347">
        <f t="shared" si="27"/>
        <v>100</v>
      </c>
      <c r="M113" s="1347">
        <f t="shared" si="27"/>
        <v>100</v>
      </c>
      <c r="N113" s="1403"/>
      <c r="O113" s="1403"/>
      <c r="P113" s="1654"/>
      <c r="Q113" s="1435"/>
      <c r="R113" s="1436"/>
      <c r="S113" s="1436"/>
      <c r="T113" s="1436"/>
      <c r="U113" s="1436"/>
      <c r="V113" s="1436"/>
      <c r="W113" s="1436"/>
      <c r="X113" s="1436"/>
      <c r="Y113" s="1436"/>
      <c r="Z113" s="1436"/>
      <c r="AA113" s="1436"/>
      <c r="AB113" s="1436"/>
      <c r="AC113" s="1436"/>
    </row>
    <row r="114" spans="1:29">
      <c r="A114" s="1375"/>
      <c r="B114" s="1344" t="s">
        <v>2002</v>
      </c>
      <c r="C114" s="1352"/>
      <c r="D114" s="1352"/>
      <c r="E114" s="1369"/>
      <c r="F114" s="1369"/>
      <c r="G114" s="1369"/>
      <c r="H114" s="1369"/>
      <c r="I114" s="1369"/>
      <c r="J114" s="1369"/>
      <c r="K114" s="1420"/>
      <c r="L114" s="1421"/>
      <c r="M114" s="1422"/>
      <c r="N114" s="1390"/>
      <c r="O114" s="1390"/>
      <c r="P114" s="1649"/>
      <c r="Q114" s="1314"/>
      <c r="R114" s="1209"/>
      <c r="S114" s="1209"/>
      <c r="T114" s="1209"/>
      <c r="U114" s="1209"/>
      <c r="V114" s="1209"/>
      <c r="W114" s="1209"/>
      <c r="X114" s="1209"/>
      <c r="Y114" s="1209"/>
      <c r="Z114" s="1209"/>
      <c r="AA114" s="1209"/>
      <c r="AB114" s="1209"/>
      <c r="AC114" s="1209"/>
    </row>
    <row r="115" spans="1:29" ht="15">
      <c r="A115" s="1341"/>
      <c r="B115" s="1346"/>
      <c r="C115" s="1347">
        <v>100</v>
      </c>
      <c r="D115" s="1347">
        <f t="shared" ref="D115:M115" si="28">C115-$K38</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97">
        <f t="shared" si="28"/>
        <v>100</v>
      </c>
      <c r="N115" s="1393"/>
      <c r="O115" s="1393"/>
      <c r="P115" s="1649"/>
      <c r="Q115" s="1314"/>
      <c r="R115" s="1209"/>
      <c r="S115" s="1209"/>
      <c r="T115" s="1209"/>
      <c r="U115" s="1209"/>
      <c r="V115" s="1209"/>
      <c r="W115" s="1209"/>
      <c r="X115" s="1209"/>
      <c r="Y115" s="1209"/>
      <c r="Z115" s="1209"/>
      <c r="AA115" s="1209"/>
      <c r="AB115" s="1209"/>
      <c r="AC115" s="1209"/>
    </row>
    <row r="116" spans="1:29">
      <c r="A116" s="1375"/>
      <c r="B116" s="1344" t="s">
        <v>2003</v>
      </c>
      <c r="C116" s="1352"/>
      <c r="D116" s="1352"/>
      <c r="E116" s="1352"/>
      <c r="F116" s="1352"/>
      <c r="G116" s="1352"/>
      <c r="H116" s="1369"/>
      <c r="I116" s="1369"/>
      <c r="J116" s="1369"/>
      <c r="K116" s="1420"/>
      <c r="L116" s="1421"/>
      <c r="M116" s="1422"/>
      <c r="N116" s="1390"/>
      <c r="O116" s="1390"/>
      <c r="P116" s="1649"/>
      <c r="Q116" s="1314"/>
      <c r="R116" s="1209"/>
      <c r="S116" s="1209"/>
      <c r="T116" s="1209"/>
      <c r="U116" s="1209"/>
      <c r="V116" s="1209"/>
      <c r="W116" s="1209"/>
      <c r="X116" s="1209"/>
      <c r="Y116" s="1209"/>
      <c r="Z116" s="1209"/>
      <c r="AA116" s="1209"/>
      <c r="AB116" s="1209"/>
      <c r="AC116" s="1209"/>
    </row>
    <row r="117" spans="1:29" ht="15">
      <c r="A117" s="1341"/>
      <c r="B117" s="1346"/>
      <c r="C117" s="1347">
        <v>100</v>
      </c>
      <c r="D117" s="1347">
        <f>C117-$K39</f>
        <v>100</v>
      </c>
      <c r="E117" s="1347">
        <f>D117-$K39</f>
        <v>100</v>
      </c>
      <c r="F117" s="1347">
        <f>E117-$K39</f>
        <v>100</v>
      </c>
      <c r="G117" s="1347">
        <f>F117-$K39</f>
        <v>100</v>
      </c>
      <c r="H117" s="1347"/>
      <c r="I117" s="1347"/>
      <c r="J117" s="1347"/>
      <c r="K117" s="1347"/>
      <c r="L117" s="1347"/>
      <c r="M117" s="1397"/>
      <c r="N117" s="1393"/>
      <c r="O117" s="1393"/>
      <c r="P117" s="1649"/>
      <c r="Q117" s="1314"/>
      <c r="R117" s="1209"/>
      <c r="S117" s="1209"/>
      <c r="T117" s="1209"/>
      <c r="U117" s="1209"/>
      <c r="V117" s="1209"/>
      <c r="W117" s="1209"/>
      <c r="X117" s="1209"/>
      <c r="Y117" s="1209"/>
      <c r="Z117" s="1209"/>
      <c r="AA117" s="1209"/>
      <c r="AB117" s="1209"/>
      <c r="AC117" s="1209"/>
    </row>
    <row r="118" spans="1:29">
      <c r="A118" s="1375"/>
      <c r="B118" s="1344" t="s">
        <v>2004</v>
      </c>
      <c r="C118" s="1653"/>
      <c r="D118" s="1653"/>
      <c r="E118" s="1653"/>
      <c r="F118" s="1653"/>
      <c r="G118" s="1653"/>
      <c r="H118" s="1353"/>
      <c r="I118" s="1353"/>
      <c r="J118" s="1353"/>
      <c r="K118" s="1353"/>
      <c r="L118" s="1401"/>
      <c r="M118" s="1402"/>
      <c r="N118" s="1390"/>
      <c r="O118" s="1390"/>
      <c r="P118" s="1649"/>
      <c r="Q118" s="1314"/>
      <c r="R118" s="1209"/>
      <c r="S118" s="1209"/>
      <c r="T118" s="1209"/>
      <c r="U118" s="1209"/>
      <c r="V118" s="1209"/>
      <c r="W118" s="1209"/>
      <c r="X118" s="1209"/>
      <c r="Y118" s="1209"/>
      <c r="Z118" s="1209"/>
      <c r="AA118" s="1209"/>
      <c r="AB118" s="1209"/>
      <c r="AC118" s="1209"/>
    </row>
    <row r="119" spans="1:29" ht="15">
      <c r="A119" s="1341"/>
      <c r="B119" s="1346"/>
      <c r="C119" s="1354"/>
      <c r="D119" s="1343"/>
      <c r="E119" s="1343"/>
      <c r="F119" s="1343"/>
      <c r="G119" s="1343"/>
      <c r="H119" s="1343"/>
      <c r="I119" s="1343"/>
      <c r="J119" s="1343"/>
      <c r="K119" s="1343"/>
      <c r="L119" s="1343"/>
      <c r="M119" s="1392"/>
      <c r="N119" s="1393"/>
      <c r="O119" s="1393"/>
      <c r="P119" s="1649"/>
      <c r="Q119" s="1314"/>
      <c r="R119" s="1209"/>
      <c r="S119" s="1209"/>
      <c r="T119" s="1209"/>
      <c r="U119" s="1209"/>
      <c r="V119" s="1209"/>
      <c r="W119" s="1209"/>
      <c r="X119" s="1209"/>
      <c r="Y119" s="1209"/>
      <c r="Z119" s="1209"/>
      <c r="AA119" s="1209"/>
      <c r="AB119" s="1209"/>
      <c r="AC119" s="1209"/>
    </row>
    <row r="120" spans="1:29" s="1095" customFormat="1">
      <c r="A120" s="1372"/>
      <c r="B120" s="1344" t="s">
        <v>2006</v>
      </c>
      <c r="C120" s="1369"/>
      <c r="D120" s="1369"/>
      <c r="E120" s="1369"/>
      <c r="F120" s="1369"/>
      <c r="G120" s="1353"/>
      <c r="H120" s="1353"/>
      <c r="I120" s="1353"/>
      <c r="J120" s="1353"/>
      <c r="K120" s="1353"/>
      <c r="L120" s="1401"/>
      <c r="M120" s="1402"/>
      <c r="N120" s="1403"/>
      <c r="O120" s="1403"/>
      <c r="P120" s="1654"/>
      <c r="Q120" s="1435"/>
      <c r="R120" s="1436"/>
      <c r="S120" s="1436"/>
      <c r="T120" s="1436"/>
      <c r="U120" s="1436"/>
      <c r="V120" s="1436"/>
      <c r="W120" s="1436"/>
      <c r="X120" s="1436"/>
      <c r="Y120" s="1436"/>
      <c r="Z120" s="1436"/>
      <c r="AA120" s="1436"/>
      <c r="AB120" s="1436"/>
      <c r="AC120" s="1436"/>
    </row>
    <row r="121" spans="1:29" s="1095" customFormat="1" ht="15">
      <c r="A121" s="1351"/>
      <c r="B121" s="1342"/>
      <c r="C121" s="1365">
        <v>100</v>
      </c>
      <c r="D121" s="1347">
        <f>C121-$K41</f>
        <v>100</v>
      </c>
      <c r="E121" s="1347">
        <f t="shared" ref="E121:M121" si="29">D121-$K41</f>
        <v>100</v>
      </c>
      <c r="F121" s="1347">
        <f t="shared" si="29"/>
        <v>100</v>
      </c>
      <c r="G121" s="1347">
        <f t="shared" si="29"/>
        <v>100</v>
      </c>
      <c r="H121" s="1347">
        <f t="shared" si="29"/>
        <v>100</v>
      </c>
      <c r="I121" s="1347">
        <f t="shared" si="29"/>
        <v>100</v>
      </c>
      <c r="J121" s="1347">
        <f t="shared" si="29"/>
        <v>100</v>
      </c>
      <c r="K121" s="1347">
        <f t="shared" si="29"/>
        <v>100</v>
      </c>
      <c r="L121" s="1347">
        <f t="shared" si="29"/>
        <v>100</v>
      </c>
      <c r="M121" s="1397">
        <f t="shared" si="29"/>
        <v>100</v>
      </c>
      <c r="N121" s="1403"/>
      <c r="O121" s="1403"/>
      <c r="P121" s="1654"/>
      <c r="Q121" s="1435"/>
      <c r="R121" s="1436"/>
      <c r="S121" s="1436"/>
      <c r="T121" s="1436"/>
      <c r="U121" s="1436"/>
      <c r="V121" s="1436"/>
      <c r="W121" s="1436"/>
      <c r="X121" s="1436"/>
      <c r="Y121" s="1436"/>
      <c r="Z121" s="1436"/>
      <c r="AA121" s="1436"/>
      <c r="AB121" s="1436"/>
      <c r="AC121" s="1436"/>
    </row>
    <row r="122" spans="1:29">
      <c r="A122" s="1375"/>
      <c r="B122" s="1344" t="s">
        <v>1972</v>
      </c>
      <c r="C122" s="1352"/>
      <c r="D122" s="1352"/>
      <c r="E122" s="1352"/>
      <c r="F122" s="1369"/>
      <c r="G122" s="1369"/>
      <c r="H122" s="1369"/>
      <c r="I122" s="1369"/>
      <c r="J122" s="1369"/>
      <c r="K122" s="1420"/>
      <c r="L122" s="1421"/>
      <c r="M122" s="1422"/>
      <c r="N122" s="1390"/>
      <c r="O122" s="1390"/>
      <c r="P122" s="1649"/>
      <c r="Q122" s="1314"/>
      <c r="R122" s="1209"/>
      <c r="S122" s="1209"/>
      <c r="T122" s="1209"/>
      <c r="U122" s="1209"/>
      <c r="V122" s="1209"/>
      <c r="W122" s="1209"/>
      <c r="X122" s="1209"/>
      <c r="Y122" s="1209"/>
      <c r="Z122" s="1209"/>
      <c r="AA122" s="1209"/>
      <c r="AB122" s="1209"/>
      <c r="AC122" s="1209"/>
    </row>
    <row r="123" spans="1:29" ht="15">
      <c r="A123" s="1341"/>
      <c r="B123" s="1346"/>
      <c r="C123" s="1347">
        <v>100</v>
      </c>
      <c r="D123" s="1347">
        <f t="shared" ref="D123:M123" si="30">C123-$K42</f>
        <v>100</v>
      </c>
      <c r="E123" s="1347">
        <f t="shared" si="30"/>
        <v>100</v>
      </c>
      <c r="F123" s="1347">
        <f t="shared" si="30"/>
        <v>100</v>
      </c>
      <c r="G123" s="1347">
        <f t="shared" si="30"/>
        <v>100</v>
      </c>
      <c r="H123" s="1347">
        <f t="shared" si="30"/>
        <v>100</v>
      </c>
      <c r="I123" s="1347">
        <f t="shared" si="30"/>
        <v>100</v>
      </c>
      <c r="J123" s="1347">
        <f t="shared" si="30"/>
        <v>100</v>
      </c>
      <c r="K123" s="1347">
        <f t="shared" si="30"/>
        <v>100</v>
      </c>
      <c r="L123" s="1347">
        <f t="shared" si="30"/>
        <v>100</v>
      </c>
      <c r="M123" s="1397">
        <f t="shared" si="30"/>
        <v>100</v>
      </c>
      <c r="N123" s="1393"/>
      <c r="O123" s="1393"/>
      <c r="P123" s="1649"/>
      <c r="Q123" s="1314"/>
      <c r="R123" s="1209"/>
      <c r="S123" s="1209"/>
      <c r="T123" s="1209"/>
      <c r="U123" s="1209"/>
      <c r="V123" s="1209"/>
      <c r="W123" s="1209"/>
      <c r="X123" s="1209"/>
      <c r="Y123" s="1209"/>
      <c r="Z123" s="1209"/>
      <c r="AA123" s="1209"/>
      <c r="AB123" s="1209"/>
      <c r="AC123" s="1209"/>
    </row>
    <row r="124" spans="1:29">
      <c r="A124" s="1375"/>
      <c r="B124" s="1344" t="s">
        <v>1973</v>
      </c>
      <c r="C124" s="1363" t="s">
        <v>1463</v>
      </c>
      <c r="D124" s="1363" t="s">
        <v>1464</v>
      </c>
      <c r="E124" s="1363" t="s">
        <v>1465</v>
      </c>
      <c r="F124" s="1363" t="s">
        <v>1466</v>
      </c>
      <c r="G124" s="1363" t="s">
        <v>1467</v>
      </c>
      <c r="H124" s="1345"/>
      <c r="I124" s="1345"/>
      <c r="J124" s="1345"/>
      <c r="K124" s="1394"/>
      <c r="L124" s="1395"/>
      <c r="M124" s="1396"/>
      <c r="N124" s="1390"/>
      <c r="O124" s="1390"/>
      <c r="P124" s="1654"/>
      <c r="Q124" s="1314"/>
      <c r="R124" s="1209"/>
      <c r="S124" s="1209"/>
      <c r="T124" s="1209"/>
      <c r="U124" s="1209"/>
      <c r="V124" s="1209"/>
      <c r="W124" s="1209"/>
      <c r="X124" s="1209"/>
      <c r="Y124" s="1209"/>
      <c r="Z124" s="1209"/>
      <c r="AA124" s="1209"/>
      <c r="AB124" s="1209"/>
      <c r="AC124" s="1209"/>
    </row>
    <row r="125" spans="1:29" ht="15">
      <c r="A125" s="1341"/>
      <c r="B125" s="1346"/>
      <c r="C125" s="1347">
        <v>100</v>
      </c>
      <c r="D125" s="1347">
        <f>C125-$K43</f>
        <v>100</v>
      </c>
      <c r="E125" s="1347">
        <f>D125-$K43</f>
        <v>100</v>
      </c>
      <c r="F125" s="1347">
        <f>E125-$K43</f>
        <v>100</v>
      </c>
      <c r="G125" s="1347">
        <f>F125-$K43</f>
        <v>100</v>
      </c>
      <c r="H125" s="1347"/>
      <c r="I125" s="1347"/>
      <c r="J125" s="1347"/>
      <c r="K125" s="1347"/>
      <c r="L125" s="1347"/>
      <c r="M125" s="1397"/>
      <c r="N125" s="1393"/>
      <c r="O125" s="1393"/>
      <c r="P125" s="1649"/>
      <c r="Q125" s="1314"/>
      <c r="R125" s="1209"/>
      <c r="S125" s="1209"/>
      <c r="T125" s="1209"/>
      <c r="U125" s="1209"/>
      <c r="V125" s="1209"/>
      <c r="W125" s="1209"/>
      <c r="X125" s="1209"/>
      <c r="Y125" s="1209"/>
      <c r="Z125" s="1209"/>
      <c r="AA125" s="1209"/>
      <c r="AB125" s="1209"/>
      <c r="AC125" s="1209"/>
    </row>
    <row r="126" spans="1:29" s="1095" customFormat="1">
      <c r="A126" s="1372"/>
      <c r="B126" s="1344">
        <f>B44</f>
        <v>111</v>
      </c>
      <c r="C126" s="1352"/>
      <c r="D126" s="1352"/>
      <c r="E126" s="1352"/>
      <c r="F126" s="1352"/>
      <c r="G126" s="1352"/>
      <c r="H126" s="1353"/>
      <c r="I126" s="1353"/>
      <c r="J126" s="1353"/>
      <c r="K126" s="1353"/>
      <c r="L126" s="1401"/>
      <c r="M126" s="1402"/>
      <c r="N126" s="1403"/>
      <c r="O126" s="1403"/>
      <c r="P126" s="1654"/>
      <c r="Q126" s="1435"/>
      <c r="R126" s="1436"/>
      <c r="S126" s="1436"/>
      <c r="T126" s="1436"/>
      <c r="U126" s="1436"/>
      <c r="V126" s="1436"/>
      <c r="W126" s="1436"/>
      <c r="X126" s="1436"/>
      <c r="Y126" s="1436"/>
      <c r="Z126" s="1436"/>
      <c r="AA126" s="1436"/>
      <c r="AB126" s="1436"/>
      <c r="AC126" s="1436"/>
    </row>
    <row r="127" spans="1:29" s="1095" customFormat="1" ht="15">
      <c r="A127" s="1351"/>
      <c r="B127" s="1346"/>
      <c r="C127" s="1354"/>
      <c r="D127" s="1343"/>
      <c r="E127" s="1343"/>
      <c r="F127" s="1343"/>
      <c r="G127" s="1354"/>
      <c r="H127" s="1355"/>
      <c r="I127" s="1355"/>
      <c r="J127" s="1355"/>
      <c r="K127" s="1355"/>
      <c r="L127" s="1355"/>
      <c r="M127" s="1405"/>
      <c r="N127" s="1403"/>
      <c r="O127" s="1403"/>
      <c r="P127" s="1654"/>
      <c r="Q127" s="1435"/>
      <c r="R127" s="1436"/>
      <c r="S127" s="1436"/>
      <c r="T127" s="1436"/>
      <c r="U127" s="1436"/>
      <c r="V127" s="1436"/>
      <c r="W127" s="1436"/>
      <c r="X127" s="1436"/>
      <c r="Y127" s="1436"/>
      <c r="Z127" s="1436"/>
      <c r="AA127" s="1436"/>
      <c r="AB127" s="1436"/>
      <c r="AC127" s="1436"/>
    </row>
    <row r="128" spans="1:29">
      <c r="A128" s="1375"/>
      <c r="B128" s="1344">
        <f>B45</f>
        <v>111</v>
      </c>
      <c r="C128" s="1352"/>
      <c r="D128" s="1352"/>
      <c r="E128" s="1352"/>
      <c r="F128" s="1352"/>
      <c r="G128" s="1369"/>
      <c r="H128" s="1369"/>
      <c r="I128" s="1369"/>
      <c r="J128" s="1369"/>
      <c r="K128" s="1420"/>
      <c r="L128" s="1421"/>
      <c r="M128" s="1422"/>
      <c r="N128" s="1390"/>
      <c r="O128" s="1390"/>
      <c r="P128" s="1649"/>
      <c r="Q128" s="1314"/>
      <c r="R128" s="1209"/>
      <c r="S128" s="1209"/>
      <c r="T128" s="1209"/>
      <c r="U128" s="1209"/>
      <c r="V128" s="1209"/>
      <c r="W128" s="1209"/>
      <c r="X128" s="1209"/>
      <c r="Y128" s="1209"/>
      <c r="Z128" s="1209"/>
      <c r="AA128" s="1209"/>
      <c r="AB128" s="1209"/>
      <c r="AC128" s="1209"/>
    </row>
    <row r="129" spans="1:29" ht="15">
      <c r="A129" s="1341"/>
      <c r="B129" s="1346"/>
      <c r="C129" s="1354"/>
      <c r="D129" s="1343"/>
      <c r="E129" s="1343"/>
      <c r="F129" s="1343"/>
      <c r="G129" s="1343"/>
      <c r="H129" s="1343"/>
      <c r="I129" s="1343"/>
      <c r="J129" s="1343"/>
      <c r="K129" s="1343"/>
      <c r="L129" s="1343"/>
      <c r="M129" s="1392"/>
      <c r="N129" s="1393"/>
      <c r="O129" s="1393"/>
      <c r="P129" s="1649"/>
      <c r="Q129" s="1314"/>
      <c r="R129" s="1209"/>
      <c r="S129" s="1209"/>
      <c r="T129" s="1209"/>
      <c r="U129" s="1209"/>
      <c r="V129" s="1209"/>
      <c r="W129" s="1209"/>
      <c r="X129" s="1209"/>
      <c r="Y129" s="1209"/>
      <c r="Z129" s="1209"/>
      <c r="AA129" s="1209"/>
      <c r="AB129" s="1209"/>
      <c r="AC129" s="1209"/>
    </row>
    <row r="130" spans="1:29">
      <c r="A130" s="1375"/>
      <c r="B130" s="1348">
        <f>B46</f>
        <v>111</v>
      </c>
      <c r="C130" s="1352"/>
      <c r="D130" s="1352"/>
      <c r="E130" s="1352"/>
      <c r="F130" s="1352"/>
      <c r="G130" s="1370"/>
      <c r="H130" s="1370"/>
      <c r="I130" s="1370"/>
      <c r="J130" s="1370"/>
      <c r="K130" s="1336"/>
      <c r="L130" s="1382"/>
      <c r="M130" s="1425"/>
      <c r="N130" s="1390"/>
      <c r="O130" s="1390"/>
      <c r="P130" s="1649"/>
      <c r="Q130" s="1314"/>
      <c r="R130" s="1209"/>
      <c r="S130" s="1209"/>
      <c r="T130" s="1209"/>
      <c r="U130" s="1209"/>
      <c r="V130" s="1209"/>
      <c r="W130" s="1209"/>
      <c r="X130" s="1209"/>
      <c r="Y130" s="1209"/>
      <c r="Z130" s="1209"/>
      <c r="AA130" s="1209"/>
      <c r="AB130" s="1209"/>
      <c r="AC130" s="1209"/>
    </row>
    <row r="131" spans="1:29" ht="15">
      <c r="A131" s="1588"/>
      <c r="B131" s="1358"/>
      <c r="C131" s="1359"/>
      <c r="D131" s="1359"/>
      <c r="E131" s="1359"/>
      <c r="F131" s="1359"/>
      <c r="G131" s="1371"/>
      <c r="H131" s="1371"/>
      <c r="I131" s="1371"/>
      <c r="J131" s="1371"/>
      <c r="K131" s="1371"/>
      <c r="L131" s="1371"/>
      <c r="M131" s="1426"/>
      <c r="N131" s="1393"/>
      <c r="O131" s="1393"/>
      <c r="P131" s="1649"/>
      <c r="Q131" s="1314"/>
      <c r="R131" s="1209"/>
      <c r="S131" s="1209"/>
      <c r="T131" s="1209"/>
      <c r="U131" s="1209"/>
      <c r="V131" s="1209"/>
      <c r="W131" s="1209"/>
      <c r="X131" s="1209"/>
      <c r="Y131" s="1209"/>
      <c r="Z131" s="1209"/>
      <c r="AA131" s="1209"/>
      <c r="AB131" s="1209"/>
      <c r="AC131" s="12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E52">
    <cfRule type="expression" dxfId="120" priority="16" stopIfTrue="1">
      <formula>$F$52="超过30%"</formula>
    </cfRule>
  </conditionalFormatting>
  <conditionalFormatting sqref="G52">
    <cfRule type="expression" dxfId="119" priority="12" stopIfTrue="1">
      <formula>$H$52="超过30%"</formula>
    </cfRule>
  </conditionalFormatting>
  <conditionalFormatting sqref="I52">
    <cfRule type="expression" dxfId="118" priority="7" stopIfTrue="1">
      <formula>$J$52="超过30%"</formula>
    </cfRule>
  </conditionalFormatting>
  <conditionalFormatting sqref="J52">
    <cfRule type="containsText" dxfId="117" priority="10" stopIfTrue="1" operator="containsText" text="超过">
      <formula>NOT(ISERROR(SEARCH("超过",J52)))</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J53">
    <cfRule type="containsText" dxfId="113" priority="8" stopIfTrue="1" operator="containsText" text="超过">
      <formula>NOT(ISERROR(SEARCH("超过",J53)))</formula>
    </cfRule>
  </conditionalFormatting>
  <conditionalFormatting sqref="E54">
    <cfRule type="expression" dxfId="112" priority="14" stopIfTrue="1">
      <formula>$F$54="超过30%"</formula>
    </cfRule>
  </conditionalFormatting>
  <conditionalFormatting sqref="F54">
    <cfRule type="containsText" dxfId="111" priority="18" stopIfTrue="1" operator="containsText" text="超过">
      <formula>NOT(ISERROR(SEARCH("超过",F54)))</formula>
    </cfRule>
  </conditionalFormatting>
  <conditionalFormatting sqref="G54">
    <cfRule type="expression" dxfId="110" priority="13" stopIfTrue="1">
      <formula>$H$54="超过30%"</formula>
    </cfRule>
  </conditionalFormatting>
  <conditionalFormatting sqref="H54">
    <cfRule type="containsText" dxfId="109" priority="19"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9"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cfRule type="containsText" dxfId="105" priority="21" stopIfTrue="1" operator="containsText" text="超过">
      <formula>NOT(ISERROR(SEARCH("超过",F52)))</formula>
    </cfRule>
  </conditionalFormatting>
  <conditionalFormatting sqref="F53 H53">
    <cfRule type="containsText" dxfId="10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79" customWidth="1"/>
    <col min="2" max="16384" width="9" style="1079"/>
  </cols>
  <sheetData>
    <row r="1" spans="1:1" ht="23.25">
      <c r="A1" s="3451" t="s">
        <v>82</v>
      </c>
    </row>
    <row r="2" spans="1:1">
      <c r="A2" s="3452"/>
    </row>
    <row r="3" spans="1:1" ht="18">
      <c r="A3" s="3453" t="str">
        <f>项目基本情况!B5&amp;"："</f>
        <v>：</v>
      </c>
    </row>
    <row r="4" spans="1:1" ht="18">
      <c r="A4" s="3454" t="str">
        <f>"受贵公司委托，我公司对"&amp;项目基本情况!S1&amp;"进行了预评估。"</f>
        <v>受贵公司委托，我公司对北京市房地产抵押价值进行了预评估。</v>
      </c>
    </row>
    <row r="5" spans="1:1" ht="18.75">
      <c r="A5" s="3455" t="s">
        <v>83</v>
      </c>
    </row>
    <row r="6" spans="1:1" ht="18.75">
      <c r="A6" s="3456" t="s">
        <v>84</v>
      </c>
    </row>
    <row r="7" spans="1:1" ht="36">
      <c r="A7" s="34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估价对象为北京市房地产，为所有。根据《国有土地使用证》[]，估价对象（分摊）出让国有建设用地使用权面积为0平方米，建筑面积为30.6平方米。</v>
      </c>
    </row>
    <row r="8" spans="1:1" ht="57.75">
      <c r="A8" s="3457" t="s">
        <v>85</v>
      </c>
    </row>
    <row r="9" spans="1:1" ht="18.75">
      <c r="A9" s="3456" t="s">
        <v>86</v>
      </c>
    </row>
    <row r="10" spans="1:1" ht="54">
      <c r="A10" s="34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估价对象为北京市房地产,属开发建设的，该项目尚在开发建设中。根据《国有土地使用证》[]，估价对象（分摊）出让国有建设用地使用权面积为0平方米，规划建筑面积为30.6平方米。</v>
      </c>
    </row>
    <row r="11" spans="1:1" ht="76.5">
      <c r="A11" s="3457" t="s">
        <v>87</v>
      </c>
    </row>
    <row r="12" spans="1:1" ht="18.75">
      <c r="A12" s="3455" t="s">
        <v>88</v>
      </c>
    </row>
    <row r="13" spans="1:1" ht="38.25" customHeight="1">
      <c r="A13" s="34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9" t="s">
        <v>89</v>
      </c>
    </row>
    <row r="15" spans="1:1" ht="18">
      <c r="A15" s="3460" t="str">
        <f>TEXT(项目基本情况!D3,"yyyy年m月d日;;")&amp;IF(项目基本情况!D3=项目基本情况!B3,"（评估专业人员实地查勘之日）","")</f>
        <v>2025年9月11日</v>
      </c>
    </row>
    <row r="16" spans="1:1" ht="18.75">
      <c r="A16" s="3459" t="s">
        <v>90</v>
      </c>
    </row>
    <row r="17" spans="1:1" ht="75">
      <c r="A17" s="3454" t="s">
        <v>91</v>
      </c>
    </row>
    <row r="18" spans="1:1" ht="54">
      <c r="A18" s="34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34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9" t="s">
        <v>92</v>
      </c>
    </row>
    <row r="24" spans="1:1" ht="18">
      <c r="A24" s="3426" t="str">
        <f>"本次评估采用的主估价方法为"&amp;结果表!K4&amp;"和"&amp;结果表!L4&amp;"。"</f>
        <v>本次评估采用的主估价方法为比较法和收益法。</v>
      </c>
    </row>
    <row r="25" spans="1:1" ht="18">
      <c r="A25" s="3426"/>
    </row>
    <row r="26" spans="1:1" ht="18.75">
      <c r="A26" s="3461"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99" customWidth="1"/>
    <col min="2" max="2" width="15.75" style="1099" customWidth="1"/>
    <col min="3" max="3" width="15.62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4.5" style="1099" customWidth="1"/>
    <col min="10" max="10" width="12.25" style="1099" customWidth="1"/>
    <col min="11" max="11" width="12.25" style="1100" customWidth="1"/>
    <col min="12" max="12" width="12.25" style="1101" customWidth="1"/>
    <col min="13" max="15" width="12.25" style="1099" customWidth="1"/>
    <col min="16" max="16" width="4.75" style="15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471" customFormat="1" ht="28.5" customHeight="1">
      <c r="A1" s="1472" t="s">
        <v>1955</v>
      </c>
      <c r="B1" s="1551" t="s">
        <v>2007</v>
      </c>
      <c r="C1" s="1474" t="s">
        <v>1388</v>
      </c>
      <c r="D1" s="1475"/>
      <c r="E1" s="1476"/>
      <c r="F1" s="1477"/>
      <c r="G1" s="1478" t="s">
        <v>1391</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92" customFormat="1" ht="28.5" customHeight="1">
      <c r="A2" s="1480" t="s">
        <v>1392</v>
      </c>
      <c r="B2" s="1481" t="b">
        <f>IF(E1="项目模式",IF(C2="——",ROUND(C50*D3/10000,0),ROUND(C50*D3/10000,0)-D2),IF(E1="单套模式",IF(C2="——",ROUND(C50*D3/10000,4),ROUND(C50*D3/10000,4)-D2)))</f>
        <v>0</v>
      </c>
      <c r="C2" s="1482"/>
      <c r="D2" s="1600" t="e">
        <f ca="1">IF(E1="项目模式",SUMIF(INDIRECT("'"&amp;F2&amp;"'"&amp;"!A:A"),"承租人权益价值",INDIRECT("'"&amp;F2&amp;"'"&amp;"!c:c")),SUMIF(INDIRECT("'"&amp;F2&amp;"'"&amp;"!A:A"),"承租人权益价值（单套）",INDIRECT("'"&amp;F2&amp;"'"&amp;"!c:c")))</f>
        <v>#REF!</v>
      </c>
      <c r="E2" s="1483" t="s">
        <v>1393</v>
      </c>
      <c r="F2" s="1484"/>
      <c r="G2" s="1108"/>
      <c r="H2" s="1108"/>
      <c r="I2" s="1108"/>
      <c r="J2" s="1108"/>
      <c r="K2" s="1108"/>
      <c r="L2" s="1257"/>
      <c r="M2" s="1258"/>
      <c r="N2" s="1258"/>
      <c r="O2" s="1258"/>
      <c r="P2" s="1255"/>
      <c r="Q2" s="1255"/>
      <c r="R2" s="1255"/>
      <c r="S2" s="1255"/>
      <c r="T2" s="1255"/>
      <c r="U2" s="1255"/>
      <c r="V2" s="1255"/>
      <c r="W2" s="1255"/>
      <c r="X2" s="1255"/>
      <c r="Y2" s="1255"/>
      <c r="Z2" s="1255"/>
      <c r="AA2" s="1255"/>
      <c r="AB2" s="1255"/>
      <c r="AC2" s="1315"/>
    </row>
    <row r="3" spans="1:29" s="1092" customFormat="1" ht="28.5" customHeight="1">
      <c r="A3" s="389" t="s">
        <v>1394</v>
      </c>
      <c r="B3" s="1110">
        <f>IF(C2="——",C50,ROUND(B2*10000/D3,0))</f>
        <v>0</v>
      </c>
      <c r="C3" s="1485" t="s">
        <v>1395</v>
      </c>
      <c r="D3" s="1486">
        <f>IF(D1="",'数据-汇总表'!E3,SUMIF('数据-汇总表'!$C19:$C33,D1,'数据-汇总表'!$E19:$E33))</f>
        <v>30.6</v>
      </c>
      <c r="E3" s="1601"/>
      <c r="F3" s="1109"/>
      <c r="G3" s="1108"/>
      <c r="H3" s="1108"/>
      <c r="I3" s="1108"/>
      <c r="J3" s="1108"/>
      <c r="K3" s="1256"/>
      <c r="L3" s="1257"/>
      <c r="M3" s="1258"/>
      <c r="N3" s="1258"/>
      <c r="O3" s="1258"/>
      <c r="P3" s="1255"/>
      <c r="Q3" s="1255"/>
      <c r="R3" s="1255"/>
      <c r="S3" s="1255"/>
      <c r="T3" s="1255"/>
      <c r="U3" s="1255"/>
      <c r="V3" s="1255"/>
      <c r="W3" s="1255"/>
      <c r="X3" s="1255"/>
      <c r="Y3" s="1255"/>
      <c r="Z3" s="1255"/>
      <c r="AA3" s="1255"/>
      <c r="AB3" s="1255"/>
      <c r="AC3" s="1315"/>
    </row>
    <row r="4" spans="1:29" ht="15">
      <c r="A4" s="1112" t="s">
        <v>1397</v>
      </c>
      <c r="B4" s="1113"/>
      <c r="C4" s="3679" t="s">
        <v>1398</v>
      </c>
      <c r="D4" s="3680"/>
      <c r="E4" s="3681" t="s">
        <v>1399</v>
      </c>
      <c r="F4" s="3682"/>
      <c r="G4" s="3679" t="s">
        <v>1400</v>
      </c>
      <c r="H4" s="3680"/>
      <c r="I4" s="3679" t="s">
        <v>1401</v>
      </c>
      <c r="J4" s="3680"/>
      <c r="K4" s="1259" t="s">
        <v>1402</v>
      </c>
      <c r="L4" s="1260"/>
      <c r="M4" s="1261"/>
      <c r="N4" s="1261"/>
      <c r="O4" s="1261"/>
      <c r="P4" s="3766" t="s">
        <v>1403</v>
      </c>
      <c r="Q4" s="3767"/>
      <c r="R4" s="3770" t="s">
        <v>1399</v>
      </c>
      <c r="S4" s="3771"/>
      <c r="T4" s="3770" t="s">
        <v>1400</v>
      </c>
      <c r="U4" s="3771"/>
      <c r="V4" s="3772" t="s">
        <v>1401</v>
      </c>
      <c r="W4" s="3772"/>
      <c r="X4" s="1620"/>
      <c r="Y4" s="3770" t="s">
        <v>1403</v>
      </c>
      <c r="Z4" s="3771"/>
      <c r="AA4" s="3762" t="s">
        <v>1399</v>
      </c>
      <c r="AB4" s="3762" t="s">
        <v>1400</v>
      </c>
      <c r="AC4" s="3763" t="s">
        <v>1401</v>
      </c>
    </row>
    <row r="5" spans="1:29" ht="15">
      <c r="A5" s="1114"/>
      <c r="B5" s="1115"/>
      <c r="C5" s="3683" t="s">
        <v>1404</v>
      </c>
      <c r="D5" s="3684"/>
      <c r="E5" s="3749" t="s">
        <v>1957</v>
      </c>
      <c r="F5" s="3686"/>
      <c r="G5" s="3683" t="s">
        <v>1958</v>
      </c>
      <c r="H5" s="3684"/>
      <c r="I5" s="3683" t="s">
        <v>1959</v>
      </c>
      <c r="J5" s="3684"/>
      <c r="K5" s="1259"/>
      <c r="L5" s="1260"/>
      <c r="M5" s="1261"/>
      <c r="N5" s="1261"/>
      <c r="O5" s="1261"/>
      <c r="P5" s="3768"/>
      <c r="Q5" s="3710"/>
      <c r="R5" s="3715"/>
      <c r="S5" s="3716"/>
      <c r="T5" s="3715"/>
      <c r="U5" s="3716"/>
      <c r="V5" s="3719"/>
      <c r="W5" s="3719"/>
      <c r="X5" s="1303"/>
      <c r="Y5" s="3715"/>
      <c r="Z5" s="3716"/>
      <c r="AA5" s="3705"/>
      <c r="AB5" s="3705"/>
      <c r="AC5" s="3764"/>
    </row>
    <row r="6" spans="1:29" ht="15">
      <c r="A6" s="1116"/>
      <c r="B6" s="1117"/>
      <c r="C6" s="3688" t="s">
        <v>1408</v>
      </c>
      <c r="D6" s="3689"/>
      <c r="E6" s="3690" t="s">
        <v>1408</v>
      </c>
      <c r="F6" s="3691"/>
      <c r="G6" s="3688" t="s">
        <v>1408</v>
      </c>
      <c r="H6" s="3689"/>
      <c r="I6" s="3688" t="s">
        <v>1408</v>
      </c>
      <c r="J6" s="3689"/>
      <c r="K6" s="1259" t="s">
        <v>1409</v>
      </c>
      <c r="L6" s="1260"/>
      <c r="M6" s="1261"/>
      <c r="N6" s="1261"/>
      <c r="O6" s="1261"/>
      <c r="P6" s="3769"/>
      <c r="Q6" s="3712"/>
      <c r="R6" s="3715"/>
      <c r="S6" s="3716"/>
      <c r="T6" s="3717"/>
      <c r="U6" s="3718"/>
      <c r="V6" s="3719"/>
      <c r="W6" s="3719"/>
      <c r="X6" s="1303"/>
      <c r="Y6" s="3717"/>
      <c r="Z6" s="3718"/>
      <c r="AA6" s="3706"/>
      <c r="AB6" s="3706"/>
      <c r="AC6" s="3765"/>
    </row>
    <row r="7" spans="1:29" s="1093" customFormat="1" ht="15">
      <c r="A7" s="1118" t="s">
        <v>1410</v>
      </c>
      <c r="B7" s="1119"/>
      <c r="C7" s="1120">
        <f>'数据-取费表'!B2</f>
        <v>45911</v>
      </c>
      <c r="D7" s="1121">
        <v>100</v>
      </c>
      <c r="E7" s="1122"/>
      <c r="F7" s="1123">
        <f>SUMIF(59:59,YEAR(E7)&amp;"-"&amp;MONTH(E7),60:60)</f>
        <v>0</v>
      </c>
      <c r="G7" s="1122"/>
      <c r="H7" s="1121">
        <f>SUMIF(59:59,YEAR(G7)&amp;"-"&amp;MONTH(G7),60:60)</f>
        <v>0</v>
      </c>
      <c r="I7" s="1122"/>
      <c r="J7" s="1121">
        <f>SUMIF(59:59,YEAR(I7)&amp;"-"&amp;MONTH(I7),60:60)</f>
        <v>0</v>
      </c>
      <c r="K7" s="1262"/>
      <c r="L7" s="1263"/>
      <c r="M7" s="1264"/>
      <c r="N7" s="1264"/>
      <c r="O7" s="1264"/>
      <c r="P7" s="3758" t="s">
        <v>1411</v>
      </c>
      <c r="Q7" s="3693"/>
      <c r="R7" s="1304" t="s">
        <v>1412</v>
      </c>
      <c r="S7" s="1305">
        <f t="shared" ref="S7:S15" si="0">F7</f>
        <v>0</v>
      </c>
      <c r="T7" s="1304" t="s">
        <v>1412</v>
      </c>
      <c r="U7" s="1305">
        <f t="shared" ref="U7:U15" si="1">H7</f>
        <v>0</v>
      </c>
      <c r="V7" s="1304" t="s">
        <v>1412</v>
      </c>
      <c r="W7" s="1305">
        <f t="shared" ref="W7:W15" si="2">J7</f>
        <v>0</v>
      </c>
      <c r="X7" s="1306"/>
      <c r="Y7" s="3692" t="s">
        <v>1411</v>
      </c>
      <c r="Z7" s="3694"/>
      <c r="AA7" s="1318" t="e">
        <f>D7/F7</f>
        <v>#DIV/0!</v>
      </c>
      <c r="AB7" s="1318" t="e">
        <f>D7/H7</f>
        <v>#DIV/0!</v>
      </c>
      <c r="AC7" s="1623" t="e">
        <f>D7/J7</f>
        <v>#DIV/0!</v>
      </c>
    </row>
    <row r="8" spans="1:29" s="1093" customFormat="1" ht="15">
      <c r="A8" s="1118" t="s">
        <v>1413</v>
      </c>
      <c r="B8" s="1119"/>
      <c r="C8" s="1125"/>
      <c r="D8" s="1121">
        <v>100</v>
      </c>
      <c r="E8" s="1125"/>
      <c r="F8" s="1123">
        <f>SUMIF(62:62,E8,63:63)-SUMIF(62:62,C8,63:63)+100</f>
        <v>100</v>
      </c>
      <c r="G8" s="1125"/>
      <c r="H8" s="1121">
        <f>SUMIF(62:62,G8,63:63)-SUMIF(62:62,C8,63:63)+100</f>
        <v>100</v>
      </c>
      <c r="I8" s="1125"/>
      <c r="J8" s="1121">
        <f>SUMIF(62:62,I8,63:63)-SUMIF(62:62,C8,63:63)+100</f>
        <v>100</v>
      </c>
      <c r="K8" s="1262"/>
      <c r="L8" s="1263"/>
      <c r="M8" s="1264"/>
      <c r="N8" s="1264"/>
      <c r="O8" s="1264"/>
      <c r="P8" s="3758" t="s">
        <v>1415</v>
      </c>
      <c r="Q8" s="3694"/>
      <c r="R8" s="1304" t="s">
        <v>1412</v>
      </c>
      <c r="S8" s="1305">
        <f t="shared" si="0"/>
        <v>100</v>
      </c>
      <c r="T8" s="1304" t="s">
        <v>1412</v>
      </c>
      <c r="U8" s="1305">
        <f t="shared" si="1"/>
        <v>100</v>
      </c>
      <c r="V8" s="1304" t="s">
        <v>1412</v>
      </c>
      <c r="W8" s="1305">
        <f t="shared" si="2"/>
        <v>100</v>
      </c>
      <c r="X8" s="1306"/>
      <c r="Y8" s="3692" t="s">
        <v>1415</v>
      </c>
      <c r="Z8" s="3694"/>
      <c r="AA8" s="1318">
        <f t="shared" ref="AA8:AA47" si="3">D8/F8</f>
        <v>1</v>
      </c>
      <c r="AB8" s="1318">
        <f t="shared" ref="AB8:AB47" si="4">D8/H8</f>
        <v>1</v>
      </c>
      <c r="AC8" s="1623">
        <f t="shared" ref="AC8:AC47" si="5">D8/J8</f>
        <v>1</v>
      </c>
    </row>
    <row r="9" spans="1:29" s="1093" customFormat="1">
      <c r="A9" s="1126" t="s">
        <v>1416</v>
      </c>
      <c r="B9" s="1127" t="s">
        <v>1417</v>
      </c>
      <c r="C9" s="1487"/>
      <c r="D9" s="1129">
        <v>100</v>
      </c>
      <c r="E9" s="1488"/>
      <c r="F9" s="1129">
        <f>SUMIF(64:64,E9,65:65)-SUMIF(64:64,C9,65:65)+100</f>
        <v>100</v>
      </c>
      <c r="G9" s="1552"/>
      <c r="H9" s="1129">
        <f>SUMIF(64:64,G9,65:65)-SUMIF(64:64,C9,65:65)+100</f>
        <v>100</v>
      </c>
      <c r="I9" s="1552"/>
      <c r="J9" s="1129">
        <f>SUMIF(64:64,I9,65:65)-SUMIF(64:64,C9,65:65)+100</f>
        <v>100</v>
      </c>
      <c r="K9" s="1262"/>
      <c r="L9" s="1263"/>
      <c r="M9" s="1264"/>
      <c r="N9" s="1264"/>
      <c r="O9" s="1264"/>
      <c r="P9" s="3751" t="s">
        <v>1418</v>
      </c>
      <c r="Q9" s="1308" t="str">
        <f t="shared" ref="Q9:Q15" si="6">B9</f>
        <v>用途</v>
      </c>
      <c r="R9" s="1304" t="s">
        <v>1412</v>
      </c>
      <c r="S9" s="1305">
        <f t="shared" si="0"/>
        <v>100</v>
      </c>
      <c r="T9" s="1304" t="s">
        <v>1412</v>
      </c>
      <c r="U9" s="1305">
        <f t="shared" si="1"/>
        <v>100</v>
      </c>
      <c r="V9" s="1304" t="s">
        <v>1412</v>
      </c>
      <c r="W9" s="1305">
        <f t="shared" si="2"/>
        <v>100</v>
      </c>
      <c r="X9" s="1306"/>
      <c r="Y9" s="3660" t="s">
        <v>1419</v>
      </c>
      <c r="Z9" s="1319" t="str">
        <f t="shared" ref="Z9:Z15" si="7">Q9</f>
        <v>用途</v>
      </c>
      <c r="AA9" s="1318">
        <f t="shared" si="3"/>
        <v>1</v>
      </c>
      <c r="AB9" s="1318">
        <f t="shared" si="4"/>
        <v>1</v>
      </c>
      <c r="AC9" s="1623">
        <f t="shared" si="5"/>
        <v>1</v>
      </c>
    </row>
    <row r="10" spans="1:29" s="1094" customFormat="1" ht="27">
      <c r="A10" s="1130"/>
      <c r="B10" s="1131" t="s">
        <v>1420</v>
      </c>
      <c r="C10" s="1490"/>
      <c r="D10" s="1133">
        <v>100</v>
      </c>
      <c r="E10" s="1490"/>
      <c r="F10" s="1133">
        <f>SUMIF(66:66,E10,67:67)-SUMIF(66:66,C10,67:67)+100</f>
        <v>100</v>
      </c>
      <c r="G10" s="1553"/>
      <c r="H10" s="1133">
        <f>SUMIF(66:66,G10,67:67)-SUMIF(66:66,C10,67:67)+100</f>
        <v>100</v>
      </c>
      <c r="I10" s="1490"/>
      <c r="J10" s="1133">
        <f>SUMIF(66:66,I10,67:67)-SUMIF(66:66,C10,67:67)+100</f>
        <v>100</v>
      </c>
      <c r="K10" s="1262"/>
      <c r="L10" s="1267"/>
      <c r="M10" s="1268"/>
      <c r="N10" s="1268"/>
      <c r="O10" s="1268"/>
      <c r="P10" s="3751"/>
      <c r="Q10" s="1308" t="str">
        <f t="shared" si="6"/>
        <v>土地使用年限（年）</v>
      </c>
      <c r="R10" s="1304" t="s">
        <v>1412</v>
      </c>
      <c r="S10" s="1305">
        <f t="shared" si="0"/>
        <v>100</v>
      </c>
      <c r="T10" s="1304" t="s">
        <v>1412</v>
      </c>
      <c r="U10" s="1305">
        <f t="shared" si="1"/>
        <v>100</v>
      </c>
      <c r="V10" s="1304" t="s">
        <v>1412</v>
      </c>
      <c r="W10" s="1305">
        <f t="shared" si="2"/>
        <v>100</v>
      </c>
      <c r="X10" s="1306"/>
      <c r="Y10" s="3660"/>
      <c r="Z10" s="1319" t="str">
        <f t="shared" si="7"/>
        <v>土地使用年限（年）</v>
      </c>
      <c r="AA10" s="1318">
        <f t="shared" si="3"/>
        <v>1</v>
      </c>
      <c r="AB10" s="1318">
        <f t="shared" si="4"/>
        <v>1</v>
      </c>
      <c r="AC10" s="1623">
        <f t="shared" si="5"/>
        <v>1</v>
      </c>
    </row>
    <row r="11" spans="1:29" ht="15">
      <c r="A11" s="1134"/>
      <c r="B11" s="1131" t="s">
        <v>1960</v>
      </c>
      <c r="C11" s="1135"/>
      <c r="D11" s="1133">
        <v>100</v>
      </c>
      <c r="E11" s="1135"/>
      <c r="F11" s="1133">
        <f>LOOKUP(E11,69:69,70:70)-LOOKUP(C11,69:69,70:70)+100</f>
        <v>100</v>
      </c>
      <c r="G11" s="1136"/>
      <c r="H11" s="1133">
        <f>LOOKUP(G11,69:69,70:70)-LOOKUP(C11,69:69,70:70)+100</f>
        <v>100</v>
      </c>
      <c r="I11" s="1135"/>
      <c r="J11" s="1133">
        <f>LOOKUP(I11,69:69,70:70)-LOOKUP(C11,69:69,70:70)+100</f>
        <v>100</v>
      </c>
      <c r="K11" s="1279"/>
      <c r="L11" s="1271"/>
      <c r="M11" s="1261"/>
      <c r="N11" s="1261"/>
      <c r="O11" s="1261"/>
      <c r="P11" s="3751"/>
      <c r="Q11" s="1308" t="str">
        <f t="shared" si="6"/>
        <v>容积率</v>
      </c>
      <c r="R11" s="1304" t="s">
        <v>1412</v>
      </c>
      <c r="S11" s="1305">
        <f t="shared" si="0"/>
        <v>100</v>
      </c>
      <c r="T11" s="1304" t="s">
        <v>1412</v>
      </c>
      <c r="U11" s="1305">
        <f t="shared" si="1"/>
        <v>100</v>
      </c>
      <c r="V11" s="1304" t="s">
        <v>1412</v>
      </c>
      <c r="W11" s="1305">
        <f t="shared" si="2"/>
        <v>100</v>
      </c>
      <c r="X11" s="1306"/>
      <c r="Y11" s="3660"/>
      <c r="Z11" s="1319" t="str">
        <f t="shared" si="7"/>
        <v>容积率</v>
      </c>
      <c r="AA11" s="1318">
        <f t="shared" si="3"/>
        <v>1</v>
      </c>
      <c r="AB11" s="1318">
        <f t="shared" si="4"/>
        <v>1</v>
      </c>
      <c r="AC11" s="1623">
        <f t="shared" si="5"/>
        <v>1</v>
      </c>
    </row>
    <row r="12" spans="1:29" s="1093" customFormat="1" ht="15">
      <c r="A12" s="1137"/>
      <c r="B12" s="1138">
        <v>111</v>
      </c>
      <c r="C12" s="1132"/>
      <c r="D12" s="1139">
        <v>100</v>
      </c>
      <c r="E12" s="1132"/>
      <c r="F12" s="1133">
        <f>SUMIF(71:71,E12,72:72)-SUMIF(71:71,C12,72:72)+100</f>
        <v>100</v>
      </c>
      <c r="G12" s="1602"/>
      <c r="H12" s="1133">
        <f>SUMIF(71:71,G12,72:72)-SUMIF(71:71,C12,72:72)+100</f>
        <v>100</v>
      </c>
      <c r="I12" s="1132"/>
      <c r="J12" s="1133">
        <f>SUMIF(71:71,I12,72:72)-SUMIF(71:71,C12,72:72)+100</f>
        <v>100</v>
      </c>
      <c r="K12" s="1278"/>
      <c r="L12" s="1263"/>
      <c r="M12" s="1264"/>
      <c r="N12" s="1264"/>
      <c r="O12" s="1264"/>
      <c r="P12" s="3751"/>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623">
        <f t="shared" si="5"/>
        <v>1</v>
      </c>
    </row>
    <row r="13" spans="1:29" ht="15">
      <c r="A13" s="1134"/>
      <c r="B13" s="1138">
        <v>111</v>
      </c>
      <c r="C13" s="1142"/>
      <c r="D13" s="1143">
        <v>100</v>
      </c>
      <c r="E13" s="1132"/>
      <c r="F13" s="1133">
        <f>SUMIF(73:73,E13,74:74)-SUMIF(73:73,C13,74:74)+100</f>
        <v>100</v>
      </c>
      <c r="G13" s="1602"/>
      <c r="H13" s="1143">
        <f>SUMIF(73:73,G13,74:74)-SUMIF(73:73,C13,74:74)+100</f>
        <v>100</v>
      </c>
      <c r="I13" s="1132"/>
      <c r="J13" s="1143">
        <f>SUMIF(73:73,I13,74:74)-SUMIF(73:73,C13,74:74)+100</f>
        <v>100</v>
      </c>
      <c r="K13" s="1278"/>
      <c r="L13" s="1273"/>
      <c r="M13" s="1261"/>
      <c r="N13" s="1261"/>
      <c r="O13" s="1261"/>
      <c r="P13" s="3751"/>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623">
        <f t="shared" si="5"/>
        <v>1</v>
      </c>
    </row>
    <row r="14" spans="1:29" ht="15">
      <c r="A14" s="1144"/>
      <c r="B14" s="1145">
        <v>111</v>
      </c>
      <c r="C14" s="1146"/>
      <c r="D14" s="1147">
        <v>100</v>
      </c>
      <c r="E14" s="1603"/>
      <c r="F14" s="1147">
        <f>SUMIF(75:75,E14,76:76)-SUMIF(75:75,C14,76:76)+100</f>
        <v>100</v>
      </c>
      <c r="G14" s="1602"/>
      <c r="H14" s="1147">
        <f>SUMIF(75:75,G14,76:76)-SUMIF(75:75,C14,76:76)+100</f>
        <v>100</v>
      </c>
      <c r="I14" s="1132"/>
      <c r="J14" s="1147">
        <f>SUMIF(75:75,I14,76:76)-SUMIF(75:75,C14,76:76)+100</f>
        <v>100</v>
      </c>
      <c r="K14" s="1278"/>
      <c r="L14" s="1273"/>
      <c r="M14" s="1261"/>
      <c r="N14" s="1261"/>
      <c r="O14" s="1261"/>
      <c r="P14" s="3751"/>
      <c r="Q14" s="1308">
        <f t="shared" si="6"/>
        <v>111</v>
      </c>
      <c r="R14" s="1304" t="s">
        <v>1412</v>
      </c>
      <c r="S14" s="1305">
        <f t="shared" si="0"/>
        <v>100</v>
      </c>
      <c r="T14" s="1304" t="s">
        <v>1412</v>
      </c>
      <c r="U14" s="1305">
        <f t="shared" si="1"/>
        <v>100</v>
      </c>
      <c r="V14" s="1304" t="s">
        <v>1412</v>
      </c>
      <c r="W14" s="1305">
        <f t="shared" si="2"/>
        <v>100</v>
      </c>
      <c r="X14" s="1306"/>
      <c r="Y14" s="3660"/>
      <c r="Z14" s="1319">
        <f t="shared" si="7"/>
        <v>111</v>
      </c>
      <c r="AA14" s="1318">
        <f t="shared" si="3"/>
        <v>1</v>
      </c>
      <c r="AB14" s="1318">
        <f t="shared" si="4"/>
        <v>1</v>
      </c>
      <c r="AC14" s="1623">
        <f t="shared" si="5"/>
        <v>1</v>
      </c>
    </row>
    <row r="15" spans="1:29" ht="71.25">
      <c r="A15" s="1148" t="s">
        <v>1423</v>
      </c>
      <c r="B15" s="1149" t="s">
        <v>2008</v>
      </c>
      <c r="C15" s="1604" t="str">
        <f>估价对象房地状况!C5</f>
        <v>估价对象位于XX商圈，周边办公楼项目较多，入驻率高，办公集聚程度较好</v>
      </c>
      <c r="D15" s="1151">
        <v>100</v>
      </c>
      <c r="E15" s="1274"/>
      <c r="F15" s="1151">
        <f>SUMIF(77:77,E16,78:78)-SUMIF(77:77,C16,78:78)+100</f>
        <v>100</v>
      </c>
      <c r="G15" s="1152"/>
      <c r="H15" s="1151">
        <f>SUMIF(77:77,G16,78:78)-SUMIF(77:77,C16,78:78)+100</f>
        <v>100</v>
      </c>
      <c r="I15" s="1152"/>
      <c r="J15" s="1151">
        <f>SUMIF(77:77,I16,78:78)-SUMIF(77:77,C16,78:78)+100</f>
        <v>100</v>
      </c>
      <c r="K15" s="1533"/>
      <c r="L15" s="1273"/>
      <c r="M15" s="1261"/>
      <c r="N15" s="1261"/>
      <c r="O15" s="1261"/>
      <c r="P15" s="3752" t="s">
        <v>1425</v>
      </c>
      <c r="Q15" s="816" t="str">
        <f t="shared" si="6"/>
        <v>办公集聚程度</v>
      </c>
      <c r="R15" s="1309" t="s">
        <v>1412</v>
      </c>
      <c r="S15" s="1310">
        <f t="shared" si="0"/>
        <v>100</v>
      </c>
      <c r="T15" s="1309" t="s">
        <v>1412</v>
      </c>
      <c r="U15" s="1310">
        <f t="shared" si="1"/>
        <v>100</v>
      </c>
      <c r="V15" s="1309" t="s">
        <v>1412</v>
      </c>
      <c r="W15" s="1310">
        <f t="shared" si="2"/>
        <v>100</v>
      </c>
      <c r="X15" s="1303"/>
      <c r="Y15" s="3700" t="s">
        <v>1425</v>
      </c>
      <c r="Z15" s="1293" t="str">
        <f t="shared" si="7"/>
        <v>办公集聚程度</v>
      </c>
      <c r="AA15" s="1320">
        <f t="shared" si="3"/>
        <v>1</v>
      </c>
      <c r="AB15" s="1320">
        <f t="shared" si="4"/>
        <v>1</v>
      </c>
      <c r="AC15" s="1624">
        <f t="shared" si="5"/>
        <v>1</v>
      </c>
    </row>
    <row r="16" spans="1:29" ht="15">
      <c r="A16" s="1134"/>
      <c r="B16" s="1153"/>
      <c r="C16" s="1156"/>
      <c r="D16" s="1155"/>
      <c r="E16" s="1154"/>
      <c r="F16" s="1155"/>
      <c r="G16" s="1156"/>
      <c r="H16" s="1157"/>
      <c r="I16" s="1154"/>
      <c r="J16" s="1155"/>
      <c r="K16" s="1534"/>
      <c r="L16" s="1273"/>
      <c r="M16" s="1261"/>
      <c r="N16" s="1261"/>
      <c r="O16" s="1261"/>
      <c r="P16" s="3753"/>
      <c r="Q16" s="816"/>
      <c r="R16" s="1309"/>
      <c r="S16" s="1310"/>
      <c r="T16" s="1309"/>
      <c r="U16" s="1310"/>
      <c r="V16" s="1309"/>
      <c r="W16" s="1310"/>
      <c r="X16" s="1303"/>
      <c r="Y16" s="3701"/>
      <c r="Z16" s="1293"/>
      <c r="AA16" s="1320">
        <v>1</v>
      </c>
      <c r="AB16" s="1320">
        <v>1</v>
      </c>
      <c r="AC16" s="1624">
        <v>1</v>
      </c>
    </row>
    <row r="17" spans="1:29" ht="71.25">
      <c r="A17" s="1134"/>
      <c r="B17" s="1158" t="s">
        <v>1424</v>
      </c>
      <c r="C17" s="1605" t="str">
        <f>估价对象房地状况!C6</f>
        <v>估价对象周边道路状况、公共交通通达情况、停车便捷程度，综合评价交通便捷度较好</v>
      </c>
      <c r="D17" s="1157">
        <v>100</v>
      </c>
      <c r="E17" s="1275"/>
      <c r="F17" s="1157">
        <f>SUMIF(79:79,E18,80:80)-SUMIF(79:79,C18,80:80)+100</f>
        <v>100</v>
      </c>
      <c r="G17" s="1160"/>
      <c r="H17" s="1161">
        <f>SUMIF(79:79,G18,80:80)-SUMIF(79:79,C18,80:80)+100</f>
        <v>100</v>
      </c>
      <c r="I17" s="1160"/>
      <c r="J17" s="1161">
        <f>SUMIF(79:79,I18,80:80)-SUMIF(79:79,C18,80:80)+100</f>
        <v>100</v>
      </c>
      <c r="K17" s="1533"/>
      <c r="L17" s="1273"/>
      <c r="M17" s="1261"/>
      <c r="N17" s="1261"/>
      <c r="O17" s="1261"/>
      <c r="P17" s="3753"/>
      <c r="Q17" s="816" t="str">
        <f>B17</f>
        <v>交通便捷度</v>
      </c>
      <c r="R17" s="1309" t="s">
        <v>1412</v>
      </c>
      <c r="S17" s="1310">
        <f>F17</f>
        <v>100</v>
      </c>
      <c r="T17" s="1309" t="s">
        <v>1412</v>
      </c>
      <c r="U17" s="1310">
        <f>H17</f>
        <v>100</v>
      </c>
      <c r="V17" s="1309" t="s">
        <v>1412</v>
      </c>
      <c r="W17" s="1310">
        <f>J17</f>
        <v>100</v>
      </c>
      <c r="X17" s="1303"/>
      <c r="Y17" s="3701"/>
      <c r="Z17" s="1293" t="str">
        <f>Q17</f>
        <v>交通便捷度</v>
      </c>
      <c r="AA17" s="1320">
        <f t="shared" si="3"/>
        <v>1</v>
      </c>
      <c r="AB17" s="1320">
        <f t="shared" si="4"/>
        <v>1</v>
      </c>
      <c r="AC17" s="1624">
        <f t="shared" si="5"/>
        <v>1</v>
      </c>
    </row>
    <row r="18" spans="1:29" ht="15">
      <c r="A18" s="1134"/>
      <c r="B18" s="1162"/>
      <c r="C18" s="1606"/>
      <c r="D18" s="1157"/>
      <c r="E18" s="1454"/>
      <c r="F18" s="1157"/>
      <c r="G18" s="1446"/>
      <c r="H18" s="1155"/>
      <c r="I18" s="1446"/>
      <c r="J18" s="1155"/>
      <c r="K18" s="1534"/>
      <c r="L18" s="1273"/>
      <c r="M18" s="1261"/>
      <c r="N18" s="1261"/>
      <c r="O18" s="1261"/>
      <c r="P18" s="3753"/>
      <c r="Q18" s="816"/>
      <c r="R18" s="1309"/>
      <c r="S18" s="1310"/>
      <c r="T18" s="1309"/>
      <c r="U18" s="1310"/>
      <c r="V18" s="1309"/>
      <c r="W18" s="1310"/>
      <c r="X18" s="1303"/>
      <c r="Y18" s="3701"/>
      <c r="Z18" s="1293"/>
      <c r="AA18" s="1320">
        <v>1</v>
      </c>
      <c r="AB18" s="1320">
        <v>1</v>
      </c>
      <c r="AC18" s="1624">
        <v>1</v>
      </c>
    </row>
    <row r="19" spans="1:29" ht="42.75">
      <c r="A19" s="1134"/>
      <c r="B19" s="1158" t="s">
        <v>1427</v>
      </c>
      <c r="C19" s="1605" t="str">
        <f>估价对象房地状况!C7</f>
        <v>估价对象所在区域公共配套设施齐备情况</v>
      </c>
      <c r="D19" s="1161">
        <v>100</v>
      </c>
      <c r="E19" s="1455"/>
      <c r="F19" s="1161">
        <f>SUMIF(81:81,E20,82:82)-SUMIF(81:81,C20,82:82)+100</f>
        <v>100</v>
      </c>
      <c r="G19" s="1447"/>
      <c r="H19" s="1157">
        <f>SUMIF(81:81,G20,82:82)-SUMIF(81:81,C20,82:82)+100</f>
        <v>100</v>
      </c>
      <c r="I19" s="1447"/>
      <c r="J19" s="1157">
        <f>SUMIF(81:81,I20,82:82)-SUMIF(81:81,C20,82:82)+100</f>
        <v>100</v>
      </c>
      <c r="K19" s="1533"/>
      <c r="L19" s="1273"/>
      <c r="M19" s="1261"/>
      <c r="N19" s="1261"/>
      <c r="O19" s="1261"/>
      <c r="P19" s="3753"/>
      <c r="Q19" s="816" t="str">
        <f>B19</f>
        <v>公共配套设施</v>
      </c>
      <c r="R19" s="1309" t="s">
        <v>1412</v>
      </c>
      <c r="S19" s="1310">
        <f>F19</f>
        <v>100</v>
      </c>
      <c r="T19" s="1309" t="s">
        <v>1412</v>
      </c>
      <c r="U19" s="1310">
        <f>H19</f>
        <v>100</v>
      </c>
      <c r="V19" s="1309" t="s">
        <v>1412</v>
      </c>
      <c r="W19" s="1310">
        <f>J19</f>
        <v>100</v>
      </c>
      <c r="X19" s="1303"/>
      <c r="Y19" s="3701"/>
      <c r="Z19" s="1293" t="str">
        <f>Q19</f>
        <v>公共配套设施</v>
      </c>
      <c r="AA19" s="1320">
        <f t="shared" si="3"/>
        <v>1</v>
      </c>
      <c r="AB19" s="1320">
        <f t="shared" si="4"/>
        <v>1</v>
      </c>
      <c r="AC19" s="1624">
        <f t="shared" si="5"/>
        <v>1</v>
      </c>
    </row>
    <row r="20" spans="1:29" ht="15">
      <c r="A20" s="1134"/>
      <c r="B20" s="1162"/>
      <c r="C20" s="1156"/>
      <c r="D20" s="1155"/>
      <c r="E20" s="1276"/>
      <c r="F20" s="1155"/>
      <c r="G20" s="1163"/>
      <c r="H20" s="1155"/>
      <c r="I20" s="1163"/>
      <c r="J20" s="1155"/>
      <c r="K20" s="1534"/>
      <c r="L20" s="1273"/>
      <c r="M20" s="1261"/>
      <c r="N20" s="1261"/>
      <c r="O20" s="1261"/>
      <c r="P20" s="3753"/>
      <c r="Q20" s="816"/>
      <c r="R20" s="1309"/>
      <c r="S20" s="1310"/>
      <c r="T20" s="1309"/>
      <c r="U20" s="1310"/>
      <c r="V20" s="1309"/>
      <c r="W20" s="1310"/>
      <c r="X20" s="1303"/>
      <c r="Y20" s="3701"/>
      <c r="Z20" s="1293"/>
      <c r="AA20" s="1320">
        <v>1</v>
      </c>
      <c r="AB20" s="1320">
        <v>1</v>
      </c>
      <c r="AC20" s="1624">
        <v>1</v>
      </c>
    </row>
    <row r="21" spans="1:29" ht="28.5">
      <c r="A21" s="1134"/>
      <c r="B21" s="1165" t="s">
        <v>1429</v>
      </c>
      <c r="C21" s="1605" t="str">
        <f>估价对象房地状况!C8</f>
        <v>估价对象所在区域基础设施水平</v>
      </c>
      <c r="D21" s="1157">
        <v>100</v>
      </c>
      <c r="E21" s="1455"/>
      <c r="F21" s="1161">
        <f>SUMIF(83:83,E22,84:84)-SUMIF(83:83,C22,84:84)+100</f>
        <v>100</v>
      </c>
      <c r="G21" s="1447"/>
      <c r="H21" s="1157">
        <f>SUMIF(83:83,G22,84:84)-SUMIF(83:83,C22,84:84)+100</f>
        <v>100</v>
      </c>
      <c r="I21" s="1447"/>
      <c r="J21" s="1157">
        <f>SUMIF(83:83,I22,84:84)-SUMIF(83:83,C22,84:84)+100</f>
        <v>100</v>
      </c>
      <c r="K21" s="1533"/>
      <c r="L21" s="1273"/>
      <c r="M21" s="1261"/>
      <c r="N21" s="1261"/>
      <c r="O21" s="1261"/>
      <c r="P21" s="3753"/>
      <c r="Q21" s="816" t="str">
        <f>B21</f>
        <v>基础设施水平</v>
      </c>
      <c r="R21" s="1309" t="s">
        <v>1412</v>
      </c>
      <c r="S21" s="1310">
        <f>F21</f>
        <v>100</v>
      </c>
      <c r="T21" s="1309" t="s">
        <v>1412</v>
      </c>
      <c r="U21" s="1310">
        <f>H21</f>
        <v>100</v>
      </c>
      <c r="V21" s="1309" t="s">
        <v>1412</v>
      </c>
      <c r="W21" s="1310">
        <f>J21</f>
        <v>100</v>
      </c>
      <c r="X21" s="1303"/>
      <c r="Y21" s="3701"/>
      <c r="Z21" s="1293" t="str">
        <f>Q21</f>
        <v>基础设施水平</v>
      </c>
      <c r="AA21" s="1320">
        <f t="shared" ref="AA21" si="8">D21/F21</f>
        <v>1</v>
      </c>
      <c r="AB21" s="1320">
        <f t="shared" ref="AB21" si="9">D21/H21</f>
        <v>1</v>
      </c>
      <c r="AC21" s="1624">
        <f t="shared" ref="AC21" si="10">D21/J21</f>
        <v>1</v>
      </c>
    </row>
    <row r="22" spans="1:29" ht="15">
      <c r="A22" s="1134"/>
      <c r="B22" s="1165"/>
      <c r="C22" s="1606"/>
      <c r="D22" s="1155"/>
      <c r="E22" s="1154"/>
      <c r="F22" s="1155"/>
      <c r="G22" s="1156"/>
      <c r="H22" s="1155"/>
      <c r="I22" s="1156"/>
      <c r="J22" s="1155"/>
      <c r="K22" s="1535"/>
      <c r="L22" s="1273"/>
      <c r="M22" s="1261"/>
      <c r="N22" s="1261"/>
      <c r="O22" s="1261"/>
      <c r="P22" s="3753"/>
      <c r="Q22" s="816"/>
      <c r="R22" s="1309"/>
      <c r="S22" s="1310"/>
      <c r="T22" s="1309"/>
      <c r="U22" s="1310"/>
      <c r="V22" s="1309"/>
      <c r="W22" s="1310"/>
      <c r="X22" s="1303"/>
      <c r="Y22" s="3701"/>
      <c r="Z22" s="1293"/>
      <c r="AA22" s="1320">
        <v>1</v>
      </c>
      <c r="AB22" s="1320">
        <v>1</v>
      </c>
      <c r="AC22" s="1624">
        <v>1</v>
      </c>
    </row>
    <row r="23" spans="1:29" ht="42.75">
      <c r="A23" s="1134"/>
      <c r="B23" s="1158" t="s">
        <v>2009</v>
      </c>
      <c r="C23" s="1605" t="str">
        <f>估价对象房地状况!C9</f>
        <v>区域自然环境：；人文环境；综合评价环境状况一般</v>
      </c>
      <c r="D23" s="1157">
        <v>100</v>
      </c>
      <c r="E23" s="1275"/>
      <c r="F23" s="1157">
        <f>SUMIF(85:85,E24,86:86)-SUMIF(85:85,C24,86:86)+100</f>
        <v>100</v>
      </c>
      <c r="G23" s="1160"/>
      <c r="H23" s="1157">
        <f>SUMIF(85:85,G24,86:86)-SUMIF(85:85,C24,86:86)+100</f>
        <v>100</v>
      </c>
      <c r="I23" s="1160"/>
      <c r="J23" s="1157">
        <f>SUMIF(85:85,I24,86:86)-SUMIF(85:85,C24,86:86)+100</f>
        <v>100</v>
      </c>
      <c r="K23" s="1533"/>
      <c r="L23" s="1273"/>
      <c r="M23" s="1261"/>
      <c r="N23" s="1261"/>
      <c r="O23" s="1261"/>
      <c r="P23" s="3753"/>
      <c r="Q23" s="816" t="str">
        <f>B23</f>
        <v>环境质量</v>
      </c>
      <c r="R23" s="1309" t="s">
        <v>1412</v>
      </c>
      <c r="S23" s="1310">
        <f>F23</f>
        <v>100</v>
      </c>
      <c r="T23" s="1309" t="s">
        <v>1412</v>
      </c>
      <c r="U23" s="1310">
        <f>H23</f>
        <v>100</v>
      </c>
      <c r="V23" s="1309" t="s">
        <v>1412</v>
      </c>
      <c r="W23" s="1310">
        <f>J23</f>
        <v>100</v>
      </c>
      <c r="X23" s="1303"/>
      <c r="Y23" s="3701"/>
      <c r="Z23" s="1293" t="str">
        <f>Q23</f>
        <v>环境质量</v>
      </c>
      <c r="AA23" s="1320">
        <f t="shared" si="3"/>
        <v>1</v>
      </c>
      <c r="AB23" s="1320">
        <f t="shared" si="4"/>
        <v>1</v>
      </c>
      <c r="AC23" s="1624">
        <f t="shared" si="5"/>
        <v>1</v>
      </c>
    </row>
    <row r="24" spans="1:29" ht="15">
      <c r="A24" s="1134"/>
      <c r="B24" s="1165"/>
      <c r="C24" s="1156"/>
      <c r="D24" s="1155"/>
      <c r="E24" s="1276"/>
      <c r="F24" s="1155"/>
      <c r="G24" s="1163"/>
      <c r="H24" s="1155"/>
      <c r="I24" s="1163"/>
      <c r="J24" s="1155"/>
      <c r="K24" s="1534"/>
      <c r="L24" s="1273"/>
      <c r="M24" s="1261"/>
      <c r="N24" s="1261"/>
      <c r="O24" s="1261"/>
      <c r="P24" s="3753"/>
      <c r="Q24" s="816"/>
      <c r="R24" s="1309"/>
      <c r="S24" s="1310"/>
      <c r="T24" s="1309"/>
      <c r="U24" s="1310"/>
      <c r="V24" s="1309"/>
      <c r="W24" s="1310"/>
      <c r="X24" s="1303"/>
      <c r="Y24" s="3701"/>
      <c r="Z24" s="1293"/>
      <c r="AA24" s="1320">
        <v>1</v>
      </c>
      <c r="AB24" s="1320">
        <v>1</v>
      </c>
      <c r="AC24" s="1624">
        <v>1</v>
      </c>
    </row>
    <row r="25" spans="1:29" ht="27">
      <c r="A25" s="1114"/>
      <c r="B25" s="1158" t="s">
        <v>2010</v>
      </c>
      <c r="C25" s="1607"/>
      <c r="D25" s="1143">
        <v>100</v>
      </c>
      <c r="E25" s="1142"/>
      <c r="F25" s="1143">
        <f>SUMIF(87:87,E26,88:88)-SUMIF(87:87,C26,88:88)+100</f>
        <v>100</v>
      </c>
      <c r="G25" s="1607"/>
      <c r="H25" s="1143">
        <f>SUMIF(87:87,G26,88:88)-SUMIF(87:87,C26,88:88)+100</f>
        <v>100</v>
      </c>
      <c r="I25" s="1142"/>
      <c r="J25" s="1143">
        <f>SUMIF(87:87,I26,88:88)-SUMIF(87:87,C26,88:88)+100</f>
        <v>100</v>
      </c>
      <c r="K25" s="1533"/>
      <c r="L25" s="1273"/>
      <c r="M25" s="1261"/>
      <c r="N25" s="1261"/>
      <c r="O25" s="1261"/>
      <c r="P25" s="3753"/>
      <c r="Q25" s="816" t="str">
        <f>B25</f>
        <v>毗邻道路的类型与等级</v>
      </c>
      <c r="R25" s="1309" t="s">
        <v>1412</v>
      </c>
      <c r="S25" s="1310">
        <f>F25</f>
        <v>100</v>
      </c>
      <c r="T25" s="1309" t="s">
        <v>1412</v>
      </c>
      <c r="U25" s="1310">
        <f>H25</f>
        <v>100</v>
      </c>
      <c r="V25" s="1309" t="s">
        <v>1412</v>
      </c>
      <c r="W25" s="1310">
        <f>J25</f>
        <v>100</v>
      </c>
      <c r="X25" s="1303"/>
      <c r="Y25" s="3701"/>
      <c r="Z25" s="1293" t="str">
        <f>Q25</f>
        <v>毗邻道路的类型与等级</v>
      </c>
      <c r="AA25" s="1320">
        <f t="shared" si="3"/>
        <v>1</v>
      </c>
      <c r="AB25" s="1320">
        <f t="shared" si="4"/>
        <v>1</v>
      </c>
      <c r="AC25" s="1624">
        <f t="shared" si="5"/>
        <v>1</v>
      </c>
    </row>
    <row r="26" spans="1:29" ht="15">
      <c r="A26" s="1114"/>
      <c r="B26" s="1162"/>
      <c r="C26" s="1169"/>
      <c r="D26" s="1143"/>
      <c r="E26" s="1168"/>
      <c r="F26" s="1143"/>
      <c r="G26" s="1169"/>
      <c r="H26" s="1143"/>
      <c r="I26" s="1168"/>
      <c r="J26" s="1143"/>
      <c r="K26" s="1534"/>
      <c r="L26" s="1273"/>
      <c r="M26" s="1261"/>
      <c r="N26" s="1261"/>
      <c r="O26" s="1261"/>
      <c r="P26" s="3753"/>
      <c r="Q26" s="816"/>
      <c r="R26" s="1309"/>
      <c r="S26" s="1310"/>
      <c r="T26" s="1309"/>
      <c r="U26" s="1310"/>
      <c r="V26" s="1309"/>
      <c r="W26" s="1310"/>
      <c r="X26" s="1303"/>
      <c r="Y26" s="3701"/>
      <c r="Z26" s="1293"/>
      <c r="AA26" s="1320">
        <v>1</v>
      </c>
      <c r="AB26" s="1320">
        <v>1</v>
      </c>
      <c r="AC26" s="1624">
        <v>1</v>
      </c>
    </row>
    <row r="27" spans="1:29" ht="15">
      <c r="A27" s="1134"/>
      <c r="B27" s="1162" t="s">
        <v>1431</v>
      </c>
      <c r="C27" s="1169"/>
      <c r="D27" s="1143">
        <v>100</v>
      </c>
      <c r="E27" s="1168"/>
      <c r="F27" s="1143">
        <f>SUMIF(89:89,E27,90:90)-SUMIF(89:89,C27,90:90)+100</f>
        <v>100</v>
      </c>
      <c r="G27" s="1169"/>
      <c r="H27" s="1143">
        <f>SUMIF(89:89,G27,90:90)-SUMIF(89:89,C27,90:90)+100</f>
        <v>100</v>
      </c>
      <c r="I27" s="1168"/>
      <c r="J27" s="1143">
        <f>SUMIF(89:89,I27,90:90)-SUMIF(89:89,C27,90:90)+100</f>
        <v>100</v>
      </c>
      <c r="K27" s="1279"/>
      <c r="L27" s="1273"/>
      <c r="M27" s="1261"/>
      <c r="N27" s="1261"/>
      <c r="O27" s="1261"/>
      <c r="P27" s="3753"/>
      <c r="Q27" s="816" t="str">
        <f t="shared" ref="Q27:Q47" si="11">B27</f>
        <v>楼层</v>
      </c>
      <c r="R27" s="1309" t="s">
        <v>1412</v>
      </c>
      <c r="S27" s="1310">
        <f>F27</f>
        <v>100</v>
      </c>
      <c r="T27" s="1309" t="s">
        <v>1412</v>
      </c>
      <c r="U27" s="1310">
        <f>H27</f>
        <v>100</v>
      </c>
      <c r="V27" s="1309" t="s">
        <v>1412</v>
      </c>
      <c r="W27" s="1310">
        <f>J27</f>
        <v>100</v>
      </c>
      <c r="X27" s="1303"/>
      <c r="Y27" s="3701"/>
      <c r="Z27" s="1293" t="str">
        <f>Q27</f>
        <v>楼层</v>
      </c>
      <c r="AA27" s="1320">
        <f t="shared" si="3"/>
        <v>1</v>
      </c>
      <c r="AB27" s="1320">
        <f t="shared" si="4"/>
        <v>1</v>
      </c>
      <c r="AC27" s="1624">
        <f t="shared" si="5"/>
        <v>1</v>
      </c>
    </row>
    <row r="28" spans="1:29" s="1093" customFormat="1" ht="15">
      <c r="A28" s="1137"/>
      <c r="B28" s="1158" t="s">
        <v>1963</v>
      </c>
      <c r="C28" s="1608"/>
      <c r="D28" s="1555">
        <v>100</v>
      </c>
      <c r="E28" s="1609"/>
      <c r="F28" s="1555">
        <f>SUMIF(91:91,E28,92:92)-SUMIF(91:91,C28,92:92)+100</f>
        <v>100</v>
      </c>
      <c r="G28" s="1608"/>
      <c r="H28" s="1555">
        <f>SUMIF(91:91,G28,92:92)-SUMIF(91:91,C28,92:92)+100</f>
        <v>100</v>
      </c>
      <c r="I28" s="1609"/>
      <c r="J28" s="1555">
        <f>SUMIF(91:91,I28,92:92)-SUMIF(91:91,C28,92:92)+100</f>
        <v>100</v>
      </c>
      <c r="K28" s="1279"/>
      <c r="L28" s="1263"/>
      <c r="M28" s="1264"/>
      <c r="N28" s="1264"/>
      <c r="O28" s="1264"/>
      <c r="P28" s="3753"/>
      <c r="Q28" s="1308" t="str">
        <f t="shared" si="11"/>
        <v>朝向</v>
      </c>
      <c r="R28" s="1304" t="s">
        <v>1412</v>
      </c>
      <c r="S28" s="1305">
        <f>F28</f>
        <v>100</v>
      </c>
      <c r="T28" s="1304" t="s">
        <v>1412</v>
      </c>
      <c r="U28" s="1305">
        <f>H28</f>
        <v>100</v>
      </c>
      <c r="V28" s="1304" t="s">
        <v>1412</v>
      </c>
      <c r="W28" s="1305">
        <f>J28</f>
        <v>100</v>
      </c>
      <c r="X28" s="1306"/>
      <c r="Y28" s="3701"/>
      <c r="Z28" s="1319" t="str">
        <f>Q28</f>
        <v>朝向</v>
      </c>
      <c r="AA28" s="1320">
        <f t="shared" si="3"/>
        <v>1</v>
      </c>
      <c r="AB28" s="1320">
        <f t="shared" si="4"/>
        <v>1</v>
      </c>
      <c r="AC28" s="1624">
        <f t="shared" si="5"/>
        <v>1</v>
      </c>
    </row>
    <row r="29" spans="1:29" ht="15">
      <c r="A29" s="1134"/>
      <c r="B29" s="1173">
        <v>111</v>
      </c>
      <c r="C29" s="1607"/>
      <c r="D29" s="1143">
        <v>100</v>
      </c>
      <c r="E29" s="1132"/>
      <c r="F29" s="1143">
        <f>SUMIF(93:93,E29,94:94)-SUMIF(93:93,C29,94:94)+100</f>
        <v>100</v>
      </c>
      <c r="G29" s="1602"/>
      <c r="H29" s="1143">
        <f>SUMIF(93:93,G29,94:94)-SUMIF(93:93,C29,94:94)+100</f>
        <v>100</v>
      </c>
      <c r="I29" s="1132"/>
      <c r="J29" s="1143">
        <f>SUMIF(93:93,I29,94:94)-SUMIF(93:93,C29,94:94)+100</f>
        <v>100</v>
      </c>
      <c r="K29" s="1278"/>
      <c r="L29" s="1273"/>
      <c r="M29" s="1261"/>
      <c r="N29" s="1261"/>
      <c r="O29" s="1261"/>
      <c r="P29" s="3753"/>
      <c r="Q29" s="816">
        <f t="shared" si="11"/>
        <v>111</v>
      </c>
      <c r="R29" s="1309" t="s">
        <v>1412</v>
      </c>
      <c r="S29" s="1310">
        <f t="shared" ref="S29:S47" si="12">F29</f>
        <v>100</v>
      </c>
      <c r="T29" s="1309" t="s">
        <v>1412</v>
      </c>
      <c r="U29" s="1310">
        <f t="shared" ref="U29:U47" si="13">H29</f>
        <v>100</v>
      </c>
      <c r="V29" s="1309" t="s">
        <v>1412</v>
      </c>
      <c r="W29" s="1310">
        <f t="shared" ref="W29:W47" si="14">J29</f>
        <v>100</v>
      </c>
      <c r="X29" s="1303"/>
      <c r="Y29" s="3701"/>
      <c r="Z29" s="1293">
        <f t="shared" ref="Z29:Z47" si="15">Q29</f>
        <v>111</v>
      </c>
      <c r="AA29" s="1320">
        <f t="shared" si="3"/>
        <v>1</v>
      </c>
      <c r="AB29" s="1320">
        <f t="shared" si="4"/>
        <v>1</v>
      </c>
      <c r="AC29" s="1624">
        <f t="shared" si="5"/>
        <v>1</v>
      </c>
    </row>
    <row r="30" spans="1:29" ht="15">
      <c r="A30" s="1134"/>
      <c r="B30" s="1173">
        <v>111</v>
      </c>
      <c r="C30" s="1607"/>
      <c r="D30" s="1143">
        <v>100</v>
      </c>
      <c r="E30" s="1132"/>
      <c r="F30" s="1143">
        <f>SUMIF(95:95,E30,96:96)-SUMIF(95:95,C30,96:96)+100</f>
        <v>100</v>
      </c>
      <c r="G30" s="1602"/>
      <c r="H30" s="1143">
        <f>SUMIF(95:95,G30,96:96)-SUMIF(95:95,C30,96:96)+100</f>
        <v>100</v>
      </c>
      <c r="I30" s="1132"/>
      <c r="J30" s="1143">
        <f>SUMIF(95:95,I30,96:96)-SUMIF(95:95,C30,96:96)+100</f>
        <v>100</v>
      </c>
      <c r="K30" s="1278"/>
      <c r="L30" s="1273"/>
      <c r="M30" s="1261"/>
      <c r="N30" s="1261"/>
      <c r="O30" s="1261"/>
      <c r="P30" s="3753"/>
      <c r="Q30" s="816">
        <f t="shared" si="11"/>
        <v>111</v>
      </c>
      <c r="R30" s="1309" t="s">
        <v>1412</v>
      </c>
      <c r="S30" s="1310">
        <f t="shared" si="12"/>
        <v>100</v>
      </c>
      <c r="T30" s="1309" t="s">
        <v>1412</v>
      </c>
      <c r="U30" s="1310">
        <f t="shared" si="13"/>
        <v>100</v>
      </c>
      <c r="V30" s="1309" t="s">
        <v>1412</v>
      </c>
      <c r="W30" s="1310">
        <f t="shared" si="14"/>
        <v>100</v>
      </c>
      <c r="X30" s="1303"/>
      <c r="Y30" s="3701"/>
      <c r="Z30" s="1293">
        <f t="shared" si="15"/>
        <v>111</v>
      </c>
      <c r="AA30" s="1320">
        <f t="shared" si="3"/>
        <v>1</v>
      </c>
      <c r="AB30" s="1320">
        <f t="shared" si="4"/>
        <v>1</v>
      </c>
      <c r="AC30" s="1624">
        <f t="shared" si="5"/>
        <v>1</v>
      </c>
    </row>
    <row r="31" spans="1:29" ht="15">
      <c r="A31" s="1134"/>
      <c r="B31" s="1173">
        <v>111</v>
      </c>
      <c r="C31" s="1607"/>
      <c r="D31" s="1143">
        <v>100</v>
      </c>
      <c r="E31" s="1132"/>
      <c r="F31" s="1143">
        <f>SUMIF(97:97,E31,98:98)-SUMIF(97:97,C31,98:98)+100</f>
        <v>100</v>
      </c>
      <c r="G31" s="1602"/>
      <c r="H31" s="1143">
        <f>SUMIF(97:97,G31,98:98)-SUMIF(97:97,C31,98:98)+100</f>
        <v>100</v>
      </c>
      <c r="I31" s="1132"/>
      <c r="J31" s="1143">
        <f>SUMIF(97:97,I31,98:98)-SUMIF(97:97,C31,98:98)+100</f>
        <v>100</v>
      </c>
      <c r="K31" s="1278"/>
      <c r="L31" s="1273"/>
      <c r="M31" s="1261"/>
      <c r="N31" s="1261"/>
      <c r="O31" s="1261"/>
      <c r="P31" s="3753"/>
      <c r="Q31" s="816">
        <f t="shared" si="11"/>
        <v>111</v>
      </c>
      <c r="R31" s="1309" t="s">
        <v>1412</v>
      </c>
      <c r="S31" s="1310">
        <f t="shared" si="12"/>
        <v>100</v>
      </c>
      <c r="T31" s="1309" t="s">
        <v>1412</v>
      </c>
      <c r="U31" s="1310">
        <f t="shared" si="13"/>
        <v>100</v>
      </c>
      <c r="V31" s="1309" t="s">
        <v>1412</v>
      </c>
      <c r="W31" s="1310">
        <f t="shared" si="14"/>
        <v>100</v>
      </c>
      <c r="X31" s="1303"/>
      <c r="Y31" s="3701"/>
      <c r="Z31" s="1293">
        <f t="shared" si="15"/>
        <v>111</v>
      </c>
      <c r="AA31" s="1320">
        <f t="shared" si="3"/>
        <v>1</v>
      </c>
      <c r="AB31" s="1320">
        <f t="shared" si="4"/>
        <v>1</v>
      </c>
      <c r="AC31" s="1624">
        <f t="shared" si="5"/>
        <v>1</v>
      </c>
    </row>
    <row r="32" spans="1:29" ht="15">
      <c r="A32" s="1144"/>
      <c r="B32" s="1610">
        <v>111</v>
      </c>
      <c r="C32" s="1611"/>
      <c r="D32" s="1147">
        <v>100</v>
      </c>
      <c r="E32" s="1603"/>
      <c r="F32" s="1147">
        <f>SUMIF(99:99,E32,100:100)-SUMIF(99:99,C32,100:100)+100</f>
        <v>100</v>
      </c>
      <c r="G32" s="1602"/>
      <c r="H32" s="1147">
        <f>SUMIF(99:99,G32,100:100)-SUMIF(99:99,C32,100:100)+100</f>
        <v>100</v>
      </c>
      <c r="I32" s="1132"/>
      <c r="J32" s="1147">
        <f>SUMIF(99:99,I32,100:100)-SUMIF(99:99,C32,100:100)+100</f>
        <v>100</v>
      </c>
      <c r="K32" s="1278"/>
      <c r="L32" s="1273"/>
      <c r="M32" s="1261"/>
      <c r="N32" s="1261"/>
      <c r="O32" s="1261"/>
      <c r="P32" s="3753"/>
      <c r="Q32" s="816">
        <f t="shared" si="11"/>
        <v>111</v>
      </c>
      <c r="R32" s="1309" t="s">
        <v>1412</v>
      </c>
      <c r="S32" s="1310">
        <f t="shared" si="12"/>
        <v>100</v>
      </c>
      <c r="T32" s="1309" t="s">
        <v>1412</v>
      </c>
      <c r="U32" s="1310">
        <f t="shared" si="13"/>
        <v>100</v>
      </c>
      <c r="V32" s="1309" t="s">
        <v>1412</v>
      </c>
      <c r="W32" s="1310">
        <f t="shared" si="14"/>
        <v>100</v>
      </c>
      <c r="X32" s="1303"/>
      <c r="Y32" s="3701"/>
      <c r="Z32" s="1293">
        <f t="shared" si="15"/>
        <v>111</v>
      </c>
      <c r="AA32" s="1320">
        <f t="shared" si="3"/>
        <v>1</v>
      </c>
      <c r="AB32" s="1320">
        <f t="shared" si="4"/>
        <v>1</v>
      </c>
      <c r="AC32" s="1624">
        <f t="shared" si="5"/>
        <v>1</v>
      </c>
    </row>
    <row r="33" spans="1:29" ht="15">
      <c r="A33" s="1148" t="s">
        <v>1434</v>
      </c>
      <c r="B33" s="1127" t="s">
        <v>1964</v>
      </c>
      <c r="C33" s="1503"/>
      <c r="D33" s="1184">
        <v>100</v>
      </c>
      <c r="E33" s="1503"/>
      <c r="F33" s="1498">
        <f>SUMIF(101:101,E33,102:102)-SUMIF(101:101,C33,102:102)+100</f>
        <v>100</v>
      </c>
      <c r="G33" s="1503"/>
      <c r="H33" s="1143">
        <f>SUMIF(101:101,G33,102:102)-SUMIF(101:101,C33,102:102)+100</f>
        <v>100</v>
      </c>
      <c r="I33" s="1503"/>
      <c r="J33" s="1184">
        <f>SUMIF(101:101,I33,102:102)-SUMIF(101:101,C33,102:102)+100</f>
        <v>100</v>
      </c>
      <c r="K33" s="1279"/>
      <c r="L33" s="1273"/>
      <c r="M33" s="1261"/>
      <c r="N33" s="1261"/>
      <c r="O33" s="1261"/>
      <c r="P33" s="3754" t="s">
        <v>1436</v>
      </c>
      <c r="Q33" s="816" t="str">
        <f t="shared" si="11"/>
        <v>建筑类型</v>
      </c>
      <c r="R33" s="1309" t="s">
        <v>1412</v>
      </c>
      <c r="S33" s="1310">
        <f t="shared" si="12"/>
        <v>100</v>
      </c>
      <c r="T33" s="1309" t="s">
        <v>1412</v>
      </c>
      <c r="U33" s="1310">
        <f t="shared" si="13"/>
        <v>100</v>
      </c>
      <c r="V33" s="1309" t="s">
        <v>1412</v>
      </c>
      <c r="W33" s="1310">
        <f t="shared" si="14"/>
        <v>100</v>
      </c>
      <c r="X33" s="1303"/>
      <c r="Y33" s="3703" t="s">
        <v>1436</v>
      </c>
      <c r="Z33" s="1293" t="str">
        <f t="shared" si="15"/>
        <v>建筑类型</v>
      </c>
      <c r="AA33" s="1320">
        <f t="shared" si="3"/>
        <v>1</v>
      </c>
      <c r="AB33" s="1320">
        <f t="shared" si="4"/>
        <v>1</v>
      </c>
      <c r="AC33" s="1624">
        <f t="shared" si="5"/>
        <v>1</v>
      </c>
    </row>
    <row r="34" spans="1:29" s="1095" customFormat="1" ht="15">
      <c r="A34" s="1190"/>
      <c r="B34" s="1131" t="s">
        <v>1965</v>
      </c>
      <c r="C34" s="1492"/>
      <c r="D34" s="1133">
        <v>100</v>
      </c>
      <c r="E34" s="1136"/>
      <c r="F34" s="1491" t="e">
        <f>LOOKUP(E34,104:104,105:105)-LOOKUP(C34,104:104,105:105)+100</f>
        <v>#N/A</v>
      </c>
      <c r="G34" s="1135"/>
      <c r="H34" s="1133" t="e">
        <f>LOOKUP(G34,104:104,105:105)-LOOKUP(C34,104:104,105:105)+100</f>
        <v>#N/A</v>
      </c>
      <c r="I34" s="1135"/>
      <c r="J34" s="1133" t="e">
        <f>LOOKUP(I34,104:104,105:105)-LOOKUP(C34,104:104,105:105)+100</f>
        <v>#N/A</v>
      </c>
      <c r="K34" s="1278"/>
      <c r="L34" s="1271"/>
      <c r="M34" s="1280"/>
      <c r="N34" s="1280"/>
      <c r="O34" s="1280"/>
      <c r="P34" s="3755"/>
      <c r="Q34" s="1537" t="str">
        <f t="shared" si="11"/>
        <v>项目建筑规模</v>
      </c>
      <c r="R34" s="1311" t="s">
        <v>1412</v>
      </c>
      <c r="S34" s="1312" t="e">
        <f t="shared" si="12"/>
        <v>#N/A</v>
      </c>
      <c r="T34" s="1311" t="s">
        <v>1412</v>
      </c>
      <c r="U34" s="1312" t="e">
        <f t="shared" si="13"/>
        <v>#N/A</v>
      </c>
      <c r="V34" s="1311" t="s">
        <v>1412</v>
      </c>
      <c r="W34" s="1312" t="e">
        <f t="shared" si="14"/>
        <v>#N/A</v>
      </c>
      <c r="X34" s="1313"/>
      <c r="Y34" s="3703"/>
      <c r="Z34" s="1321" t="str">
        <f t="shared" si="15"/>
        <v>项目建筑规模</v>
      </c>
      <c r="AA34" s="1320" t="e">
        <f t="shared" si="3"/>
        <v>#N/A</v>
      </c>
      <c r="AB34" s="1320" t="e">
        <f t="shared" si="4"/>
        <v>#N/A</v>
      </c>
      <c r="AC34" s="1624" t="e">
        <f t="shared" si="5"/>
        <v>#N/A</v>
      </c>
    </row>
    <row r="35" spans="1:29" ht="15">
      <c r="A35" s="1185"/>
      <c r="B35" s="1131" t="s">
        <v>1966</v>
      </c>
      <c r="C35" s="1508"/>
      <c r="D35" s="1143">
        <v>100</v>
      </c>
      <c r="E35" s="1508"/>
      <c r="F35" s="1498">
        <f>SUMIF(106:106,E35,107:107)-SUMIF(106:106,C35,107:107)+100</f>
        <v>100</v>
      </c>
      <c r="G35" s="1508"/>
      <c r="H35" s="1143">
        <f>SUMIF(106:106,G35,107:107)-SUMIF(106:106,C35,107:107)+100</f>
        <v>100</v>
      </c>
      <c r="I35" s="1508"/>
      <c r="J35" s="1143">
        <f>SUMIF(106:106,I35,107:107)-SUMIF(106:106,C35,107:107)+100</f>
        <v>100</v>
      </c>
      <c r="K35" s="1279"/>
      <c r="L35" s="1273"/>
      <c r="M35" s="1261"/>
      <c r="N35" s="1261"/>
      <c r="O35" s="1261"/>
      <c r="P35" s="3755"/>
      <c r="Q35" s="816" t="str">
        <f t="shared" si="11"/>
        <v>建筑结构</v>
      </c>
      <c r="R35" s="1309" t="s">
        <v>1412</v>
      </c>
      <c r="S35" s="1310">
        <f t="shared" si="12"/>
        <v>100</v>
      </c>
      <c r="T35" s="1309" t="s">
        <v>1412</v>
      </c>
      <c r="U35" s="1310">
        <f t="shared" si="13"/>
        <v>100</v>
      </c>
      <c r="V35" s="1309" t="s">
        <v>1412</v>
      </c>
      <c r="W35" s="1310">
        <f t="shared" si="14"/>
        <v>100</v>
      </c>
      <c r="X35" s="1303"/>
      <c r="Y35" s="3703"/>
      <c r="Z35" s="1293" t="str">
        <f t="shared" si="15"/>
        <v>建筑结构</v>
      </c>
      <c r="AA35" s="1320">
        <f t="shared" si="3"/>
        <v>1</v>
      </c>
      <c r="AB35" s="1320">
        <f t="shared" si="4"/>
        <v>1</v>
      </c>
      <c r="AC35" s="1624">
        <f t="shared" si="5"/>
        <v>1</v>
      </c>
    </row>
    <row r="36" spans="1:29" ht="15">
      <c r="A36" s="1185"/>
      <c r="B36" s="1131" t="s">
        <v>1441</v>
      </c>
      <c r="C36" s="1508"/>
      <c r="D36" s="1143">
        <v>100</v>
      </c>
      <c r="E36" s="1508"/>
      <c r="F36" s="1498">
        <f>SUMIF(108:108,E36,109:109)-SUMIF(108:108,C36,109:109)+100</f>
        <v>100</v>
      </c>
      <c r="G36" s="1508"/>
      <c r="H36" s="1143">
        <f>SUMIF(108:108,G36,109:109)-SUMIF(108:108,C36,109:109)+100</f>
        <v>100</v>
      </c>
      <c r="I36" s="1508"/>
      <c r="J36" s="1143">
        <f>SUMIF(108:108,I36,109:109)-SUMIF(108:108,C36,109:109)+100</f>
        <v>100</v>
      </c>
      <c r="K36" s="1279"/>
      <c r="L36" s="1273"/>
      <c r="M36" s="1261"/>
      <c r="N36" s="1261"/>
      <c r="O36" s="1261"/>
      <c r="P36" s="3755"/>
      <c r="Q36" s="816" t="str">
        <f t="shared" si="11"/>
        <v>公共部分装修</v>
      </c>
      <c r="R36" s="1309" t="s">
        <v>1412</v>
      </c>
      <c r="S36" s="1310">
        <f t="shared" si="12"/>
        <v>100</v>
      </c>
      <c r="T36" s="1309" t="s">
        <v>1412</v>
      </c>
      <c r="U36" s="1310">
        <f t="shared" si="13"/>
        <v>100</v>
      </c>
      <c r="V36" s="1309" t="s">
        <v>1412</v>
      </c>
      <c r="W36" s="1310">
        <f t="shared" si="14"/>
        <v>100</v>
      </c>
      <c r="X36" s="1303"/>
      <c r="Y36" s="3703"/>
      <c r="Z36" s="1293" t="str">
        <f t="shared" si="15"/>
        <v>公共部分装修</v>
      </c>
      <c r="AA36" s="1320">
        <f t="shared" si="3"/>
        <v>1</v>
      </c>
      <c r="AB36" s="1320">
        <f t="shared" si="4"/>
        <v>1</v>
      </c>
      <c r="AC36" s="1624">
        <f t="shared" si="5"/>
        <v>1</v>
      </c>
    </row>
    <row r="37" spans="1:29" ht="15">
      <c r="A37" s="1185"/>
      <c r="B37" s="1131" t="s">
        <v>683</v>
      </c>
      <c r="C37" s="1505"/>
      <c r="D37" s="1143">
        <v>100</v>
      </c>
      <c r="E37" s="1505"/>
      <c r="F37" s="1498" t="e">
        <f>LOOKUP(E37,111:111,112:112)-LOOKUP(C37,111:111,112:112)+100</f>
        <v>#N/A</v>
      </c>
      <c r="G37" s="1505"/>
      <c r="H37" s="1498" t="e">
        <f>LOOKUP(G37,111:111,112:112)-LOOKUP(C37,111:111,112:112)+100</f>
        <v>#N/A</v>
      </c>
      <c r="I37" s="1505"/>
      <c r="J37" s="1143" t="e">
        <f>LOOKUP(I37,111:111,112:112)-LOOKUP(C37,111:111,112:112)+100</f>
        <v>#N/A</v>
      </c>
      <c r="K37" s="1279"/>
      <c r="L37" s="1273"/>
      <c r="M37" s="1261"/>
      <c r="N37" s="1261"/>
      <c r="O37" s="1261"/>
      <c r="P37" s="3755"/>
      <c r="Q37" s="816" t="str">
        <f t="shared" si="11"/>
        <v>成新度</v>
      </c>
      <c r="R37" s="1309" t="s">
        <v>1412</v>
      </c>
      <c r="S37" s="1310" t="e">
        <f t="shared" si="12"/>
        <v>#N/A</v>
      </c>
      <c r="T37" s="1309" t="s">
        <v>1412</v>
      </c>
      <c r="U37" s="1310" t="e">
        <f t="shared" si="13"/>
        <v>#N/A</v>
      </c>
      <c r="V37" s="1309" t="s">
        <v>1412</v>
      </c>
      <c r="W37" s="1310" t="e">
        <f t="shared" si="14"/>
        <v>#N/A</v>
      </c>
      <c r="X37" s="1303"/>
      <c r="Y37" s="3703"/>
      <c r="Z37" s="1293" t="str">
        <f t="shared" si="15"/>
        <v>成新度</v>
      </c>
      <c r="AA37" s="1320" t="e">
        <f t="shared" si="3"/>
        <v>#N/A</v>
      </c>
      <c r="AB37" s="1320" t="e">
        <f t="shared" si="4"/>
        <v>#N/A</v>
      </c>
      <c r="AC37" s="1624" t="e">
        <f t="shared" si="5"/>
        <v>#N/A</v>
      </c>
    </row>
    <row r="38" spans="1:29" s="1093" customFormat="1" ht="15">
      <c r="A38" s="1187"/>
      <c r="B38" s="1131" t="s">
        <v>2011</v>
      </c>
      <c r="C38" s="1508"/>
      <c r="D38" s="1133">
        <v>100</v>
      </c>
      <c r="E38" s="1508"/>
      <c r="F38" s="1498">
        <f>SUMIF(113:113,E38,114:114)-SUMIF(113:113,C38,114:114)+100</f>
        <v>100</v>
      </c>
      <c r="G38" s="1508"/>
      <c r="H38" s="1143">
        <f>SUMIF(113:113,G38,114:114)-SUMIF(113:113,C38,114:114)+100</f>
        <v>100</v>
      </c>
      <c r="I38" s="1508"/>
      <c r="J38" s="1143">
        <f>SUMIF(113:113,I38,114:114)-SUMIF(113:113,C38,114:114)+100</f>
        <v>100</v>
      </c>
      <c r="K38" s="1279"/>
      <c r="L38" s="1263"/>
      <c r="M38" s="1264"/>
      <c r="N38" s="1264"/>
      <c r="O38" s="1264"/>
      <c r="P38" s="3755"/>
      <c r="Q38" s="1308" t="str">
        <f t="shared" si="11"/>
        <v>写字楼等级</v>
      </c>
      <c r="R38" s="1304" t="s">
        <v>1412</v>
      </c>
      <c r="S38" s="1305">
        <f t="shared" si="12"/>
        <v>100</v>
      </c>
      <c r="T38" s="1304" t="s">
        <v>1412</v>
      </c>
      <c r="U38" s="1305">
        <f t="shared" si="13"/>
        <v>100</v>
      </c>
      <c r="V38" s="1304" t="s">
        <v>1412</v>
      </c>
      <c r="W38" s="1305">
        <f t="shared" si="14"/>
        <v>100</v>
      </c>
      <c r="X38" s="1306"/>
      <c r="Y38" s="3703"/>
      <c r="Z38" s="1319" t="str">
        <f t="shared" si="15"/>
        <v>写字楼等级</v>
      </c>
      <c r="AA38" s="1318">
        <f t="shared" si="3"/>
        <v>1</v>
      </c>
      <c r="AB38" s="1318">
        <f t="shared" si="4"/>
        <v>1</v>
      </c>
      <c r="AC38" s="1623">
        <f t="shared" si="5"/>
        <v>1</v>
      </c>
    </row>
    <row r="39" spans="1:29" ht="15">
      <c r="A39" s="1185"/>
      <c r="B39" s="1131" t="s">
        <v>1968</v>
      </c>
      <c r="C39" s="1508"/>
      <c r="D39" s="1143">
        <v>100</v>
      </c>
      <c r="E39" s="1508"/>
      <c r="F39" s="1498">
        <f>SUMIF(115:115,E39,116:116)-SUMIF(115:115,C39,116:116)+100</f>
        <v>100</v>
      </c>
      <c r="G39" s="1508"/>
      <c r="H39" s="1143">
        <f>SUMIF(115:115,G39,116:116)-SUMIF(115:115,C39,116:116)+100</f>
        <v>100</v>
      </c>
      <c r="I39" s="1508"/>
      <c r="J39" s="1143">
        <f>SUMIF(115:115,I39,116:116)-SUMIF(115:115,C39,116:116)+100</f>
        <v>100</v>
      </c>
      <c r="K39" s="1279"/>
      <c r="L39" s="1273"/>
      <c r="M39" s="1261"/>
      <c r="N39" s="1261"/>
      <c r="O39" s="1261"/>
      <c r="P39" s="3755" t="s">
        <v>1436</v>
      </c>
      <c r="Q39" s="816" t="str">
        <f t="shared" si="11"/>
        <v>物业管理</v>
      </c>
      <c r="R39" s="1309" t="s">
        <v>1412</v>
      </c>
      <c r="S39" s="1310">
        <f t="shared" si="12"/>
        <v>100</v>
      </c>
      <c r="T39" s="1309" t="s">
        <v>1412</v>
      </c>
      <c r="U39" s="1310">
        <f t="shared" si="13"/>
        <v>100</v>
      </c>
      <c r="V39" s="1309" t="s">
        <v>1412</v>
      </c>
      <c r="W39" s="1310">
        <f t="shared" si="14"/>
        <v>100</v>
      </c>
      <c r="X39" s="1303"/>
      <c r="Y39" s="3703" t="s">
        <v>1436</v>
      </c>
      <c r="Z39" s="1293" t="str">
        <f t="shared" si="15"/>
        <v>物业管理</v>
      </c>
      <c r="AA39" s="1320">
        <f t="shared" si="3"/>
        <v>1</v>
      </c>
      <c r="AB39" s="1320">
        <f t="shared" si="4"/>
        <v>1</v>
      </c>
      <c r="AC39" s="1624">
        <f t="shared" si="5"/>
        <v>1</v>
      </c>
    </row>
    <row r="40" spans="1:29" ht="15">
      <c r="A40" s="1185"/>
      <c r="B40" s="1131" t="s">
        <v>1969</v>
      </c>
      <c r="C40" s="1508"/>
      <c r="D40" s="1143">
        <v>100</v>
      </c>
      <c r="E40" s="1508"/>
      <c r="F40" s="1498">
        <f>SUMIF(117:117,E40,118:118)-SUMIF(117:117,C40,118:118)+100</f>
        <v>100</v>
      </c>
      <c r="G40" s="1508"/>
      <c r="H40" s="1143">
        <f>SUMIF(117:117,G40,118:118)-SUMIF(117:117,C40,118:118)+100</f>
        <v>100</v>
      </c>
      <c r="I40" s="1508"/>
      <c r="J40" s="1143">
        <f>SUMIF(117:117,I40,118:118)-SUMIF(117:117,C40,118:118)+100</f>
        <v>100</v>
      </c>
      <c r="K40" s="1279"/>
      <c r="L40" s="1273"/>
      <c r="M40" s="1261"/>
      <c r="N40" s="1261"/>
      <c r="O40" s="1261"/>
      <c r="P40" s="3755"/>
      <c r="Q40" s="816" t="str">
        <f t="shared" si="11"/>
        <v>市政基础设施</v>
      </c>
      <c r="R40" s="1309" t="s">
        <v>1412</v>
      </c>
      <c r="S40" s="1310">
        <f t="shared" si="12"/>
        <v>100</v>
      </c>
      <c r="T40" s="1309" t="s">
        <v>1412</v>
      </c>
      <c r="U40" s="1310">
        <f t="shared" si="13"/>
        <v>100</v>
      </c>
      <c r="V40" s="1309" t="s">
        <v>1412</v>
      </c>
      <c r="W40" s="1310">
        <f t="shared" si="14"/>
        <v>100</v>
      </c>
      <c r="X40" s="1303"/>
      <c r="Y40" s="3703"/>
      <c r="Z40" s="1293" t="str">
        <f t="shared" si="15"/>
        <v>市政基础设施</v>
      </c>
      <c r="AA40" s="1320">
        <f t="shared" si="3"/>
        <v>1</v>
      </c>
      <c r="AB40" s="1320">
        <f t="shared" si="4"/>
        <v>1</v>
      </c>
      <c r="AC40" s="1624">
        <f t="shared" si="5"/>
        <v>1</v>
      </c>
    </row>
    <row r="41" spans="1:29" ht="15">
      <c r="A41" s="1185"/>
      <c r="B41" s="1131" t="s">
        <v>2003</v>
      </c>
      <c r="C41" s="1168"/>
      <c r="D41" s="1143">
        <v>100</v>
      </c>
      <c r="E41" s="1168"/>
      <c r="F41" s="1498">
        <f>SUMIF(119:119,E41,120:120)-SUMIF(119:119,C41,120:120)+100</f>
        <v>100</v>
      </c>
      <c r="G41" s="1168"/>
      <c r="H41" s="1143">
        <f>SUMIF(119:119,G41,120:120)-SUMIF(119:119,C41,120:120)+100</f>
        <v>100</v>
      </c>
      <c r="I41" s="1168"/>
      <c r="J41" s="1143">
        <f>SUMIF(119:119,I41,120:120)-SUMIF(119:119,C41,120:120)+100</f>
        <v>100</v>
      </c>
      <c r="K41" s="1279"/>
      <c r="L41" s="1273"/>
      <c r="M41" s="1261"/>
      <c r="N41" s="1261"/>
      <c r="O41" s="1261"/>
      <c r="P41" s="3755"/>
      <c r="Q41" s="816" t="str">
        <f t="shared" si="11"/>
        <v>层高</v>
      </c>
      <c r="R41" s="1309" t="s">
        <v>1412</v>
      </c>
      <c r="S41" s="1310">
        <f t="shared" si="12"/>
        <v>100</v>
      </c>
      <c r="T41" s="1309" t="s">
        <v>1412</v>
      </c>
      <c r="U41" s="1310">
        <f t="shared" si="13"/>
        <v>100</v>
      </c>
      <c r="V41" s="1309" t="s">
        <v>1412</v>
      </c>
      <c r="W41" s="1310">
        <f t="shared" si="14"/>
        <v>100</v>
      </c>
      <c r="X41" s="1303"/>
      <c r="Y41" s="3703"/>
      <c r="Z41" s="1293" t="str">
        <f t="shared" si="15"/>
        <v>层高</v>
      </c>
      <c r="AA41" s="1320">
        <f t="shared" si="3"/>
        <v>1</v>
      </c>
      <c r="AB41" s="1320">
        <f t="shared" si="4"/>
        <v>1</v>
      </c>
      <c r="AC41" s="1624">
        <f t="shared" si="5"/>
        <v>1</v>
      </c>
    </row>
    <row r="42" spans="1:29" s="1095" customFormat="1" ht="15">
      <c r="A42" s="1190"/>
      <c r="B42" s="1288" t="s">
        <v>2012</v>
      </c>
      <c r="C42" s="1142"/>
      <c r="D42" s="1143">
        <v>100</v>
      </c>
      <c r="E42" s="1142"/>
      <c r="F42" s="1498">
        <f>SUMIF(121:121,E42,122:122)-SUMIF(121:121,C42,122:122)+100</f>
        <v>100</v>
      </c>
      <c r="G42" s="1142"/>
      <c r="H42" s="1143">
        <f>SUMIF(121:121,G42,122:122)-SUMIF(121:121,C42,122:122)+100</f>
        <v>100</v>
      </c>
      <c r="I42" s="1142"/>
      <c r="J42" s="1143">
        <f>SUMIF(121:121,I42,122:122)-SUMIF(121:121,C42,122:122)+100</f>
        <v>100</v>
      </c>
      <c r="K42" s="1278"/>
      <c r="L42" s="1271"/>
      <c r="M42" s="1280"/>
      <c r="N42" s="1280"/>
      <c r="O42" s="1280"/>
      <c r="P42" s="3755"/>
      <c r="Q42" s="1537" t="str">
        <f t="shared" si="11"/>
        <v>单套建筑面积</v>
      </c>
      <c r="R42" s="1311" t="s">
        <v>1412</v>
      </c>
      <c r="S42" s="1312">
        <f t="shared" si="12"/>
        <v>100</v>
      </c>
      <c r="T42" s="1311" t="s">
        <v>1412</v>
      </c>
      <c r="U42" s="1312">
        <f t="shared" si="13"/>
        <v>100</v>
      </c>
      <c r="V42" s="1311" t="s">
        <v>1412</v>
      </c>
      <c r="W42" s="1312">
        <f t="shared" si="14"/>
        <v>100</v>
      </c>
      <c r="X42" s="1313"/>
      <c r="Y42" s="3703"/>
      <c r="Z42" s="1321" t="str">
        <f t="shared" si="15"/>
        <v>单套建筑面积</v>
      </c>
      <c r="AA42" s="1320">
        <f t="shared" si="3"/>
        <v>1</v>
      </c>
      <c r="AB42" s="1320">
        <f t="shared" si="4"/>
        <v>1</v>
      </c>
      <c r="AC42" s="1624">
        <f t="shared" si="5"/>
        <v>1</v>
      </c>
    </row>
    <row r="43" spans="1:29" ht="15">
      <c r="A43" s="1185"/>
      <c r="B43" s="1131" t="s">
        <v>1972</v>
      </c>
      <c r="C43" s="1508"/>
      <c r="D43" s="1143">
        <v>100</v>
      </c>
      <c r="E43" s="1508"/>
      <c r="F43" s="1498">
        <f>SUMIF(123:123,E43,124:124)-SUMIF(123:123,C43,124:124)+100</f>
        <v>100</v>
      </c>
      <c r="G43" s="1508"/>
      <c r="H43" s="1143">
        <f>SUMIF(123:123,G43,124:124)-SUMIF(123:123,C43,124:124)+100</f>
        <v>100</v>
      </c>
      <c r="I43" s="1508"/>
      <c r="J43" s="1143">
        <f>SUMIF(123:123,I43,124:124)-SUMIF(123:123,C43,124:124)+100</f>
        <v>100</v>
      </c>
      <c r="K43" s="1279"/>
      <c r="L43" s="1273"/>
      <c r="M43" s="1261"/>
      <c r="N43" s="1261"/>
      <c r="O43" s="1261"/>
      <c r="P43" s="3755"/>
      <c r="Q43" s="816" t="str">
        <f t="shared" si="11"/>
        <v>内部装修</v>
      </c>
      <c r="R43" s="1309" t="s">
        <v>1412</v>
      </c>
      <c r="S43" s="1310">
        <f t="shared" si="12"/>
        <v>100</v>
      </c>
      <c r="T43" s="1309" t="s">
        <v>1412</v>
      </c>
      <c r="U43" s="1310">
        <f t="shared" si="13"/>
        <v>100</v>
      </c>
      <c r="V43" s="1309" t="s">
        <v>1412</v>
      </c>
      <c r="W43" s="1310">
        <f t="shared" si="14"/>
        <v>100</v>
      </c>
      <c r="X43" s="1303"/>
      <c r="Y43" s="3703"/>
      <c r="Z43" s="1293" t="str">
        <f t="shared" si="15"/>
        <v>内部装修</v>
      </c>
      <c r="AA43" s="1320">
        <f t="shared" si="3"/>
        <v>1</v>
      </c>
      <c r="AB43" s="1320">
        <f t="shared" si="4"/>
        <v>1</v>
      </c>
      <c r="AC43" s="1624">
        <f t="shared" si="5"/>
        <v>1</v>
      </c>
    </row>
    <row r="44" spans="1:29" ht="15">
      <c r="A44" s="1185"/>
      <c r="B44" s="1131" t="s">
        <v>1973</v>
      </c>
      <c r="C44" s="1508"/>
      <c r="D44" s="1143">
        <v>100</v>
      </c>
      <c r="E44" s="1186"/>
      <c r="F44" s="1498">
        <f>SUMIF(125:125,E44,126:126)-SUMIF(125:125,C44,126:126)+100</f>
        <v>100</v>
      </c>
      <c r="G44" s="1186"/>
      <c r="H44" s="1143">
        <f>SUMIF(125:125,G44,126:126)-SUMIF(125:125,C44,126:126)+100</f>
        <v>100</v>
      </c>
      <c r="I44" s="1186"/>
      <c r="J44" s="1143">
        <f>SUMIF(125:125,I44,126:126)-SUMIF(125:125,C44,126:126)+100</f>
        <v>100</v>
      </c>
      <c r="K44" s="1279"/>
      <c r="L44" s="1273"/>
      <c r="M44" s="1261"/>
      <c r="N44" s="1261"/>
      <c r="O44" s="1261"/>
      <c r="P44" s="3755"/>
      <c r="Q44" s="816" t="str">
        <f t="shared" si="11"/>
        <v>内部装修维护情况</v>
      </c>
      <c r="R44" s="1309" t="s">
        <v>1412</v>
      </c>
      <c r="S44" s="1310">
        <f t="shared" si="12"/>
        <v>100</v>
      </c>
      <c r="T44" s="1309" t="s">
        <v>1412</v>
      </c>
      <c r="U44" s="1310">
        <f t="shared" si="13"/>
        <v>100</v>
      </c>
      <c r="V44" s="1309" t="s">
        <v>1412</v>
      </c>
      <c r="W44" s="1310">
        <f t="shared" si="14"/>
        <v>100</v>
      </c>
      <c r="X44" s="1303"/>
      <c r="Y44" s="3703"/>
      <c r="Z44" s="1293" t="str">
        <f t="shared" si="15"/>
        <v>内部装修维护情况</v>
      </c>
      <c r="AA44" s="1320">
        <f t="shared" si="3"/>
        <v>1</v>
      </c>
      <c r="AB44" s="1320">
        <f t="shared" si="4"/>
        <v>1</v>
      </c>
      <c r="AC44" s="1624">
        <f t="shared" si="5"/>
        <v>1</v>
      </c>
    </row>
    <row r="45" spans="1:29" s="1093" customFormat="1" ht="15">
      <c r="A45" s="1187"/>
      <c r="B45" s="1449">
        <v>111</v>
      </c>
      <c r="C45" s="1492"/>
      <c r="D45" s="1133">
        <v>100</v>
      </c>
      <c r="E45" s="1132"/>
      <c r="F45" s="1491">
        <f>SUMIF(127:127,E45,128:128)-SUMIF(127:127,C45,128:128)+100</f>
        <v>100</v>
      </c>
      <c r="G45" s="1132"/>
      <c r="H45" s="1133">
        <f>SUMIF(127:127,G45,128:128)-SUMIF(127:127,C45,128:128)+100</f>
        <v>100</v>
      </c>
      <c r="I45" s="1132"/>
      <c r="J45" s="1133">
        <f>SUMIF(127:127,I45,128:128)-SUMIF(127:127,C45,128:128)+100</f>
        <v>100</v>
      </c>
      <c r="K45" s="1278"/>
      <c r="L45" s="1263"/>
      <c r="M45" s="1264"/>
      <c r="N45" s="1264"/>
      <c r="O45" s="1264"/>
      <c r="P45" s="3755"/>
      <c r="Q45" s="1308">
        <f t="shared" si="11"/>
        <v>111</v>
      </c>
      <c r="R45" s="1304" t="s">
        <v>1412</v>
      </c>
      <c r="S45" s="1305">
        <f t="shared" si="12"/>
        <v>100</v>
      </c>
      <c r="T45" s="1304" t="s">
        <v>1412</v>
      </c>
      <c r="U45" s="1305">
        <f t="shared" si="13"/>
        <v>100</v>
      </c>
      <c r="V45" s="1304" t="s">
        <v>1412</v>
      </c>
      <c r="W45" s="1305">
        <f t="shared" si="14"/>
        <v>100</v>
      </c>
      <c r="X45" s="1306"/>
      <c r="Y45" s="3703"/>
      <c r="Z45" s="1319">
        <f t="shared" si="15"/>
        <v>111</v>
      </c>
      <c r="AA45" s="1318">
        <f t="shared" si="3"/>
        <v>1</v>
      </c>
      <c r="AB45" s="1318">
        <f t="shared" si="4"/>
        <v>1</v>
      </c>
      <c r="AC45" s="1623">
        <f t="shared" si="5"/>
        <v>1</v>
      </c>
    </row>
    <row r="46" spans="1:29" ht="15">
      <c r="A46" s="1185"/>
      <c r="B46" s="1449">
        <v>111</v>
      </c>
      <c r="C46" s="1142"/>
      <c r="D46" s="1143">
        <v>100</v>
      </c>
      <c r="E46" s="1132"/>
      <c r="F46" s="1498">
        <f>SUMIF(129:129,E46,130:130)-SUMIF(129:129,C46,130:130)+100</f>
        <v>100</v>
      </c>
      <c r="G46" s="1132"/>
      <c r="H46" s="1143">
        <f>SUMIF(129:129,G46,130:130)-SUMIF(129:129,C46,130:130)+100</f>
        <v>100</v>
      </c>
      <c r="I46" s="1132"/>
      <c r="J46" s="1143">
        <f>SUMIF(129:129,I46,130:130)-SUMIF(129:129,C46,130:130)+100</f>
        <v>100</v>
      </c>
      <c r="K46" s="1278"/>
      <c r="L46" s="1273"/>
      <c r="M46" s="1261"/>
      <c r="N46" s="1261"/>
      <c r="O46" s="1261"/>
      <c r="P46" s="3755"/>
      <c r="Q46" s="816">
        <f t="shared" si="11"/>
        <v>111</v>
      </c>
      <c r="R46" s="1309" t="s">
        <v>1412</v>
      </c>
      <c r="S46" s="1310">
        <f t="shared" si="12"/>
        <v>100</v>
      </c>
      <c r="T46" s="1309" t="s">
        <v>1412</v>
      </c>
      <c r="U46" s="1310">
        <f t="shared" si="13"/>
        <v>100</v>
      </c>
      <c r="V46" s="1309" t="s">
        <v>1412</v>
      </c>
      <c r="W46" s="1310">
        <f t="shared" si="14"/>
        <v>100</v>
      </c>
      <c r="X46" s="1303"/>
      <c r="Y46" s="3703"/>
      <c r="Z46" s="1293">
        <f t="shared" si="15"/>
        <v>111</v>
      </c>
      <c r="AA46" s="1320">
        <f t="shared" si="3"/>
        <v>1</v>
      </c>
      <c r="AB46" s="1320">
        <f t="shared" si="4"/>
        <v>1</v>
      </c>
      <c r="AC46" s="1624">
        <f t="shared" si="5"/>
        <v>1</v>
      </c>
    </row>
    <row r="47" spans="1:29" ht="15">
      <c r="A47" s="1510"/>
      <c r="B47" s="1145">
        <v>111</v>
      </c>
      <c r="C47" s="1146"/>
      <c r="D47" s="1147">
        <v>100</v>
      </c>
      <c r="E47" s="1132"/>
      <c r="F47" s="1511">
        <f>SUMIF(131:131,E47,132:132)-SUMIF(131:131,C47,132:132)+100</f>
        <v>100</v>
      </c>
      <c r="G47" s="1132"/>
      <c r="H47" s="1147">
        <f>SUMIF(131:131,G47,132:132)-SUMIF(131:131,C47,132:132)+100</f>
        <v>100</v>
      </c>
      <c r="I47" s="1132"/>
      <c r="J47" s="1147">
        <f>SUMIF(131:131,I47,132:132)-SUMIF(131:131,C47,132:132)+100</f>
        <v>100</v>
      </c>
      <c r="K47" s="1278"/>
      <c r="L47" s="1273"/>
      <c r="M47" s="1261"/>
      <c r="N47" s="1261"/>
      <c r="O47" s="1261"/>
      <c r="P47" s="3756"/>
      <c r="Q47" s="816">
        <f t="shared" si="11"/>
        <v>111</v>
      </c>
      <c r="R47" s="1309" t="s">
        <v>1412</v>
      </c>
      <c r="S47" s="1310">
        <f t="shared" si="12"/>
        <v>100</v>
      </c>
      <c r="T47" s="1309" t="s">
        <v>1412</v>
      </c>
      <c r="U47" s="1310">
        <f t="shared" si="13"/>
        <v>100</v>
      </c>
      <c r="V47" s="1309" t="s">
        <v>1412</v>
      </c>
      <c r="W47" s="1310">
        <f t="shared" si="14"/>
        <v>100</v>
      </c>
      <c r="X47" s="1303"/>
      <c r="Y47" s="3757"/>
      <c r="Z47" s="1293">
        <f t="shared" si="15"/>
        <v>111</v>
      </c>
      <c r="AA47" s="1320">
        <f t="shared" si="3"/>
        <v>1</v>
      </c>
      <c r="AB47" s="1320">
        <f t="shared" si="4"/>
        <v>1</v>
      </c>
      <c r="AC47" s="1624">
        <f t="shared" si="5"/>
        <v>1</v>
      </c>
    </row>
    <row r="48" spans="1:29" ht="15">
      <c r="A48" s="1192" t="s">
        <v>1974</v>
      </c>
      <c r="B48" s="1512"/>
      <c r="C48" s="1513" t="s">
        <v>124</v>
      </c>
      <c r="D48" s="1514"/>
      <c r="E48" s="1515"/>
      <c r="F48" s="1516"/>
      <c r="G48" s="1517"/>
      <c r="H48" s="1518"/>
      <c r="I48" s="1515"/>
      <c r="J48" s="1199"/>
      <c r="K48" s="1284"/>
      <c r="L48" s="1285"/>
      <c r="M48" s="1261"/>
      <c r="N48" s="1261"/>
      <c r="O48" s="1261"/>
      <c r="P48" s="3751" t="str">
        <f>A48</f>
        <v>成交单价（元/平方米）</v>
      </c>
      <c r="Q48" s="3695"/>
      <c r="R48" s="3696">
        <f>E48</f>
        <v>0</v>
      </c>
      <c r="S48" s="3696"/>
      <c r="T48" s="3696">
        <f>G48</f>
        <v>0</v>
      </c>
      <c r="U48" s="3696"/>
      <c r="V48" s="3696">
        <f>I48</f>
        <v>0</v>
      </c>
      <c r="W48" s="3696"/>
      <c r="X48" s="1443"/>
      <c r="Y48" s="1322"/>
      <c r="Z48" s="1443"/>
      <c r="AA48" s="1443"/>
      <c r="AB48" s="1443"/>
      <c r="AC48" s="1153"/>
    </row>
    <row r="49" spans="1:29" ht="15">
      <c r="A49" s="1200" t="s">
        <v>1451</v>
      </c>
      <c r="B49" s="1519"/>
      <c r="C49" s="1520" t="e">
        <f>R50</f>
        <v>#DIV/0!</v>
      </c>
      <c r="D49" s="1203" t="s">
        <v>1452</v>
      </c>
      <c r="E49" s="1521" t="e">
        <f>R49</f>
        <v>#DIV/0!</v>
      </c>
      <c r="F49" s="1204"/>
      <c r="G49" s="1520" t="e">
        <f>T49</f>
        <v>#DIV/0!</v>
      </c>
      <c r="H49" s="1204"/>
      <c r="I49" s="1521" t="e">
        <f>V49</f>
        <v>#DIV/0!</v>
      </c>
      <c r="J49" s="1204"/>
      <c r="K49" s="1286">
        <f>F49+H49+J49</f>
        <v>0</v>
      </c>
      <c r="L49" s="1285"/>
      <c r="M49" s="1261"/>
      <c r="N49" s="1261"/>
      <c r="O49" s="1261"/>
      <c r="P49" s="3751"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1443"/>
      <c r="Y49" s="1443"/>
      <c r="Z49" s="1443"/>
      <c r="AA49" s="1443"/>
      <c r="AB49" s="1443"/>
      <c r="AC49" s="1153"/>
    </row>
    <row r="50" spans="1:29" ht="15">
      <c r="A50" s="1206" t="s">
        <v>1975</v>
      </c>
      <c r="B50" s="1207"/>
      <c r="C50" s="1522" t="e">
        <f>R50</f>
        <v>#DIV/0!</v>
      </c>
      <c r="D50" s="1522"/>
      <c r="E50" s="1522"/>
      <c r="F50" s="1522"/>
      <c r="G50" s="1522"/>
      <c r="H50" s="1522"/>
      <c r="I50" s="1522"/>
      <c r="J50" s="1208"/>
      <c r="K50" s="1287"/>
      <c r="L50" s="1285"/>
      <c r="M50" s="1261"/>
      <c r="N50" s="1261"/>
      <c r="O50" s="1261"/>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621"/>
      <c r="Y50" s="1621"/>
      <c r="Z50" s="1621"/>
      <c r="AA50" s="1621"/>
      <c r="AB50" s="1621"/>
      <c r="AC50" s="1625"/>
    </row>
    <row r="51" spans="1:29">
      <c r="A51" s="1209"/>
      <c r="B51" s="1209"/>
      <c r="C51" s="1209"/>
      <c r="D51" s="1209"/>
      <c r="E51" s="1209"/>
      <c r="F51" s="1209"/>
      <c r="G51" s="1210"/>
      <c r="H51" s="1209"/>
      <c r="I51" s="1209"/>
      <c r="J51" s="1209"/>
      <c r="K51" s="1289"/>
      <c r="L51" s="1290"/>
      <c r="M51" s="1209"/>
      <c r="N51" s="1209"/>
      <c r="O51" s="1209"/>
      <c r="P51" s="1613"/>
      <c r="Q51" s="1209"/>
      <c r="R51" s="1209"/>
      <c r="S51" s="1209"/>
      <c r="T51" s="1209"/>
      <c r="U51" s="1209"/>
      <c r="V51" s="1209"/>
      <c r="W51" s="1209"/>
      <c r="X51" s="1209"/>
      <c r="Y51" s="1209"/>
      <c r="Z51" s="1209"/>
      <c r="AA51" s="1209"/>
      <c r="AB51" s="1209"/>
      <c r="AC51" s="1209"/>
    </row>
    <row r="52" spans="1:29">
      <c r="A52" s="1209"/>
      <c r="B52" s="1209"/>
      <c r="C52" s="1209"/>
      <c r="D52" s="1209"/>
      <c r="E52" s="1209"/>
      <c r="F52" s="1209"/>
      <c r="G52" s="1209"/>
      <c r="H52" s="1209"/>
      <c r="I52" s="1209"/>
      <c r="J52" s="1209"/>
      <c r="K52" s="1289"/>
      <c r="L52" s="1290"/>
      <c r="M52" s="1209"/>
      <c r="N52" s="1209"/>
      <c r="O52" s="1209"/>
      <c r="P52" s="1613"/>
      <c r="Q52" s="1209"/>
      <c r="R52" s="1209"/>
      <c r="S52" s="1209"/>
      <c r="T52" s="1209"/>
      <c r="U52" s="1209"/>
      <c r="V52" s="1209"/>
      <c r="W52" s="1209"/>
      <c r="X52" s="1209"/>
      <c r="Y52" s="1209"/>
      <c r="Z52" s="1209"/>
      <c r="AA52" s="1209"/>
      <c r="AB52" s="1209"/>
      <c r="AC52" s="1209"/>
    </row>
    <row r="53" spans="1:29" ht="13.5" customHeight="1">
      <c r="A53" s="1209"/>
      <c r="B53" s="1209"/>
      <c r="C53" s="1211" t="s">
        <v>1454</v>
      </c>
      <c r="D53" s="860"/>
      <c r="E53" s="1212" t="e">
        <f>IF(E48&lt;E49,E49/E48-1,E48/E49-1)</f>
        <v>#DIV/0!</v>
      </c>
      <c r="F53" s="1213" t="e">
        <f>IF(OR(E53&gt;=0.3,E53&lt;=-0.3),"超过30%","")</f>
        <v>#DIV/0!</v>
      </c>
      <c r="G53" s="1212" t="e">
        <f>IF(G48&lt;G49,G49/G48-1,G48/G49-1)</f>
        <v>#DIV/0!</v>
      </c>
      <c r="H53" s="1213" t="e">
        <f>IF(OR(G53&gt;=0.3,G53&lt;=-0.3),"超过30%","")</f>
        <v>#DIV/0!</v>
      </c>
      <c r="I53" s="1212" t="e">
        <f>IF(I48&lt;I49,I49/I48-1,I48/I49-1)</f>
        <v>#DIV/0!</v>
      </c>
      <c r="J53" s="1213" t="e">
        <f>IF(OR(I53&gt;=0.3,I53&lt;=-0.3),"超过30%","")</f>
        <v>#DIV/0!</v>
      </c>
      <c r="K53" s="1289"/>
      <c r="L53" s="1290"/>
      <c r="M53" s="1209"/>
      <c r="N53" s="1209"/>
      <c r="O53" s="1209"/>
      <c r="P53" s="1613"/>
      <c r="Q53" s="1209"/>
      <c r="R53" s="1209"/>
      <c r="S53" s="1209"/>
      <c r="T53" s="1209"/>
      <c r="U53" s="1209"/>
      <c r="V53" s="1209"/>
      <c r="W53" s="1209"/>
      <c r="X53" s="1209"/>
      <c r="Y53" s="1209"/>
      <c r="Z53" s="1209"/>
      <c r="AA53" s="1209"/>
      <c r="AB53" s="1209"/>
      <c r="AC53" s="1209"/>
    </row>
    <row r="54" spans="1:29" ht="13.5" customHeight="1">
      <c r="A54" s="1209"/>
      <c r="B54" s="1209"/>
      <c r="C54" s="1211" t="s">
        <v>1455</v>
      </c>
      <c r="D54" s="859"/>
      <c r="E54" s="1212" t="e">
        <f>IF(E49&lt;G49,G49/E49-1,E49/G49-1)</f>
        <v>#DIV/0!</v>
      </c>
      <c r="F54" s="1213" t="e">
        <f>IF(OR(E54&gt;=0.2,E54&lt;=-0.2),"超过20%","")</f>
        <v>#DIV/0!</v>
      </c>
      <c r="G54" s="1212" t="e">
        <f>IF(G49&lt;I49,I49/G49-1,G49/I49-1)</f>
        <v>#DIV/0!</v>
      </c>
      <c r="H54" s="1213" t="e">
        <f>IF(OR(G54&gt;=0.2,G54&lt;=-0.2),"超过20%","")</f>
        <v>#DIV/0!</v>
      </c>
      <c r="I54" s="1212" t="e">
        <f>IF(I49&lt;E49,E49/I49-1,I49/E49-1)</f>
        <v>#DIV/0!</v>
      </c>
      <c r="J54" s="1213" t="e">
        <f>IF(OR(I54&gt;=0.2,I54&lt;=-0.2),"超过20%","")</f>
        <v>#DIV/0!</v>
      </c>
      <c r="K54" s="1289"/>
      <c r="L54" s="1290"/>
      <c r="M54" s="1209"/>
      <c r="N54" s="1209"/>
      <c r="O54" s="1209"/>
      <c r="P54" s="1613"/>
      <c r="Q54" s="1209"/>
      <c r="R54" s="1209"/>
      <c r="S54" s="1209"/>
      <c r="T54" s="1209"/>
      <c r="U54" s="1209"/>
      <c r="V54" s="1209"/>
      <c r="W54" s="1209"/>
      <c r="X54" s="1209"/>
      <c r="Y54" s="1209"/>
      <c r="Z54" s="1209"/>
      <c r="AA54" s="1209"/>
      <c r="AB54" s="1209"/>
      <c r="AC54" s="1209"/>
    </row>
    <row r="55" spans="1:29" s="1096" customFormat="1" ht="13.5" customHeight="1">
      <c r="A55" s="1214"/>
      <c r="B55" s="1214"/>
      <c r="C55" s="1211" t="s">
        <v>1456</v>
      </c>
      <c r="D55" s="859"/>
      <c r="E55" s="1212" t="e">
        <f>IF(E48&lt;G48,G48/E48-1,E48/G48-1)</f>
        <v>#DIV/0!</v>
      </c>
      <c r="F55" s="1213" t="e">
        <f>IF(OR(E55&gt;=0.3,E55&lt;=-0.3),"超过30%","")</f>
        <v>#DIV/0!</v>
      </c>
      <c r="G55" s="1212" t="e">
        <f>IF(G48&lt;I48,I48/G48-1,G48/I48-1)</f>
        <v>#DIV/0!</v>
      </c>
      <c r="H55" s="1213" t="e">
        <f>IF(OR(G55&gt;=0.3,G55&lt;=-0.3),"超过30%","")</f>
        <v>#DIV/0!</v>
      </c>
      <c r="I55" s="1212" t="e">
        <f>IF(I48&lt;E48,E48/I48-1,I48/E48-1)</f>
        <v>#DIV/0!</v>
      </c>
      <c r="J55" s="1213" t="e">
        <f>IF(OR(I55&gt;=0.3,I55&lt;=-0.3),"超过30%","")</f>
        <v>#DIV/0!</v>
      </c>
      <c r="K55" s="1291"/>
      <c r="L55" s="1292"/>
      <c r="M55" s="1214"/>
      <c r="N55" s="1214"/>
      <c r="O55" s="1214"/>
      <c r="P55" s="1614"/>
      <c r="Q55" s="1214"/>
      <c r="R55" s="1214"/>
      <c r="S55" s="1214"/>
      <c r="T55" s="1214"/>
      <c r="U55" s="1214"/>
      <c r="V55" s="1214"/>
      <c r="W55" s="1214"/>
      <c r="X55" s="1214"/>
      <c r="Y55" s="1214"/>
      <c r="Z55" s="1214"/>
      <c r="AA55" s="1214"/>
      <c r="AB55" s="1214"/>
      <c r="AC55" s="1214"/>
    </row>
    <row r="56" spans="1:29" s="1096" customFormat="1">
      <c r="A56" s="1214"/>
      <c r="B56" s="1215"/>
      <c r="C56" s="1523"/>
      <c r="D56" s="1214"/>
      <c r="E56" s="1214"/>
      <c r="F56" s="1214"/>
      <c r="G56" s="1214"/>
      <c r="H56" s="1214"/>
      <c r="I56" s="1214"/>
      <c r="J56" s="1214"/>
      <c r="K56" s="1291"/>
      <c r="L56" s="1292"/>
      <c r="M56" s="1214"/>
      <c r="N56" s="1214"/>
      <c r="O56" s="1214"/>
      <c r="P56" s="1614"/>
      <c r="Q56" s="1214"/>
      <c r="R56" s="1214"/>
      <c r="S56" s="1214"/>
      <c r="T56" s="1214"/>
      <c r="U56" s="1214"/>
      <c r="V56" s="1214"/>
      <c r="W56" s="1214"/>
      <c r="X56" s="1214"/>
      <c r="Y56" s="1214"/>
      <c r="Z56" s="1214"/>
      <c r="AA56" s="1214"/>
      <c r="AB56" s="1214"/>
      <c r="AC56" s="1214"/>
    </row>
    <row r="57" spans="1:29">
      <c r="A57" s="1209"/>
      <c r="B57" s="1215"/>
      <c r="C57" s="1523"/>
      <c r="D57" s="1209"/>
      <c r="E57" s="1209"/>
      <c r="F57" s="1209"/>
      <c r="G57" s="1209"/>
      <c r="H57" s="1209"/>
      <c r="I57" s="1209"/>
      <c r="J57" s="1209"/>
      <c r="K57" s="1289"/>
      <c r="L57" s="1290"/>
      <c r="M57" s="1209"/>
      <c r="N57" s="1209"/>
      <c r="O57" s="1209"/>
      <c r="P57" s="1613"/>
      <c r="Q57" s="1209"/>
      <c r="R57" s="1209"/>
      <c r="S57" s="1209"/>
      <c r="T57" s="1209"/>
      <c r="U57" s="1209"/>
      <c r="V57" s="1209"/>
      <c r="W57" s="1209"/>
      <c r="X57" s="1209"/>
      <c r="Y57" s="1209"/>
      <c r="Z57" s="1209"/>
      <c r="AA57" s="1209"/>
      <c r="AB57" s="1209"/>
      <c r="AC57" s="1209"/>
    </row>
    <row r="58" spans="1:29" ht="21">
      <c r="A58" s="1248" t="s">
        <v>1457</v>
      </c>
      <c r="B58" s="1249"/>
      <c r="C58" s="1250"/>
      <c r="D58" s="1250"/>
      <c r="E58" s="1250"/>
      <c r="F58" s="1251"/>
      <c r="G58" s="1251"/>
      <c r="H58" s="1250"/>
      <c r="I58" s="1250"/>
      <c r="J58" s="1250"/>
      <c r="K58" s="1299"/>
      <c r="L58" s="1468"/>
      <c r="M58" s="1301"/>
      <c r="N58" s="1302"/>
      <c r="O58" s="1302"/>
      <c r="P58" s="1615"/>
      <c r="Q58" s="1314"/>
      <c r="R58" s="1209"/>
      <c r="S58" s="1209"/>
      <c r="T58" s="1209"/>
      <c r="U58" s="1209"/>
      <c r="V58" s="1209"/>
      <c r="W58" s="1209"/>
      <c r="X58" s="1209"/>
      <c r="Y58" s="1209"/>
      <c r="Z58" s="1209"/>
      <c r="AA58" s="1209"/>
      <c r="AB58" s="1209"/>
      <c r="AC58" s="1209"/>
    </row>
    <row r="59" spans="1:29" s="1098" customFormat="1" ht="15">
      <c r="A59" s="1524" t="s">
        <v>1410</v>
      </c>
      <c r="B59" s="1525"/>
      <c r="C59" s="1526" t="str">
        <f>YEAR(C7)&amp;"-"&amp;MONTH(C7)</f>
        <v>2025-9</v>
      </c>
      <c r="D59" s="1527">
        <f>EDATE(C59,-1)</f>
        <v>45870</v>
      </c>
      <c r="E59" s="1527">
        <f>EDATE(D59,-1)</f>
        <v>45839</v>
      </c>
      <c r="F59" s="1527">
        <f t="shared" ref="F59:O59" si="16">EDATE(E59,-1)</f>
        <v>45809</v>
      </c>
      <c r="G59" s="1527">
        <f t="shared" si="16"/>
        <v>45778</v>
      </c>
      <c r="H59" s="1527">
        <f t="shared" si="16"/>
        <v>45748</v>
      </c>
      <c r="I59" s="1527">
        <f t="shared" si="16"/>
        <v>45717</v>
      </c>
      <c r="J59" s="1527">
        <f t="shared" si="16"/>
        <v>45689</v>
      </c>
      <c r="K59" s="1527">
        <f t="shared" si="16"/>
        <v>45658</v>
      </c>
      <c r="L59" s="1527">
        <f t="shared" si="16"/>
        <v>45627</v>
      </c>
      <c r="M59" s="1527">
        <f t="shared" si="16"/>
        <v>45597</v>
      </c>
      <c r="N59" s="1527">
        <f t="shared" si="16"/>
        <v>45566</v>
      </c>
      <c r="O59" s="1527">
        <f t="shared" si="16"/>
        <v>45536</v>
      </c>
      <c r="P59" s="1616"/>
      <c r="Q59" s="1433"/>
      <c r="R59" s="1433"/>
      <c r="S59" s="1433"/>
      <c r="T59" s="1433"/>
      <c r="U59" s="1433"/>
      <c r="V59" s="1433"/>
      <c r="W59" s="1433"/>
      <c r="X59" s="1433"/>
      <c r="Y59" s="1433"/>
      <c r="Z59" s="1433"/>
      <c r="AA59" s="1433"/>
      <c r="AB59" s="1433"/>
      <c r="AC59" s="1433"/>
    </row>
    <row r="60" spans="1:29" s="1093" customFormat="1" ht="15">
      <c r="A60" s="1528"/>
      <c r="B60" s="1334"/>
      <c r="C60" s="1529">
        <v>100</v>
      </c>
      <c r="D60" s="1338"/>
      <c r="E60" s="1338"/>
      <c r="F60" s="1338"/>
      <c r="G60" s="1338"/>
      <c r="H60" s="1338"/>
      <c r="I60" s="1338"/>
      <c r="J60" s="1338"/>
      <c r="K60" s="1338"/>
      <c r="L60" s="1338"/>
      <c r="M60" s="1536"/>
      <c r="N60" s="1338"/>
      <c r="O60" s="1536"/>
      <c r="P60" s="1617"/>
      <c r="Q60" s="1434"/>
      <c r="R60" s="1434"/>
      <c r="S60" s="1434"/>
      <c r="T60" s="1434"/>
      <c r="U60" s="1434"/>
      <c r="V60" s="1434"/>
      <c r="W60" s="1434"/>
      <c r="X60" s="1434"/>
      <c r="Y60" s="1434"/>
      <c r="Z60" s="1434"/>
      <c r="AA60" s="1434"/>
      <c r="AB60" s="1434"/>
      <c r="AC60" s="1434"/>
    </row>
    <row r="61" spans="1:29" s="1093" customFormat="1" ht="15">
      <c r="A61" s="1329" t="s">
        <v>1458</v>
      </c>
      <c r="B61" s="1330"/>
      <c r="C61" s="1331"/>
      <c r="D61" s="1332"/>
      <c r="E61" s="1332"/>
      <c r="F61" s="1332"/>
      <c r="G61" s="1332"/>
      <c r="H61" s="1332"/>
      <c r="I61" s="1332"/>
      <c r="J61" s="1332"/>
      <c r="K61" s="1332"/>
      <c r="L61" s="1332"/>
      <c r="M61" s="1380"/>
      <c r="N61" s="1332"/>
      <c r="O61" s="1380"/>
      <c r="P61" s="1617"/>
      <c r="Q61" s="1314"/>
      <c r="R61" s="1434"/>
      <c r="S61" s="1434"/>
      <c r="T61" s="1434"/>
      <c r="U61" s="1434"/>
      <c r="V61" s="1434"/>
      <c r="W61" s="1434"/>
      <c r="X61" s="1434"/>
      <c r="Y61" s="1434"/>
      <c r="Z61" s="1434"/>
      <c r="AA61" s="1434"/>
      <c r="AB61" s="1434"/>
      <c r="AC61" s="1434"/>
    </row>
    <row r="62" spans="1:29" s="1093" customFormat="1" ht="15">
      <c r="A62" s="1333" t="s">
        <v>1413</v>
      </c>
      <c r="B62" s="1334"/>
      <c r="C62" s="1335" t="s">
        <v>1459</v>
      </c>
      <c r="D62" s="1336"/>
      <c r="E62" s="1336"/>
      <c r="F62" s="1336"/>
      <c r="G62" s="1336"/>
      <c r="H62" s="1336"/>
      <c r="I62" s="1336"/>
      <c r="J62" s="1336"/>
      <c r="K62" s="1336"/>
      <c r="L62" s="1382"/>
      <c r="M62" s="1383"/>
      <c r="N62" s="1384"/>
      <c r="O62" s="1384"/>
      <c r="P62" s="1618"/>
      <c r="Q62" s="1314"/>
      <c r="R62" s="1434"/>
      <c r="S62" s="1434"/>
      <c r="T62" s="1434"/>
      <c r="U62" s="1434"/>
      <c r="V62" s="1434"/>
      <c r="W62" s="1434"/>
      <c r="X62" s="1434"/>
      <c r="Y62" s="1434"/>
      <c r="Z62" s="1434"/>
      <c r="AA62" s="1434"/>
      <c r="AB62" s="1434"/>
      <c r="AC62" s="1434"/>
    </row>
    <row r="63" spans="1:29" s="1093" customFormat="1" ht="15">
      <c r="A63" s="1333"/>
      <c r="B63" s="1334"/>
      <c r="C63" s="1612">
        <v>100</v>
      </c>
      <c r="D63" s="1338"/>
      <c r="E63" s="1338"/>
      <c r="F63" s="1338"/>
      <c r="G63" s="1338"/>
      <c r="H63" s="1338"/>
      <c r="I63" s="1338"/>
      <c r="J63" s="1338"/>
      <c r="K63" s="1338"/>
      <c r="L63" s="1338"/>
      <c r="M63" s="1386"/>
      <c r="N63" s="1384"/>
      <c r="O63" s="1384"/>
      <c r="P63" s="1617"/>
      <c r="Q63" s="1314"/>
      <c r="R63" s="1434"/>
      <c r="S63" s="1434"/>
      <c r="T63" s="1434"/>
      <c r="U63" s="1434"/>
      <c r="V63" s="1434"/>
      <c r="W63" s="1434"/>
      <c r="X63" s="1434"/>
      <c r="Y63" s="1434"/>
      <c r="Z63" s="1434"/>
      <c r="AA63" s="1434"/>
      <c r="AB63" s="1434"/>
      <c r="AC63" s="1434"/>
    </row>
    <row r="64" spans="1:29">
      <c r="A64" s="1339" t="s">
        <v>1460</v>
      </c>
      <c r="B64" s="1340" t="s">
        <v>1417</v>
      </c>
      <c r="C64" s="1362">
        <f>C9</f>
        <v>0</v>
      </c>
      <c r="D64" s="1282"/>
      <c r="E64" s="1282"/>
      <c r="F64" s="1282"/>
      <c r="G64" s="1282"/>
      <c r="H64" s="1282"/>
      <c r="I64" s="1282"/>
      <c r="J64" s="1282"/>
      <c r="K64" s="1387"/>
      <c r="L64" s="1388"/>
      <c r="M64" s="1389"/>
      <c r="N64" s="1390"/>
      <c r="O64" s="1390"/>
      <c r="P64" s="1619"/>
      <c r="Q64" s="1314"/>
      <c r="R64" s="1209"/>
      <c r="S64" s="1209"/>
      <c r="T64" s="1209"/>
      <c r="U64" s="1209"/>
      <c r="V64" s="1209"/>
      <c r="W64" s="1209"/>
      <c r="X64" s="1209"/>
      <c r="Y64" s="1209"/>
      <c r="Z64" s="1209"/>
      <c r="AA64" s="1209"/>
      <c r="AB64" s="1209"/>
      <c r="AC64" s="1209"/>
    </row>
    <row r="65" spans="1:29" ht="15">
      <c r="A65" s="1341"/>
      <c r="B65" s="1342"/>
      <c r="C65" s="1343">
        <v>100</v>
      </c>
      <c r="D65" s="1343"/>
      <c r="E65" s="1343"/>
      <c r="F65" s="1343"/>
      <c r="G65" s="1343"/>
      <c r="H65" s="1343"/>
      <c r="I65" s="1343"/>
      <c r="J65" s="1343"/>
      <c r="K65" s="1343"/>
      <c r="L65" s="1343"/>
      <c r="M65" s="1392"/>
      <c r="N65" s="1393"/>
      <c r="O65" s="1393"/>
      <c r="P65" s="1619"/>
      <c r="Q65" s="1314"/>
      <c r="R65" s="1209"/>
      <c r="S65" s="1209"/>
      <c r="T65" s="1209"/>
      <c r="U65" s="1209"/>
      <c r="V65" s="1209"/>
      <c r="W65" s="1209"/>
      <c r="X65" s="1209"/>
      <c r="Y65" s="1209"/>
      <c r="Z65" s="1209"/>
      <c r="AA65" s="1209"/>
      <c r="AB65" s="1209"/>
      <c r="AC65" s="1209"/>
    </row>
    <row r="66" spans="1:29" ht="27">
      <c r="A66" s="1341"/>
      <c r="B66" s="1344" t="s">
        <v>1420</v>
      </c>
      <c r="C66" s="1369"/>
      <c r="D66" s="1369"/>
      <c r="E66" s="1369"/>
      <c r="F66" s="1369"/>
      <c r="G66" s="1369"/>
      <c r="H66" s="1369"/>
      <c r="I66" s="1369"/>
      <c r="J66" s="1369"/>
      <c r="K66" s="1420"/>
      <c r="L66" s="1421"/>
      <c r="M66" s="1422"/>
      <c r="N66" s="1390"/>
      <c r="O66" s="1390"/>
      <c r="P66" s="1619"/>
      <c r="Q66" s="1314"/>
      <c r="R66" s="1209"/>
      <c r="S66" s="1209"/>
      <c r="T66" s="1209"/>
      <c r="U66" s="1209"/>
      <c r="V66" s="1209"/>
      <c r="W66" s="1209"/>
      <c r="X66" s="1209"/>
      <c r="Y66" s="1209"/>
      <c r="Z66" s="1209"/>
      <c r="AA66" s="1209"/>
      <c r="AB66" s="1209"/>
      <c r="AC66" s="1209"/>
    </row>
    <row r="67" spans="1:29" ht="15">
      <c r="A67" s="1341"/>
      <c r="B67" s="1346"/>
      <c r="C67" s="1343"/>
      <c r="D67" s="1343"/>
      <c r="E67" s="1343"/>
      <c r="F67" s="1343"/>
      <c r="G67" s="1343"/>
      <c r="H67" s="1343"/>
      <c r="I67" s="1343"/>
      <c r="J67" s="1343"/>
      <c r="K67" s="1343"/>
      <c r="L67" s="1343"/>
      <c r="M67" s="1392"/>
      <c r="N67" s="1393"/>
      <c r="O67" s="1393"/>
      <c r="P67" s="1619"/>
      <c r="Q67" s="1314"/>
      <c r="R67" s="1209"/>
      <c r="S67" s="1209"/>
      <c r="T67" s="1209"/>
      <c r="U67" s="1209"/>
      <c r="V67" s="1209"/>
      <c r="W67" s="1209"/>
      <c r="X67" s="1209"/>
      <c r="Y67" s="1209"/>
      <c r="Z67" s="1209"/>
      <c r="AA67" s="1209"/>
      <c r="AB67" s="1209"/>
      <c r="AC67" s="1209"/>
    </row>
    <row r="68" spans="1:29" ht="15">
      <c r="A68" s="1341"/>
      <c r="B68" s="1348" t="s">
        <v>1960</v>
      </c>
      <c r="C68" s="1349" t="str">
        <f>C69&amp;"（含）"&amp;"-"&amp;D69</f>
        <v>0（含）-3</v>
      </c>
      <c r="D68" s="1349" t="str">
        <f t="shared" ref="D68:L68" si="17">D69&amp;"（含）"&amp;"-"&amp;E69</f>
        <v>3（含）-</v>
      </c>
      <c r="E68" s="1349" t="str">
        <f t="shared" si="17"/>
        <v>（含）-</v>
      </c>
      <c r="F68" s="1349" t="str">
        <f t="shared" si="17"/>
        <v>（含）-</v>
      </c>
      <c r="G68" s="1349" t="str">
        <f t="shared" si="17"/>
        <v>（含）-</v>
      </c>
      <c r="H68" s="1349" t="str">
        <f t="shared" si="17"/>
        <v>（含）-</v>
      </c>
      <c r="I68" s="1349" t="str">
        <f t="shared" si="17"/>
        <v>（含）-</v>
      </c>
      <c r="J68" s="1349" t="str">
        <f t="shared" si="17"/>
        <v>（含）-</v>
      </c>
      <c r="K68" s="1349" t="str">
        <f t="shared" si="17"/>
        <v>（含）-</v>
      </c>
      <c r="L68" s="1349" t="str">
        <f t="shared" si="17"/>
        <v>（含）-</v>
      </c>
      <c r="M68" s="1155" t="str">
        <f>M69&amp;"（含）"&amp;"-"&amp;P69</f>
        <v>（含）-</v>
      </c>
      <c r="N68" s="1393"/>
      <c r="O68" s="1393"/>
      <c r="P68" s="1619"/>
      <c r="Q68" s="1314"/>
      <c r="R68" s="1209"/>
      <c r="S68" s="1209"/>
      <c r="T68" s="1209"/>
      <c r="U68" s="1209"/>
      <c r="V68" s="1209"/>
      <c r="W68" s="1209"/>
      <c r="X68" s="1209"/>
      <c r="Y68" s="1209"/>
      <c r="Z68" s="1209"/>
      <c r="AA68" s="1209"/>
      <c r="AB68" s="1209"/>
      <c r="AC68" s="1209"/>
    </row>
    <row r="69" spans="1:29" ht="15">
      <c r="A69" s="1341"/>
      <c r="B69" s="1350"/>
      <c r="C69" s="1140">
        <v>0</v>
      </c>
      <c r="D69" s="1140">
        <v>3</v>
      </c>
      <c r="E69" s="1140"/>
      <c r="F69" s="1140"/>
      <c r="G69" s="1140"/>
      <c r="H69" s="1140"/>
      <c r="I69" s="1140"/>
      <c r="J69" s="1140"/>
      <c r="K69" s="1398"/>
      <c r="L69" s="1399"/>
      <c r="M69" s="1400"/>
      <c r="N69" s="1390"/>
      <c r="O69" s="1390"/>
      <c r="P69" s="1619"/>
      <c r="Q69" s="1314"/>
      <c r="R69" s="1209"/>
      <c r="S69" s="1209"/>
      <c r="T69" s="1209"/>
      <c r="U69" s="1209"/>
      <c r="V69" s="1209"/>
      <c r="W69" s="1209"/>
      <c r="X69" s="1209"/>
      <c r="Y69" s="1209"/>
      <c r="Z69" s="1209"/>
      <c r="AA69" s="1209"/>
      <c r="AB69" s="1209"/>
      <c r="AC69" s="1209"/>
    </row>
    <row r="70" spans="1:29" ht="15">
      <c r="A70" s="1341"/>
      <c r="B70" s="1342"/>
      <c r="C70" s="1347">
        <v>100</v>
      </c>
      <c r="D70" s="1347">
        <f t="shared" ref="D70:M70" si="18">C70-$K11</f>
        <v>100</v>
      </c>
      <c r="E70" s="1347">
        <f t="shared" si="18"/>
        <v>100</v>
      </c>
      <c r="F70" s="1347">
        <f t="shared" si="18"/>
        <v>100</v>
      </c>
      <c r="G70" s="1347">
        <f t="shared" si="18"/>
        <v>100</v>
      </c>
      <c r="H70" s="1347">
        <f t="shared" si="18"/>
        <v>100</v>
      </c>
      <c r="I70" s="1347">
        <f t="shared" si="18"/>
        <v>100</v>
      </c>
      <c r="J70" s="1347">
        <f t="shared" si="18"/>
        <v>100</v>
      </c>
      <c r="K70" s="1347">
        <f t="shared" si="18"/>
        <v>100</v>
      </c>
      <c r="L70" s="1347">
        <f t="shared" si="18"/>
        <v>100</v>
      </c>
      <c r="M70" s="1397">
        <f t="shared" si="18"/>
        <v>100</v>
      </c>
      <c r="N70" s="1393"/>
      <c r="O70" s="1393"/>
      <c r="P70" s="1619"/>
      <c r="Q70" s="1314"/>
      <c r="R70" s="1209"/>
      <c r="S70" s="1209"/>
      <c r="T70" s="1209"/>
      <c r="U70" s="1209"/>
      <c r="V70" s="1209"/>
      <c r="W70" s="1209"/>
      <c r="X70" s="1209"/>
      <c r="Y70" s="1209"/>
      <c r="Z70" s="1209"/>
      <c r="AA70" s="1209"/>
      <c r="AB70" s="1209"/>
      <c r="AC70" s="1209"/>
    </row>
    <row r="71" spans="1:29" s="1095" customFormat="1" ht="15">
      <c r="A71" s="1351"/>
      <c r="B71" s="1344">
        <f>B12</f>
        <v>111</v>
      </c>
      <c r="C71" s="1352"/>
      <c r="D71" s="1352"/>
      <c r="E71" s="1352"/>
      <c r="F71" s="1352"/>
      <c r="G71" s="1352"/>
      <c r="H71" s="1353"/>
      <c r="I71" s="1353"/>
      <c r="J71" s="1353"/>
      <c r="K71" s="1353"/>
      <c r="L71" s="1401"/>
      <c r="M71" s="1402"/>
      <c r="N71" s="1403"/>
      <c r="O71" s="1403"/>
      <c r="P71" s="1627"/>
      <c r="Q71" s="1435"/>
      <c r="R71" s="1436"/>
      <c r="S71" s="1436"/>
      <c r="T71" s="1436"/>
      <c r="U71" s="1436"/>
      <c r="V71" s="1436"/>
      <c r="W71" s="1436"/>
      <c r="X71" s="1436"/>
      <c r="Y71" s="1436"/>
      <c r="Z71" s="1436"/>
      <c r="AA71" s="1436"/>
      <c r="AB71" s="1436"/>
      <c r="AC71" s="1436"/>
    </row>
    <row r="72" spans="1:29" s="1095" customFormat="1" ht="15">
      <c r="A72" s="1351"/>
      <c r="B72" s="1346"/>
      <c r="C72" s="1354"/>
      <c r="D72" s="1343"/>
      <c r="E72" s="1343"/>
      <c r="F72" s="1343"/>
      <c r="G72" s="1343"/>
      <c r="H72" s="1343"/>
      <c r="I72" s="1343"/>
      <c r="J72" s="1343"/>
      <c r="K72" s="1343"/>
      <c r="L72" s="1343"/>
      <c r="M72" s="1392"/>
      <c r="N72" s="1393"/>
      <c r="O72" s="1393"/>
      <c r="P72" s="1627"/>
      <c r="Q72" s="1435"/>
      <c r="R72" s="1436"/>
      <c r="S72" s="1436"/>
      <c r="T72" s="1436"/>
      <c r="U72" s="1436"/>
      <c r="V72" s="1436"/>
      <c r="W72" s="1436"/>
      <c r="X72" s="1436"/>
      <c r="Y72" s="1436"/>
      <c r="Z72" s="1436"/>
      <c r="AA72" s="1436"/>
      <c r="AB72" s="1436"/>
      <c r="AC72" s="1436"/>
    </row>
    <row r="73" spans="1:29" s="1095" customFormat="1" ht="15">
      <c r="A73" s="1351"/>
      <c r="B73" s="1344">
        <f>B13</f>
        <v>111</v>
      </c>
      <c r="C73" s="1352"/>
      <c r="D73" s="1352"/>
      <c r="E73" s="1352"/>
      <c r="F73" s="1352"/>
      <c r="G73" s="1352"/>
      <c r="H73" s="1353"/>
      <c r="I73" s="1353"/>
      <c r="J73" s="1353"/>
      <c r="K73" s="1353"/>
      <c r="L73" s="1401"/>
      <c r="M73" s="1402"/>
      <c r="N73" s="1403"/>
      <c r="O73" s="1403"/>
      <c r="P73" s="1628"/>
      <c r="Q73" s="1437"/>
      <c r="R73" s="1436"/>
      <c r="S73" s="1436"/>
      <c r="T73" s="1436"/>
      <c r="U73" s="1436"/>
      <c r="V73" s="1436"/>
      <c r="W73" s="1436"/>
      <c r="X73" s="1436"/>
      <c r="Y73" s="1436"/>
      <c r="Z73" s="1436"/>
      <c r="AA73" s="1436"/>
      <c r="AB73" s="1436"/>
      <c r="AC73" s="1436"/>
    </row>
    <row r="74" spans="1:29" s="1095" customFormat="1" ht="15">
      <c r="A74" s="1351"/>
      <c r="B74" s="1346"/>
      <c r="C74" s="1354"/>
      <c r="D74" s="1354"/>
      <c r="E74" s="1354"/>
      <c r="F74" s="1354"/>
      <c r="G74" s="1354"/>
      <c r="H74" s="1355"/>
      <c r="I74" s="1355"/>
      <c r="J74" s="1355"/>
      <c r="K74" s="1355"/>
      <c r="L74" s="1355"/>
      <c r="M74" s="1405"/>
      <c r="N74" s="1403"/>
      <c r="O74" s="1403"/>
      <c r="P74" s="1627"/>
      <c r="Q74" s="1435"/>
      <c r="R74" s="1436"/>
      <c r="S74" s="1436"/>
      <c r="T74" s="1436"/>
      <c r="U74" s="1436"/>
      <c r="V74" s="1436"/>
      <c r="W74" s="1436"/>
      <c r="X74" s="1436"/>
      <c r="Y74" s="1436"/>
      <c r="Z74" s="1436"/>
      <c r="AA74" s="1436"/>
      <c r="AB74" s="1436"/>
      <c r="AC74" s="1436"/>
    </row>
    <row r="75" spans="1:29" s="1095" customFormat="1" ht="15">
      <c r="A75" s="1351"/>
      <c r="B75" s="1348">
        <f>B14</f>
        <v>111</v>
      </c>
      <c r="C75" s="1336"/>
      <c r="D75" s="1336"/>
      <c r="E75" s="1336"/>
      <c r="F75" s="1336"/>
      <c r="G75" s="1336"/>
      <c r="H75" s="1356"/>
      <c r="I75" s="1356"/>
      <c r="J75" s="1356"/>
      <c r="K75" s="1356"/>
      <c r="L75" s="1406"/>
      <c r="M75" s="1407"/>
      <c r="N75" s="1403"/>
      <c r="O75" s="1403"/>
      <c r="P75" s="1629"/>
      <c r="Q75" s="1435"/>
      <c r="R75" s="1436"/>
      <c r="S75" s="1436"/>
      <c r="T75" s="1436"/>
      <c r="U75" s="1436"/>
      <c r="V75" s="1436"/>
      <c r="W75" s="1436"/>
      <c r="X75" s="1436"/>
      <c r="Y75" s="1436"/>
      <c r="Z75" s="1436"/>
      <c r="AA75" s="1436"/>
      <c r="AB75" s="1436"/>
      <c r="AC75" s="1436"/>
    </row>
    <row r="76" spans="1:29" s="1095" customFormat="1" ht="15">
      <c r="A76" s="1357"/>
      <c r="B76" s="1358"/>
      <c r="C76" s="1359"/>
      <c r="D76" s="1359"/>
      <c r="E76" s="1359"/>
      <c r="F76" s="1359"/>
      <c r="G76" s="1359"/>
      <c r="H76" s="1360"/>
      <c r="I76" s="1360"/>
      <c r="J76" s="1360"/>
      <c r="K76" s="1360"/>
      <c r="L76" s="1360"/>
      <c r="M76" s="1409"/>
      <c r="N76" s="1403"/>
      <c r="O76" s="1403"/>
      <c r="P76" s="1627"/>
      <c r="Q76" s="1435"/>
      <c r="R76" s="1436"/>
      <c r="S76" s="1436"/>
      <c r="T76" s="1436"/>
      <c r="U76" s="1436"/>
      <c r="V76" s="1436"/>
      <c r="W76" s="1436"/>
      <c r="X76" s="1436"/>
      <c r="Y76" s="1436"/>
      <c r="Z76" s="1436"/>
      <c r="AA76" s="1436"/>
      <c r="AB76" s="1436"/>
      <c r="AC76" s="1436"/>
    </row>
    <row r="77" spans="1:29">
      <c r="A77" s="1339" t="s">
        <v>1423</v>
      </c>
      <c r="B77" s="1340" t="s">
        <v>2008</v>
      </c>
      <c r="C77" s="1361" t="s">
        <v>1463</v>
      </c>
      <c r="D77" s="1361" t="s">
        <v>1464</v>
      </c>
      <c r="E77" s="1361" t="s">
        <v>1465</v>
      </c>
      <c r="F77" s="1361" t="s">
        <v>1466</v>
      </c>
      <c r="G77" s="1361" t="s">
        <v>1467</v>
      </c>
      <c r="H77" s="1362"/>
      <c r="I77" s="1362"/>
      <c r="J77" s="1362"/>
      <c r="K77" s="1410"/>
      <c r="L77" s="1411"/>
      <c r="M77" s="1412"/>
      <c r="N77" s="1390"/>
      <c r="O77" s="1390"/>
      <c r="P77" s="1630"/>
      <c r="Q77" s="1314"/>
      <c r="R77" s="1209"/>
      <c r="S77" s="1209"/>
      <c r="T77" s="1209"/>
      <c r="U77" s="1209"/>
      <c r="V77" s="1209"/>
      <c r="W77" s="1209"/>
      <c r="X77" s="1209"/>
      <c r="Y77" s="1209"/>
      <c r="Z77" s="1209"/>
      <c r="AA77" s="1209"/>
      <c r="AB77" s="1209"/>
      <c r="AC77" s="1209"/>
    </row>
    <row r="78" spans="1:29" ht="15">
      <c r="A78" s="1341"/>
      <c r="B78" s="1346"/>
      <c r="C78" s="1347">
        <v>100</v>
      </c>
      <c r="D78" s="1347">
        <f>C78-$K15</f>
        <v>100</v>
      </c>
      <c r="E78" s="1347">
        <f>D78-$K15</f>
        <v>100</v>
      </c>
      <c r="F78" s="1347">
        <f>E78-$K15</f>
        <v>100</v>
      </c>
      <c r="G78" s="1347">
        <f>F78-$K15</f>
        <v>100</v>
      </c>
      <c r="H78" s="1347"/>
      <c r="I78" s="1347"/>
      <c r="J78" s="1347"/>
      <c r="K78" s="1347"/>
      <c r="L78" s="1347"/>
      <c r="M78" s="1397"/>
      <c r="N78" s="1393"/>
      <c r="O78" s="1393"/>
      <c r="P78" s="1619"/>
      <c r="Q78" s="1314"/>
      <c r="R78" s="1209"/>
      <c r="S78" s="1209"/>
      <c r="T78" s="1209"/>
      <c r="U78" s="1209"/>
      <c r="V78" s="1209"/>
      <c r="W78" s="1209"/>
      <c r="X78" s="1209"/>
      <c r="Y78" s="1209"/>
      <c r="Z78" s="1209"/>
      <c r="AA78" s="1209"/>
      <c r="AB78" s="1209"/>
      <c r="AC78" s="1209"/>
    </row>
    <row r="79" spans="1:29" ht="15">
      <c r="A79" s="1341"/>
      <c r="B79" s="1344" t="s">
        <v>1424</v>
      </c>
      <c r="C79" s="1363" t="s">
        <v>1463</v>
      </c>
      <c r="D79" s="1363" t="s">
        <v>1464</v>
      </c>
      <c r="E79" s="1363" t="s">
        <v>1465</v>
      </c>
      <c r="F79" s="1363" t="s">
        <v>1466</v>
      </c>
      <c r="G79" s="1363" t="s">
        <v>1467</v>
      </c>
      <c r="H79" s="1345"/>
      <c r="I79" s="1345"/>
      <c r="J79" s="1345"/>
      <c r="K79" s="1394"/>
      <c r="L79" s="1395"/>
      <c r="M79" s="1396"/>
      <c r="N79" s="1390"/>
      <c r="O79" s="1390"/>
      <c r="P79" s="1619"/>
      <c r="Q79" s="1314"/>
      <c r="R79" s="1209"/>
      <c r="S79" s="1209"/>
      <c r="T79" s="1209"/>
      <c r="U79" s="1209"/>
      <c r="V79" s="1209"/>
      <c r="W79" s="1209"/>
      <c r="X79" s="1209"/>
      <c r="Y79" s="1209"/>
      <c r="Z79" s="1209"/>
      <c r="AA79" s="1209"/>
      <c r="AB79" s="1209"/>
      <c r="AC79" s="1209"/>
    </row>
    <row r="80" spans="1:29" ht="15">
      <c r="A80" s="1341"/>
      <c r="B80" s="1346"/>
      <c r="C80" s="1347">
        <v>100</v>
      </c>
      <c r="D80" s="1347">
        <f>C80-$K17</f>
        <v>100</v>
      </c>
      <c r="E80" s="1347">
        <f>D80-$K17</f>
        <v>100</v>
      </c>
      <c r="F80" s="1347">
        <f>E80-$K17</f>
        <v>100</v>
      </c>
      <c r="G80" s="1347">
        <f>F80-$K17</f>
        <v>100</v>
      </c>
      <c r="H80" s="1347"/>
      <c r="I80" s="1347"/>
      <c r="J80" s="1347"/>
      <c r="K80" s="1347"/>
      <c r="L80" s="1347"/>
      <c r="M80" s="1397"/>
      <c r="N80" s="1393"/>
      <c r="O80" s="1393"/>
      <c r="P80" s="1619"/>
      <c r="Q80" s="1314"/>
      <c r="R80" s="1209"/>
      <c r="S80" s="1209"/>
      <c r="T80" s="1209"/>
      <c r="U80" s="1209"/>
      <c r="V80" s="1209"/>
      <c r="W80" s="1209"/>
      <c r="X80" s="1209"/>
      <c r="Y80" s="1209"/>
      <c r="Z80" s="1209"/>
      <c r="AA80" s="1209"/>
      <c r="AB80" s="1209"/>
      <c r="AC80" s="1209"/>
    </row>
    <row r="81" spans="1:29" ht="15">
      <c r="A81" s="1341"/>
      <c r="B81" s="1344" t="s">
        <v>1427</v>
      </c>
      <c r="C81" s="1363" t="s">
        <v>1463</v>
      </c>
      <c r="D81" s="1363" t="s">
        <v>1464</v>
      </c>
      <c r="E81" s="1363" t="s">
        <v>1465</v>
      </c>
      <c r="F81" s="1363" t="s">
        <v>1466</v>
      </c>
      <c r="G81" s="1363" t="s">
        <v>1467</v>
      </c>
      <c r="H81" s="1345"/>
      <c r="I81" s="1345"/>
      <c r="J81" s="1345"/>
      <c r="K81" s="1394"/>
      <c r="L81" s="1395"/>
      <c r="M81" s="1396"/>
      <c r="N81" s="1390"/>
      <c r="O81" s="1390"/>
      <c r="P81" s="1619"/>
      <c r="Q81" s="1314"/>
      <c r="R81" s="1209"/>
      <c r="S81" s="1209"/>
      <c r="T81" s="1209"/>
      <c r="U81" s="1209"/>
      <c r="V81" s="1209"/>
      <c r="W81" s="1209"/>
      <c r="X81" s="1209"/>
      <c r="Y81" s="1209"/>
      <c r="Z81" s="1209"/>
      <c r="AA81" s="1209"/>
      <c r="AB81" s="1209"/>
      <c r="AC81" s="1209"/>
    </row>
    <row r="82" spans="1:29" ht="15">
      <c r="A82" s="1341"/>
      <c r="B82" s="1346"/>
      <c r="C82" s="1347">
        <v>100</v>
      </c>
      <c r="D82" s="1347">
        <f>C82-$K19</f>
        <v>100</v>
      </c>
      <c r="E82" s="1347">
        <f>D82-$K19</f>
        <v>100</v>
      </c>
      <c r="F82" s="1347">
        <f>E82-$K19</f>
        <v>100</v>
      </c>
      <c r="G82" s="1347">
        <f>F82-$K19</f>
        <v>100</v>
      </c>
      <c r="H82" s="1347"/>
      <c r="I82" s="1347"/>
      <c r="J82" s="1347"/>
      <c r="K82" s="1347"/>
      <c r="L82" s="1347"/>
      <c r="M82" s="1397"/>
      <c r="N82" s="1393"/>
      <c r="O82" s="1393"/>
      <c r="P82" s="1619"/>
      <c r="Q82" s="1314"/>
      <c r="R82" s="1209"/>
      <c r="S82" s="1209"/>
      <c r="T82" s="1209"/>
      <c r="U82" s="1209"/>
      <c r="V82" s="1209"/>
      <c r="W82" s="1209"/>
      <c r="X82" s="1209"/>
      <c r="Y82" s="1209"/>
      <c r="Z82" s="1209"/>
      <c r="AA82" s="1209"/>
      <c r="AB82" s="1209"/>
      <c r="AC82" s="1209"/>
    </row>
    <row r="83" spans="1:29" ht="15">
      <c r="A83" s="1341"/>
      <c r="B83" s="1348" t="s">
        <v>1429</v>
      </c>
      <c r="C83" s="1368" t="s">
        <v>1468</v>
      </c>
      <c r="D83" s="1368" t="s">
        <v>1469</v>
      </c>
      <c r="E83" s="1368" t="s">
        <v>1470</v>
      </c>
      <c r="F83" s="1368" t="s">
        <v>1471</v>
      </c>
      <c r="G83" s="1368" t="s">
        <v>1472</v>
      </c>
      <c r="H83" s="1345"/>
      <c r="I83" s="1345"/>
      <c r="J83" s="1345"/>
      <c r="K83" s="1345"/>
      <c r="L83" s="1345"/>
      <c r="M83" s="1541"/>
      <c r="N83" s="1393"/>
      <c r="O83" s="1393"/>
      <c r="P83" s="1619"/>
      <c r="Q83" s="1314"/>
      <c r="R83" s="1209"/>
      <c r="S83" s="1209"/>
      <c r="T83" s="1209"/>
      <c r="U83" s="1209"/>
      <c r="V83" s="1209"/>
      <c r="W83" s="1209"/>
      <c r="X83" s="1209"/>
      <c r="Y83" s="1209"/>
      <c r="Z83" s="1209"/>
      <c r="AA83" s="1209"/>
      <c r="AB83" s="1209"/>
      <c r="AC83" s="1209"/>
    </row>
    <row r="84" spans="1:29" ht="15">
      <c r="A84" s="1341"/>
      <c r="B84" s="1348"/>
      <c r="C84" s="1347">
        <v>100</v>
      </c>
      <c r="D84" s="1347">
        <f>C84-$K21</f>
        <v>100</v>
      </c>
      <c r="E84" s="1347">
        <f>D84-$K21</f>
        <v>100</v>
      </c>
      <c r="F84" s="1347">
        <f>E84-$K21</f>
        <v>100</v>
      </c>
      <c r="G84" s="1347">
        <f>F84-$K21</f>
        <v>100</v>
      </c>
      <c r="H84" s="1368"/>
      <c r="I84" s="1368"/>
      <c r="J84" s="1368"/>
      <c r="K84" s="1368"/>
      <c r="L84" s="1368"/>
      <c r="M84" s="1157"/>
      <c r="N84" s="1393"/>
      <c r="O84" s="1393"/>
      <c r="P84" s="1619"/>
      <c r="Q84" s="1314"/>
      <c r="R84" s="1209"/>
      <c r="S84" s="1209"/>
      <c r="T84" s="1209"/>
      <c r="U84" s="1209"/>
      <c r="V84" s="1209"/>
      <c r="W84" s="1209"/>
      <c r="X84" s="1209"/>
      <c r="Y84" s="1209"/>
      <c r="Z84" s="1209"/>
      <c r="AA84" s="1209"/>
      <c r="AB84" s="1209"/>
      <c r="AC84" s="1209"/>
    </row>
    <row r="85" spans="1:29" ht="15">
      <c r="A85" s="1341"/>
      <c r="B85" s="1344" t="s">
        <v>2009</v>
      </c>
      <c r="C85" s="1363" t="s">
        <v>1463</v>
      </c>
      <c r="D85" s="1363" t="s">
        <v>1464</v>
      </c>
      <c r="E85" s="1363" t="s">
        <v>1465</v>
      </c>
      <c r="F85" s="1363" t="s">
        <v>1466</v>
      </c>
      <c r="G85" s="1363" t="s">
        <v>1467</v>
      </c>
      <c r="H85" s="1345"/>
      <c r="I85" s="1345"/>
      <c r="J85" s="1345"/>
      <c r="K85" s="1394"/>
      <c r="L85" s="1395"/>
      <c r="M85" s="1396"/>
      <c r="N85" s="1390"/>
      <c r="O85" s="1390"/>
      <c r="P85" s="1619"/>
      <c r="Q85" s="1314"/>
      <c r="R85" s="1209"/>
      <c r="S85" s="1209"/>
      <c r="T85" s="1209"/>
      <c r="U85" s="1209"/>
      <c r="V85" s="1209"/>
      <c r="W85" s="1209"/>
      <c r="X85" s="1209"/>
      <c r="Y85" s="1209"/>
      <c r="Z85" s="1209"/>
      <c r="AA85" s="1209"/>
      <c r="AB85" s="1209"/>
      <c r="AC85" s="1209"/>
    </row>
    <row r="86" spans="1:29" ht="15">
      <c r="A86" s="1341"/>
      <c r="B86" s="1346"/>
      <c r="C86" s="1347">
        <v>100</v>
      </c>
      <c r="D86" s="1347">
        <f>C86-$K23</f>
        <v>100</v>
      </c>
      <c r="E86" s="1347">
        <f>D86-$K23</f>
        <v>100</v>
      </c>
      <c r="F86" s="1347">
        <f>E86-$K23</f>
        <v>100</v>
      </c>
      <c r="G86" s="1347">
        <f>F86-$K23</f>
        <v>100</v>
      </c>
      <c r="H86" s="1347"/>
      <c r="I86" s="1347"/>
      <c r="J86" s="1347"/>
      <c r="K86" s="1347"/>
      <c r="L86" s="1347"/>
      <c r="M86" s="1397"/>
      <c r="N86" s="1393"/>
      <c r="O86" s="1393"/>
      <c r="P86" s="1619"/>
      <c r="Q86" s="1314"/>
      <c r="R86" s="1209"/>
      <c r="S86" s="1209"/>
      <c r="T86" s="1209"/>
      <c r="U86" s="1209"/>
      <c r="V86" s="1209"/>
      <c r="W86" s="1209"/>
      <c r="X86" s="1209"/>
      <c r="Y86" s="1209"/>
      <c r="Z86" s="1209"/>
      <c r="AA86" s="1209"/>
      <c r="AB86" s="1209"/>
      <c r="AC86" s="1209"/>
    </row>
    <row r="87" spans="1:29" s="1093" customFormat="1" ht="27">
      <c r="A87" s="1364"/>
      <c r="B87" s="1344" t="s">
        <v>2010</v>
      </c>
      <c r="C87" s="1352"/>
      <c r="D87" s="1352"/>
      <c r="E87" s="1352"/>
      <c r="F87" s="1352"/>
      <c r="G87" s="1352"/>
      <c r="H87" s="1352"/>
      <c r="I87" s="1352"/>
      <c r="J87" s="1352"/>
      <c r="K87" s="1352"/>
      <c r="L87" s="1542"/>
      <c r="M87" s="1543"/>
      <c r="N87" s="1384"/>
      <c r="O87" s="1384"/>
      <c r="P87" s="1619"/>
      <c r="Q87" s="1314"/>
      <c r="R87" s="1434"/>
      <c r="S87" s="1434"/>
      <c r="T87" s="1434"/>
      <c r="U87" s="1434"/>
      <c r="V87" s="1434"/>
      <c r="W87" s="1434"/>
      <c r="X87" s="1434"/>
      <c r="Y87" s="1434"/>
      <c r="Z87" s="1434"/>
      <c r="AA87" s="1434"/>
      <c r="AB87" s="1434"/>
      <c r="AC87" s="1434"/>
    </row>
    <row r="88" spans="1:29" s="1093" customFormat="1" ht="15">
      <c r="A88" s="1364"/>
      <c r="B88" s="1346"/>
      <c r="C88" s="1365">
        <v>100</v>
      </c>
      <c r="D88" s="1347">
        <f t="shared" ref="D88:M88" si="19">C88-$K25</f>
        <v>100</v>
      </c>
      <c r="E88" s="1347">
        <f t="shared" si="19"/>
        <v>100</v>
      </c>
      <c r="F88" s="1347">
        <f t="shared" si="19"/>
        <v>100</v>
      </c>
      <c r="G88" s="1347">
        <f t="shared" si="19"/>
        <v>100</v>
      </c>
      <c r="H88" s="1347">
        <f t="shared" si="19"/>
        <v>100</v>
      </c>
      <c r="I88" s="1347">
        <f t="shared" si="19"/>
        <v>100</v>
      </c>
      <c r="J88" s="1347">
        <f t="shared" si="19"/>
        <v>100</v>
      </c>
      <c r="K88" s="1347">
        <f t="shared" si="19"/>
        <v>100</v>
      </c>
      <c r="L88" s="1347">
        <f t="shared" si="19"/>
        <v>100</v>
      </c>
      <c r="M88" s="1347">
        <f t="shared" si="19"/>
        <v>100</v>
      </c>
      <c r="N88" s="1393"/>
      <c r="O88" s="1393"/>
      <c r="P88" s="1619"/>
      <c r="Q88" s="1314"/>
      <c r="R88" s="1434"/>
      <c r="S88" s="1434"/>
      <c r="T88" s="1434"/>
      <c r="U88" s="1434"/>
      <c r="V88" s="1434"/>
      <c r="W88" s="1434"/>
      <c r="X88" s="1434"/>
      <c r="Y88" s="1434"/>
      <c r="Z88" s="1434"/>
      <c r="AA88" s="1434"/>
      <c r="AB88" s="1434"/>
      <c r="AC88" s="1434"/>
    </row>
    <row r="89" spans="1:29" s="1093" customFormat="1" ht="15">
      <c r="A89" s="1364"/>
      <c r="B89" s="1344" t="str">
        <f>B27</f>
        <v>楼层</v>
      </c>
      <c r="C89" s="1352"/>
      <c r="D89" s="1352"/>
      <c r="E89" s="1352"/>
      <c r="F89" s="1626"/>
      <c r="G89" s="1352"/>
      <c r="H89" s="1352"/>
      <c r="I89" s="1352"/>
      <c r="J89" s="1352"/>
      <c r="K89" s="1352"/>
      <c r="L89" s="1352"/>
      <c r="M89" s="1543"/>
      <c r="N89" s="1384"/>
      <c r="O89" s="1384"/>
      <c r="P89" s="1619"/>
      <c r="Q89" s="1314"/>
      <c r="R89" s="1434"/>
      <c r="S89" s="1434"/>
      <c r="T89" s="1434"/>
      <c r="U89" s="1434"/>
      <c r="V89" s="1434"/>
      <c r="W89" s="1434"/>
      <c r="X89" s="1434"/>
      <c r="Y89" s="1434"/>
      <c r="Z89" s="1434"/>
      <c r="AA89" s="1434"/>
      <c r="AB89" s="1434"/>
      <c r="AC89" s="1434"/>
    </row>
    <row r="90" spans="1:29" s="1093" customFormat="1" ht="15">
      <c r="A90" s="1364"/>
      <c r="B90" s="1346"/>
      <c r="C90" s="1365">
        <v>100</v>
      </c>
      <c r="D90" s="1347">
        <f>C90-$K27</f>
        <v>100</v>
      </c>
      <c r="E90" s="1347">
        <f t="shared" ref="E90:M90" si="20">D90-$K27</f>
        <v>100</v>
      </c>
      <c r="F90" s="1347">
        <f t="shared" si="20"/>
        <v>100</v>
      </c>
      <c r="G90" s="1347">
        <f t="shared" si="20"/>
        <v>100</v>
      </c>
      <c r="H90" s="1347">
        <f t="shared" si="20"/>
        <v>100</v>
      </c>
      <c r="I90" s="1347">
        <f t="shared" si="20"/>
        <v>100</v>
      </c>
      <c r="J90" s="1347">
        <f t="shared" si="20"/>
        <v>100</v>
      </c>
      <c r="K90" s="1347">
        <f t="shared" si="20"/>
        <v>100</v>
      </c>
      <c r="L90" s="1347">
        <f t="shared" si="20"/>
        <v>100</v>
      </c>
      <c r="M90" s="1347">
        <f t="shared" si="20"/>
        <v>100</v>
      </c>
      <c r="N90" s="1393"/>
      <c r="O90" s="1393"/>
      <c r="P90" s="1619"/>
      <c r="Q90" s="1314"/>
      <c r="R90" s="1434"/>
      <c r="S90" s="1434"/>
      <c r="T90" s="1434"/>
      <c r="U90" s="1434"/>
      <c r="V90" s="1434"/>
      <c r="W90" s="1434"/>
      <c r="X90" s="1434"/>
      <c r="Y90" s="1434"/>
      <c r="Z90" s="1434"/>
      <c r="AA90" s="1434"/>
      <c r="AB90" s="1434"/>
      <c r="AC90" s="1434"/>
    </row>
    <row r="91" spans="1:29" s="1095" customFormat="1" ht="15">
      <c r="A91" s="1351"/>
      <c r="B91" s="1344" t="str">
        <f>B28</f>
        <v>朝向</v>
      </c>
      <c r="C91" s="1352"/>
      <c r="D91" s="1352"/>
      <c r="E91" s="1352"/>
      <c r="F91" s="1352"/>
      <c r="G91" s="1352"/>
      <c r="H91" s="1353"/>
      <c r="I91" s="1353"/>
      <c r="J91" s="1353"/>
      <c r="K91" s="1353"/>
      <c r="L91" s="1401"/>
      <c r="M91" s="1402"/>
      <c r="N91" s="1403"/>
      <c r="O91" s="1403"/>
      <c r="P91" s="1627"/>
      <c r="Q91" s="1435"/>
      <c r="R91" s="1436"/>
      <c r="S91" s="1436"/>
      <c r="T91" s="1436"/>
      <c r="U91" s="1436"/>
      <c r="V91" s="1436"/>
      <c r="W91" s="1436"/>
      <c r="X91" s="1436"/>
      <c r="Y91" s="1436"/>
      <c r="Z91" s="1436"/>
      <c r="AA91" s="1436"/>
      <c r="AB91" s="1436"/>
      <c r="AC91" s="1436"/>
    </row>
    <row r="92" spans="1:29" s="1095" customFormat="1" ht="15">
      <c r="A92" s="1351"/>
      <c r="B92" s="1346"/>
      <c r="C92" s="1365">
        <v>100</v>
      </c>
      <c r="D92" s="1347">
        <f t="shared" ref="D92:M92" si="21">C92-$K28</f>
        <v>100</v>
      </c>
      <c r="E92" s="1347">
        <f t="shared" si="21"/>
        <v>100</v>
      </c>
      <c r="F92" s="1347">
        <f t="shared" si="21"/>
        <v>100</v>
      </c>
      <c r="G92" s="1347">
        <f t="shared" si="21"/>
        <v>100</v>
      </c>
      <c r="H92" s="1347">
        <f t="shared" si="21"/>
        <v>100</v>
      </c>
      <c r="I92" s="1347">
        <f t="shared" si="21"/>
        <v>100</v>
      </c>
      <c r="J92" s="1347">
        <f t="shared" si="21"/>
        <v>100</v>
      </c>
      <c r="K92" s="1347">
        <f t="shared" si="21"/>
        <v>100</v>
      </c>
      <c r="L92" s="1347">
        <f t="shared" si="21"/>
        <v>100</v>
      </c>
      <c r="M92" s="1347">
        <f t="shared" si="21"/>
        <v>100</v>
      </c>
      <c r="N92" s="1403"/>
      <c r="O92" s="1403"/>
      <c r="P92" s="1627"/>
      <c r="Q92" s="1435"/>
      <c r="R92" s="1436"/>
      <c r="S92" s="1436"/>
      <c r="T92" s="1436"/>
      <c r="U92" s="1436"/>
      <c r="V92" s="1436"/>
      <c r="W92" s="1436"/>
      <c r="X92" s="1436"/>
      <c r="Y92" s="1436"/>
      <c r="Z92" s="1436"/>
      <c r="AA92" s="1436"/>
      <c r="AB92" s="1436"/>
      <c r="AC92" s="1436"/>
    </row>
    <row r="93" spans="1:29" ht="15">
      <c r="A93" s="1341"/>
      <c r="B93" s="1344">
        <f>B29</f>
        <v>111</v>
      </c>
      <c r="C93" s="1352"/>
      <c r="D93" s="1352"/>
      <c r="E93" s="1352"/>
      <c r="F93" s="1352"/>
      <c r="G93" s="1352"/>
      <c r="H93" s="1352"/>
      <c r="I93" s="1352"/>
      <c r="J93" s="1352"/>
      <c r="K93" s="1352"/>
      <c r="L93" s="1542"/>
      <c r="M93" s="1543"/>
      <c r="N93" s="1390"/>
      <c r="O93" s="1390"/>
      <c r="P93" s="1619"/>
      <c r="Q93" s="1314"/>
      <c r="R93" s="1209"/>
      <c r="S93" s="1209"/>
      <c r="T93" s="1209"/>
      <c r="U93" s="1209"/>
      <c r="V93" s="1209"/>
      <c r="W93" s="1209"/>
      <c r="X93" s="1209"/>
      <c r="Y93" s="1209"/>
      <c r="Z93" s="1209"/>
      <c r="AA93" s="1209"/>
      <c r="AB93" s="1209"/>
      <c r="AC93" s="1209"/>
    </row>
    <row r="94" spans="1:29" ht="15">
      <c r="A94" s="1341"/>
      <c r="B94" s="1346"/>
      <c r="C94" s="1354"/>
      <c r="D94" s="1343"/>
      <c r="E94" s="1343"/>
      <c r="F94" s="1343"/>
      <c r="G94" s="1343"/>
      <c r="H94" s="1343"/>
      <c r="I94" s="1343"/>
      <c r="J94" s="1343"/>
      <c r="K94" s="1343"/>
      <c r="L94" s="1343"/>
      <c r="M94" s="1392"/>
      <c r="N94" s="1393"/>
      <c r="O94" s="1393"/>
      <c r="P94" s="1619"/>
      <c r="Q94" s="1314"/>
      <c r="R94" s="1209"/>
      <c r="S94" s="1209"/>
      <c r="T94" s="1209"/>
      <c r="U94" s="1209"/>
      <c r="V94" s="1209"/>
      <c r="W94" s="1209"/>
      <c r="X94" s="1209"/>
      <c r="Y94" s="1209"/>
      <c r="Z94" s="1209"/>
      <c r="AA94" s="1209"/>
      <c r="AB94" s="1209"/>
      <c r="AC94" s="1209"/>
    </row>
    <row r="95" spans="1:29" ht="15">
      <c r="A95" s="1341"/>
      <c r="B95" s="1344">
        <f>B30</f>
        <v>111</v>
      </c>
      <c r="C95" s="1352"/>
      <c r="D95" s="1352"/>
      <c r="E95" s="1352"/>
      <c r="F95" s="1352"/>
      <c r="G95" s="1369"/>
      <c r="H95" s="1369"/>
      <c r="I95" s="1369"/>
      <c r="J95" s="1369"/>
      <c r="K95" s="1420"/>
      <c r="L95" s="1421"/>
      <c r="M95" s="1422"/>
      <c r="N95" s="1390"/>
      <c r="O95" s="1390"/>
      <c r="P95" s="1619"/>
      <c r="Q95" s="1314"/>
      <c r="R95" s="1209"/>
      <c r="S95" s="1209"/>
      <c r="T95" s="1209"/>
      <c r="U95" s="1209"/>
      <c r="V95" s="1209"/>
      <c r="W95" s="1209"/>
      <c r="X95" s="1209"/>
      <c r="Y95" s="1209"/>
      <c r="Z95" s="1209"/>
      <c r="AA95" s="1209"/>
      <c r="AB95" s="1209"/>
      <c r="AC95" s="1209"/>
    </row>
    <row r="96" spans="1:29" ht="15">
      <c r="A96" s="1341"/>
      <c r="B96" s="1346"/>
      <c r="C96" s="1354"/>
      <c r="D96" s="1354"/>
      <c r="E96" s="1354"/>
      <c r="F96" s="1354"/>
      <c r="G96" s="1343"/>
      <c r="H96" s="1343"/>
      <c r="I96" s="1343"/>
      <c r="J96" s="1343"/>
      <c r="K96" s="1343"/>
      <c r="L96" s="1343"/>
      <c r="M96" s="1392"/>
      <c r="N96" s="1393"/>
      <c r="O96" s="1393"/>
      <c r="P96" s="1619"/>
      <c r="Q96" s="1314"/>
      <c r="R96" s="1209"/>
      <c r="S96" s="1209"/>
      <c r="T96" s="1209"/>
      <c r="U96" s="1209"/>
      <c r="V96" s="1209"/>
      <c r="W96" s="1209"/>
      <c r="X96" s="1209"/>
      <c r="Y96" s="1209"/>
      <c r="Z96" s="1209"/>
      <c r="AA96" s="1209"/>
      <c r="AB96" s="1209"/>
      <c r="AC96" s="1209"/>
    </row>
    <row r="97" spans="1:29" ht="15">
      <c r="A97" s="1341"/>
      <c r="B97" s="1344">
        <f>B31</f>
        <v>111</v>
      </c>
      <c r="C97" s="1352"/>
      <c r="D97" s="1352"/>
      <c r="E97" s="1352"/>
      <c r="F97" s="1352"/>
      <c r="G97" s="1369"/>
      <c r="H97" s="1369"/>
      <c r="I97" s="1369"/>
      <c r="J97" s="1369"/>
      <c r="K97" s="1420"/>
      <c r="L97" s="1421"/>
      <c r="M97" s="1422"/>
      <c r="N97" s="1390"/>
      <c r="O97" s="1390"/>
      <c r="P97" s="1619"/>
      <c r="Q97" s="1314"/>
      <c r="R97" s="1209"/>
      <c r="S97" s="1209"/>
      <c r="T97" s="1209"/>
      <c r="U97" s="1209"/>
      <c r="V97" s="1209"/>
      <c r="W97" s="1209"/>
      <c r="X97" s="1209"/>
      <c r="Y97" s="1209"/>
      <c r="Z97" s="1209"/>
      <c r="AA97" s="1209"/>
      <c r="AB97" s="1209"/>
      <c r="AC97" s="1209"/>
    </row>
    <row r="98" spans="1:29" ht="15">
      <c r="A98" s="1341"/>
      <c r="B98" s="1346"/>
      <c r="C98" s="1354"/>
      <c r="D98" s="1343"/>
      <c r="E98" s="1343"/>
      <c r="F98" s="1343"/>
      <c r="G98" s="1343"/>
      <c r="H98" s="1343"/>
      <c r="I98" s="1343"/>
      <c r="J98" s="1343"/>
      <c r="K98" s="1343"/>
      <c r="L98" s="1343"/>
      <c r="M98" s="1392"/>
      <c r="N98" s="1393"/>
      <c r="O98" s="1393"/>
      <c r="P98" s="1619"/>
      <c r="Q98" s="1314"/>
      <c r="R98" s="1209"/>
      <c r="S98" s="1209"/>
      <c r="T98" s="1209"/>
      <c r="U98" s="1209"/>
      <c r="V98" s="1209"/>
      <c r="W98" s="1209"/>
      <c r="X98" s="1209"/>
      <c r="Y98" s="1209"/>
      <c r="Z98" s="1209"/>
      <c r="AA98" s="1209"/>
      <c r="AB98" s="1209"/>
      <c r="AC98" s="1209"/>
    </row>
    <row r="99" spans="1:29" ht="15">
      <c r="A99" s="1341"/>
      <c r="B99" s="1348">
        <f>B32</f>
        <v>111</v>
      </c>
      <c r="C99" s="1336"/>
      <c r="D99" s="1336"/>
      <c r="E99" s="1336"/>
      <c r="F99" s="1336"/>
      <c r="G99" s="1370"/>
      <c r="H99" s="1370"/>
      <c r="I99" s="1370"/>
      <c r="J99" s="1370"/>
      <c r="K99" s="1423"/>
      <c r="L99" s="1424"/>
      <c r="M99" s="1425"/>
      <c r="N99" s="1390"/>
      <c r="O99" s="1390"/>
      <c r="P99" s="1619"/>
      <c r="Q99" s="1314"/>
      <c r="R99" s="1209"/>
      <c r="S99" s="1209"/>
      <c r="T99" s="1209"/>
      <c r="U99" s="1209"/>
      <c r="V99" s="1209"/>
      <c r="W99" s="1209"/>
      <c r="X99" s="1209"/>
      <c r="Y99" s="1209"/>
      <c r="Z99" s="1209"/>
      <c r="AA99" s="1209"/>
      <c r="AB99" s="1209"/>
      <c r="AC99" s="1209"/>
    </row>
    <row r="100" spans="1:29" ht="15">
      <c r="A100" s="1588"/>
      <c r="B100" s="1358"/>
      <c r="C100" s="1359"/>
      <c r="D100" s="1359"/>
      <c r="E100" s="1359"/>
      <c r="F100" s="1359"/>
      <c r="G100" s="1371"/>
      <c r="H100" s="1371"/>
      <c r="I100" s="1371"/>
      <c r="J100" s="1371"/>
      <c r="K100" s="1371"/>
      <c r="L100" s="1371"/>
      <c r="M100" s="1426"/>
      <c r="N100" s="1393"/>
      <c r="O100" s="1393"/>
      <c r="P100" s="1619"/>
      <c r="Q100" s="1314"/>
      <c r="R100" s="1209"/>
      <c r="S100" s="1209"/>
      <c r="T100" s="1209"/>
      <c r="U100" s="1209"/>
      <c r="V100" s="1209"/>
      <c r="W100" s="1209"/>
      <c r="X100" s="1209"/>
      <c r="Y100" s="1209"/>
      <c r="Z100" s="1209"/>
      <c r="AA100" s="1209"/>
      <c r="AB100" s="1209"/>
      <c r="AC100" s="1209"/>
    </row>
    <row r="101" spans="1:29">
      <c r="A101" s="1339" t="s">
        <v>1434</v>
      </c>
      <c r="B101" s="1340" t="s">
        <v>1964</v>
      </c>
      <c r="C101" s="1282"/>
      <c r="D101" s="1282"/>
      <c r="E101" s="1282"/>
      <c r="F101" s="1282"/>
      <c r="G101" s="1282"/>
      <c r="H101" s="1282"/>
      <c r="I101" s="1282"/>
      <c r="J101" s="1282"/>
      <c r="K101" s="1387"/>
      <c r="L101" s="1388"/>
      <c r="M101" s="1389"/>
      <c r="N101" s="1390"/>
      <c r="O101" s="1390"/>
      <c r="P101" s="1619"/>
      <c r="Q101" s="1314"/>
      <c r="R101" s="1209"/>
      <c r="S101" s="1209"/>
      <c r="T101" s="1209"/>
      <c r="U101" s="1209"/>
      <c r="V101" s="1209"/>
      <c r="W101" s="1209"/>
      <c r="X101" s="1209"/>
      <c r="Y101" s="1209"/>
      <c r="Z101" s="1209"/>
      <c r="AA101" s="1209"/>
      <c r="AB101" s="1209"/>
      <c r="AC101" s="1209"/>
    </row>
    <row r="102" spans="1:29" ht="15">
      <c r="A102" s="1341"/>
      <c r="B102" s="1346"/>
      <c r="C102" s="1347">
        <v>100</v>
      </c>
      <c r="D102" s="1347">
        <f t="shared" ref="D102:M102" si="22">C102-$K33</f>
        <v>100</v>
      </c>
      <c r="E102" s="1347">
        <f t="shared" si="22"/>
        <v>100</v>
      </c>
      <c r="F102" s="1347">
        <f t="shared" si="22"/>
        <v>100</v>
      </c>
      <c r="G102" s="1347">
        <f t="shared" si="22"/>
        <v>100</v>
      </c>
      <c r="H102" s="1347">
        <f t="shared" si="22"/>
        <v>100</v>
      </c>
      <c r="I102" s="1347">
        <f t="shared" si="22"/>
        <v>100</v>
      </c>
      <c r="J102" s="1347">
        <f t="shared" si="22"/>
        <v>100</v>
      </c>
      <c r="K102" s="1347">
        <f t="shared" si="22"/>
        <v>100</v>
      </c>
      <c r="L102" s="1347">
        <f t="shared" si="22"/>
        <v>100</v>
      </c>
      <c r="M102" s="1397">
        <f t="shared" si="22"/>
        <v>100</v>
      </c>
      <c r="N102" s="1393"/>
      <c r="O102" s="1393"/>
      <c r="P102" s="1619"/>
      <c r="Q102" s="1314"/>
      <c r="R102" s="1209"/>
      <c r="S102" s="1209"/>
      <c r="T102" s="1209"/>
      <c r="U102" s="1209"/>
      <c r="V102" s="1209"/>
      <c r="W102" s="1209"/>
      <c r="X102" s="1209"/>
      <c r="Y102" s="1209"/>
      <c r="Z102" s="1209"/>
      <c r="AA102" s="1209"/>
      <c r="AB102" s="1209"/>
      <c r="AC102" s="1209"/>
    </row>
    <row r="103" spans="1:29" ht="15">
      <c r="A103" s="1341"/>
      <c r="B103" s="1344" t="s">
        <v>1965</v>
      </c>
      <c r="C103" s="1363" t="str">
        <f>C104&amp;"(含)"&amp;"-"&amp;D104</f>
        <v>(含)-</v>
      </c>
      <c r="D103" s="1363" t="str">
        <f t="shared" ref="D103:L103" si="23">D104&amp;"(含)"&amp;"-"&amp;E104</f>
        <v>(含)-</v>
      </c>
      <c r="E103" s="1363" t="str">
        <f t="shared" si="23"/>
        <v>(含)-</v>
      </c>
      <c r="F103" s="1363" t="str">
        <f t="shared" si="23"/>
        <v>(含)-</v>
      </c>
      <c r="G103" s="1363" t="str">
        <f t="shared" si="23"/>
        <v>(含)-</v>
      </c>
      <c r="H103" s="1363" t="str">
        <f t="shared" si="23"/>
        <v>(含)-</v>
      </c>
      <c r="I103" s="1363" t="str">
        <f t="shared" si="23"/>
        <v>(含)-</v>
      </c>
      <c r="J103" s="1363" t="str">
        <f t="shared" si="23"/>
        <v>(含)-</v>
      </c>
      <c r="K103" s="1363" t="str">
        <f t="shared" si="23"/>
        <v>(含)-</v>
      </c>
      <c r="L103" s="1363" t="str">
        <f t="shared" si="23"/>
        <v>(含)-</v>
      </c>
      <c r="M103" s="1415" t="str">
        <f>M104&amp;"(含)"&amp;"-"&amp;P104</f>
        <v>(含)-</v>
      </c>
      <c r="N103" s="1384"/>
      <c r="O103" s="1384"/>
      <c r="P103" s="1619"/>
      <c r="Q103" s="1314"/>
      <c r="R103" s="1209"/>
      <c r="S103" s="1209"/>
      <c r="T103" s="1209"/>
      <c r="U103" s="1209"/>
      <c r="V103" s="1209"/>
      <c r="W103" s="1209"/>
      <c r="X103" s="1209"/>
      <c r="Y103" s="1209"/>
      <c r="Z103" s="1209"/>
      <c r="AA103" s="1209"/>
      <c r="AB103" s="1209"/>
      <c r="AC103" s="1209"/>
    </row>
    <row r="104" spans="1:29" s="1095" customFormat="1">
      <c r="A104" s="1372"/>
      <c r="B104" s="1373"/>
      <c r="C104" s="1328"/>
      <c r="D104" s="1328"/>
      <c r="E104" s="1328"/>
      <c r="F104" s="1328"/>
      <c r="G104" s="1328"/>
      <c r="H104" s="1328"/>
      <c r="I104" s="1328"/>
      <c r="J104" s="1427"/>
      <c r="K104" s="1427"/>
      <c r="L104" s="1428"/>
      <c r="M104" s="1429"/>
      <c r="N104" s="1403"/>
      <c r="O104" s="1403"/>
      <c r="P104" s="1627"/>
      <c r="Q104" s="1435"/>
      <c r="R104" s="1436"/>
      <c r="S104" s="1436"/>
      <c r="T104" s="1436"/>
      <c r="U104" s="1436"/>
      <c r="V104" s="1436"/>
      <c r="W104" s="1436"/>
      <c r="X104" s="1436"/>
      <c r="Y104" s="1436"/>
      <c r="Z104" s="1436"/>
      <c r="AA104" s="1436"/>
      <c r="AB104" s="1436"/>
      <c r="AC104" s="1436"/>
    </row>
    <row r="105" spans="1:29" s="1095" customFormat="1" ht="15">
      <c r="A105" s="1351"/>
      <c r="B105" s="1346"/>
      <c r="C105" s="1354"/>
      <c r="D105" s="1343"/>
      <c r="E105" s="1343"/>
      <c r="F105" s="1343"/>
      <c r="G105" s="1343"/>
      <c r="H105" s="1343"/>
      <c r="I105" s="1343"/>
      <c r="J105" s="1343"/>
      <c r="K105" s="1343"/>
      <c r="L105" s="1343"/>
      <c r="M105" s="1392"/>
      <c r="N105" s="1393"/>
      <c r="O105" s="1393"/>
      <c r="P105" s="1627"/>
      <c r="Q105" s="1435"/>
      <c r="R105" s="1436"/>
      <c r="S105" s="1436"/>
      <c r="T105" s="1436"/>
      <c r="U105" s="1436"/>
      <c r="V105" s="1436"/>
      <c r="W105" s="1436"/>
      <c r="X105" s="1436"/>
      <c r="Y105" s="1436"/>
      <c r="Z105" s="1436"/>
      <c r="AA105" s="1436"/>
      <c r="AB105" s="1436"/>
      <c r="AC105" s="1436"/>
    </row>
    <row r="106" spans="1:29">
      <c r="A106" s="1375"/>
      <c r="B106" s="1344" t="s">
        <v>1966</v>
      </c>
      <c r="C106" s="1352"/>
      <c r="D106" s="1352"/>
      <c r="E106" s="1369"/>
      <c r="F106" s="1369"/>
      <c r="G106" s="1369"/>
      <c r="H106" s="1369"/>
      <c r="I106" s="1369"/>
      <c r="J106" s="1369"/>
      <c r="K106" s="1420"/>
      <c r="L106" s="1421"/>
      <c r="M106" s="1422"/>
      <c r="N106" s="1390"/>
      <c r="O106" s="1390"/>
      <c r="P106" s="1619"/>
      <c r="Q106" s="1314"/>
      <c r="R106" s="1209"/>
      <c r="S106" s="1209"/>
      <c r="T106" s="1209"/>
      <c r="U106" s="1209"/>
      <c r="V106" s="1209"/>
      <c r="W106" s="1209"/>
      <c r="X106" s="1209"/>
      <c r="Y106" s="1209"/>
      <c r="Z106" s="1209"/>
      <c r="AA106" s="1209"/>
      <c r="AB106" s="1209"/>
      <c r="AC106" s="1209"/>
    </row>
    <row r="107" spans="1:29" ht="15">
      <c r="A107" s="1341"/>
      <c r="B107" s="1346"/>
      <c r="C107" s="1347">
        <v>100</v>
      </c>
      <c r="D107" s="1347">
        <f t="shared" ref="D107:M107" si="24">C107-$K35</f>
        <v>100</v>
      </c>
      <c r="E107" s="1347">
        <f t="shared" si="24"/>
        <v>100</v>
      </c>
      <c r="F107" s="1347">
        <f t="shared" si="24"/>
        <v>100</v>
      </c>
      <c r="G107" s="1347">
        <f t="shared" si="24"/>
        <v>100</v>
      </c>
      <c r="H107" s="1347">
        <f t="shared" si="24"/>
        <v>100</v>
      </c>
      <c r="I107" s="1347">
        <f t="shared" si="24"/>
        <v>100</v>
      </c>
      <c r="J107" s="1347">
        <f t="shared" si="24"/>
        <v>100</v>
      </c>
      <c r="K107" s="1347">
        <f t="shared" si="24"/>
        <v>100</v>
      </c>
      <c r="L107" s="1347">
        <f t="shared" si="24"/>
        <v>100</v>
      </c>
      <c r="M107" s="1397">
        <f t="shared" si="24"/>
        <v>100</v>
      </c>
      <c r="N107" s="1393"/>
      <c r="O107" s="1393"/>
      <c r="P107" s="1619"/>
      <c r="Q107" s="1314"/>
      <c r="R107" s="1209"/>
      <c r="S107" s="1209"/>
      <c r="T107" s="1209"/>
      <c r="U107" s="1209"/>
      <c r="V107" s="1209"/>
      <c r="W107" s="1209"/>
      <c r="X107" s="1209"/>
      <c r="Y107" s="1209"/>
      <c r="Z107" s="1209"/>
      <c r="AA107" s="1209"/>
      <c r="AB107" s="1209"/>
      <c r="AC107" s="1209"/>
    </row>
    <row r="108" spans="1:29">
      <c r="A108" s="1375"/>
      <c r="B108" s="1344" t="s">
        <v>1441</v>
      </c>
      <c r="C108" s="1352"/>
      <c r="D108" s="1352"/>
      <c r="E108" s="1352"/>
      <c r="F108" s="1369"/>
      <c r="G108" s="1369"/>
      <c r="H108" s="1369"/>
      <c r="I108" s="1369"/>
      <c r="J108" s="1369"/>
      <c r="K108" s="1420"/>
      <c r="L108" s="1421"/>
      <c r="M108" s="1422"/>
      <c r="N108" s="1390"/>
      <c r="O108" s="1390"/>
      <c r="P108" s="1619"/>
      <c r="Q108" s="1314"/>
      <c r="R108" s="1209"/>
      <c r="S108" s="1209"/>
      <c r="T108" s="1209"/>
      <c r="U108" s="1209"/>
      <c r="V108" s="1209"/>
      <c r="W108" s="1209"/>
      <c r="X108" s="1209"/>
      <c r="Y108" s="1209"/>
      <c r="Z108" s="1209"/>
      <c r="AA108" s="1209"/>
      <c r="AB108" s="1209"/>
      <c r="AC108" s="1209"/>
    </row>
    <row r="109" spans="1:29" ht="15">
      <c r="A109" s="1341"/>
      <c r="B109" s="1346"/>
      <c r="C109" s="1347">
        <v>100</v>
      </c>
      <c r="D109" s="1347">
        <f t="shared" ref="D109:M109" si="25">C109-$K36</f>
        <v>100</v>
      </c>
      <c r="E109" s="1347">
        <f t="shared" si="25"/>
        <v>100</v>
      </c>
      <c r="F109" s="1347">
        <f t="shared" si="25"/>
        <v>100</v>
      </c>
      <c r="G109" s="1347">
        <f t="shared" si="25"/>
        <v>100</v>
      </c>
      <c r="H109" s="1347">
        <f t="shared" si="25"/>
        <v>100</v>
      </c>
      <c r="I109" s="1347">
        <f t="shared" si="25"/>
        <v>100</v>
      </c>
      <c r="J109" s="1347">
        <f t="shared" si="25"/>
        <v>100</v>
      </c>
      <c r="K109" s="1347">
        <f t="shared" si="25"/>
        <v>100</v>
      </c>
      <c r="L109" s="1347">
        <f t="shared" si="25"/>
        <v>100</v>
      </c>
      <c r="M109" s="1397">
        <f t="shared" si="25"/>
        <v>100</v>
      </c>
      <c r="N109" s="1393"/>
      <c r="O109" s="1393"/>
      <c r="P109" s="1619"/>
      <c r="Q109" s="1314"/>
      <c r="R109" s="1209"/>
      <c r="S109" s="1209"/>
      <c r="T109" s="1209"/>
      <c r="U109" s="1209"/>
      <c r="V109" s="1209"/>
      <c r="W109" s="1209"/>
      <c r="X109" s="1209"/>
      <c r="Y109" s="1209"/>
      <c r="Z109" s="1209"/>
      <c r="AA109" s="1209"/>
      <c r="AB109" s="1209"/>
      <c r="AC109" s="1209"/>
    </row>
    <row r="110" spans="1:29">
      <c r="A110" s="1375"/>
      <c r="B110" s="1344" t="s">
        <v>683</v>
      </c>
      <c r="C110" s="1363" t="str">
        <f>C111&amp;"(含)"&amp;"-"&amp;D111</f>
        <v>0.5(含)-0.6</v>
      </c>
      <c r="D110" s="1363" t="str">
        <f>D111&amp;"(含)"&amp;"-"&amp;E111</f>
        <v>0.6(含)-0.7</v>
      </c>
      <c r="E110" s="1363" t="str">
        <f>E111&amp;"(含)"&amp;"-"&amp;F111</f>
        <v>0.7(含)-0.8</v>
      </c>
      <c r="F110" s="1363" t="str">
        <f>F111&amp;"(含)"&amp;"-"&amp;G111</f>
        <v>0.8(含)-0.9</v>
      </c>
      <c r="G110" s="1363" t="str">
        <f>G111&amp;"(含)"&amp;"-"&amp;ROUND(H111,0)&amp;"(含)"</f>
        <v>0.9(含)-1(含)</v>
      </c>
      <c r="H110" s="1363"/>
      <c r="I110" s="1369"/>
      <c r="J110" s="1369"/>
      <c r="K110" s="1420"/>
      <c r="L110" s="1421"/>
      <c r="M110" s="1422"/>
      <c r="N110" s="1390"/>
      <c r="O110" s="1390"/>
      <c r="P110" s="1619"/>
      <c r="Q110" s="1314"/>
      <c r="R110" s="1209"/>
      <c r="S110" s="1209"/>
      <c r="T110" s="1209"/>
      <c r="U110" s="1209"/>
      <c r="V110" s="1209"/>
      <c r="W110" s="1209"/>
      <c r="X110" s="1209"/>
      <c r="Y110" s="1209"/>
      <c r="Z110" s="1209"/>
      <c r="AA110" s="1209"/>
      <c r="AB110" s="1209"/>
      <c r="AC110" s="1209"/>
    </row>
    <row r="111" spans="1:29">
      <c r="A111" s="1375"/>
      <c r="B111" s="1348"/>
      <c r="C111" s="992">
        <v>0.5</v>
      </c>
      <c r="D111" s="992">
        <v>0.6</v>
      </c>
      <c r="E111" s="992">
        <v>0.7</v>
      </c>
      <c r="F111" s="992">
        <v>0.8</v>
      </c>
      <c r="G111" s="992">
        <v>0.9</v>
      </c>
      <c r="H111" s="992">
        <v>1.0001</v>
      </c>
      <c r="I111" s="1592"/>
      <c r="J111" s="1592"/>
      <c r="K111" s="1593"/>
      <c r="L111" s="1594"/>
      <c r="M111" s="1595"/>
      <c r="N111" s="1390"/>
      <c r="O111" s="1390"/>
      <c r="P111" s="1619"/>
      <c r="Q111" s="1314"/>
      <c r="R111" s="1209"/>
      <c r="S111" s="1209"/>
      <c r="T111" s="1209"/>
      <c r="U111" s="1209"/>
      <c r="V111" s="1209"/>
      <c r="W111" s="1209"/>
      <c r="X111" s="1209"/>
      <c r="Y111" s="1209"/>
      <c r="Z111" s="1209"/>
      <c r="AA111" s="1209"/>
      <c r="AB111" s="1209"/>
      <c r="AC111" s="1209"/>
    </row>
    <row r="112" spans="1:29" ht="15">
      <c r="A112" s="1341"/>
      <c r="B112" s="1346"/>
      <c r="C112" s="1365">
        <v>100</v>
      </c>
      <c r="D112" s="1347">
        <f>C112+$K37</f>
        <v>100</v>
      </c>
      <c r="E112" s="1347">
        <f t="shared" ref="E112:M112" si="26">D112+$K37</f>
        <v>100</v>
      </c>
      <c r="F112" s="1347">
        <f t="shared" si="26"/>
        <v>100</v>
      </c>
      <c r="G112" s="1347">
        <f t="shared" si="26"/>
        <v>100</v>
      </c>
      <c r="H112" s="1347">
        <f t="shared" si="26"/>
        <v>100</v>
      </c>
      <c r="I112" s="1347">
        <f t="shared" si="26"/>
        <v>100</v>
      </c>
      <c r="J112" s="1347">
        <f t="shared" si="26"/>
        <v>100</v>
      </c>
      <c r="K112" s="1347">
        <f t="shared" si="26"/>
        <v>100</v>
      </c>
      <c r="L112" s="1347">
        <f t="shared" si="26"/>
        <v>100</v>
      </c>
      <c r="M112" s="1347">
        <f t="shared" si="26"/>
        <v>100</v>
      </c>
      <c r="N112" s="1393"/>
      <c r="O112" s="1393"/>
      <c r="P112" s="1619"/>
      <c r="Q112" s="1314"/>
      <c r="R112" s="1209"/>
      <c r="S112" s="1209"/>
      <c r="T112" s="1209"/>
      <c r="U112" s="1209"/>
      <c r="V112" s="1209"/>
      <c r="W112" s="1209"/>
      <c r="X112" s="1209"/>
      <c r="Y112" s="1209"/>
      <c r="Z112" s="1209"/>
      <c r="AA112" s="1209"/>
      <c r="AB112" s="1209"/>
      <c r="AC112" s="1209"/>
    </row>
    <row r="113" spans="1:29" s="1095" customFormat="1">
      <c r="A113" s="1372"/>
      <c r="B113" s="1344" t="s">
        <v>2011</v>
      </c>
      <c r="C113" s="1352"/>
      <c r="D113" s="1352"/>
      <c r="E113" s="1352"/>
      <c r="F113" s="1352"/>
      <c r="G113" s="1352"/>
      <c r="H113" s="1369"/>
      <c r="I113" s="1369"/>
      <c r="J113" s="1369"/>
      <c r="K113" s="1420"/>
      <c r="L113" s="1421"/>
      <c r="M113" s="1422"/>
      <c r="N113" s="1403"/>
      <c r="O113" s="1403"/>
      <c r="P113" s="1627"/>
      <c r="Q113" s="1435"/>
      <c r="R113" s="1436"/>
      <c r="S113" s="1436"/>
      <c r="T113" s="1436"/>
      <c r="U113" s="1436"/>
      <c r="V113" s="1436"/>
      <c r="W113" s="1436"/>
      <c r="X113" s="1436"/>
      <c r="Y113" s="1436"/>
      <c r="Z113" s="1436"/>
      <c r="AA113" s="1436"/>
      <c r="AB113" s="1436"/>
      <c r="AC113" s="1436"/>
    </row>
    <row r="114" spans="1:29" s="1095" customFormat="1" ht="15">
      <c r="A114" s="1351"/>
      <c r="B114" s="1346"/>
      <c r="C114" s="1347">
        <v>100</v>
      </c>
      <c r="D114" s="1347">
        <f>C114-$K38</f>
        <v>100</v>
      </c>
      <c r="E114" s="1347">
        <f t="shared" ref="E114:M114" si="27">D114-$K38</f>
        <v>100</v>
      </c>
      <c r="F114" s="1347">
        <f t="shared" si="27"/>
        <v>100</v>
      </c>
      <c r="G114" s="1347">
        <f t="shared" si="27"/>
        <v>100</v>
      </c>
      <c r="H114" s="1347">
        <f t="shared" si="27"/>
        <v>100</v>
      </c>
      <c r="I114" s="1347">
        <f t="shared" si="27"/>
        <v>100</v>
      </c>
      <c r="J114" s="1347">
        <f t="shared" si="27"/>
        <v>100</v>
      </c>
      <c r="K114" s="1347">
        <f t="shared" si="27"/>
        <v>100</v>
      </c>
      <c r="L114" s="1347">
        <f t="shared" si="27"/>
        <v>100</v>
      </c>
      <c r="M114" s="1347">
        <f t="shared" si="27"/>
        <v>100</v>
      </c>
      <c r="N114" s="1403"/>
      <c r="O114" s="1403"/>
      <c r="P114" s="1627"/>
      <c r="Q114" s="1435"/>
      <c r="R114" s="1436"/>
      <c r="S114" s="1436"/>
      <c r="T114" s="1436"/>
      <c r="U114" s="1436"/>
      <c r="V114" s="1436"/>
      <c r="W114" s="1436"/>
      <c r="X114" s="1436"/>
      <c r="Y114" s="1436"/>
      <c r="Z114" s="1436"/>
      <c r="AA114" s="1436"/>
      <c r="AB114" s="1436"/>
      <c r="AC114" s="1436"/>
    </row>
    <row r="115" spans="1:29">
      <c r="A115" s="1375"/>
      <c r="B115" s="1344" t="s">
        <v>1968</v>
      </c>
      <c r="C115" s="1352"/>
      <c r="D115" s="1352"/>
      <c r="E115" s="1369"/>
      <c r="F115" s="1369"/>
      <c r="G115" s="1369"/>
      <c r="H115" s="1369"/>
      <c r="I115" s="1369"/>
      <c r="J115" s="1369"/>
      <c r="K115" s="1420"/>
      <c r="L115" s="1421"/>
      <c r="M115" s="1422"/>
      <c r="N115" s="1390"/>
      <c r="O115" s="1390"/>
      <c r="P115" s="1619"/>
      <c r="Q115" s="1314"/>
      <c r="R115" s="1209"/>
      <c r="S115" s="1209"/>
      <c r="T115" s="1209"/>
      <c r="U115" s="1209"/>
      <c r="V115" s="1209"/>
      <c r="W115" s="1209"/>
      <c r="X115" s="1209"/>
      <c r="Y115" s="1209"/>
      <c r="Z115" s="1209"/>
      <c r="AA115" s="1209"/>
      <c r="AB115" s="1209"/>
      <c r="AC115" s="1209"/>
    </row>
    <row r="116" spans="1:29" ht="15">
      <c r="A116" s="1341"/>
      <c r="B116" s="1346"/>
      <c r="C116" s="1347">
        <v>100</v>
      </c>
      <c r="D116" s="1347">
        <f t="shared" ref="D116:M116" si="28">C116-$K39</f>
        <v>100</v>
      </c>
      <c r="E116" s="1347">
        <f t="shared" si="28"/>
        <v>100</v>
      </c>
      <c r="F116" s="1347">
        <f t="shared" si="28"/>
        <v>100</v>
      </c>
      <c r="G116" s="1347">
        <f t="shared" si="28"/>
        <v>100</v>
      </c>
      <c r="H116" s="1347">
        <f t="shared" si="28"/>
        <v>100</v>
      </c>
      <c r="I116" s="1347">
        <f t="shared" si="28"/>
        <v>100</v>
      </c>
      <c r="J116" s="1347">
        <f t="shared" si="28"/>
        <v>100</v>
      </c>
      <c r="K116" s="1347">
        <f t="shared" si="28"/>
        <v>100</v>
      </c>
      <c r="L116" s="1347">
        <f t="shared" si="28"/>
        <v>100</v>
      </c>
      <c r="M116" s="1397">
        <f t="shared" si="28"/>
        <v>100</v>
      </c>
      <c r="N116" s="1393"/>
      <c r="O116" s="1393"/>
      <c r="P116" s="1619"/>
      <c r="Q116" s="1314"/>
      <c r="R116" s="1209"/>
      <c r="S116" s="1209"/>
      <c r="T116" s="1209"/>
      <c r="U116" s="1209"/>
      <c r="V116" s="1209"/>
      <c r="W116" s="1209"/>
      <c r="X116" s="1209"/>
      <c r="Y116" s="1209"/>
      <c r="Z116" s="1209"/>
      <c r="AA116" s="1209"/>
      <c r="AB116" s="1209"/>
      <c r="AC116" s="1209"/>
    </row>
    <row r="117" spans="1:29">
      <c r="A117" s="1375"/>
      <c r="B117" s="1344" t="s">
        <v>1969</v>
      </c>
      <c r="C117" s="1352"/>
      <c r="D117" s="1352"/>
      <c r="E117" s="1352"/>
      <c r="F117" s="1352"/>
      <c r="G117" s="1352"/>
      <c r="H117" s="1369"/>
      <c r="I117" s="1369"/>
      <c r="J117" s="1369"/>
      <c r="K117" s="1420"/>
      <c r="L117" s="1421"/>
      <c r="M117" s="1422"/>
      <c r="N117" s="1390"/>
      <c r="O117" s="1390"/>
      <c r="P117" s="1619"/>
      <c r="Q117" s="1314"/>
      <c r="R117" s="1209"/>
      <c r="S117" s="1209"/>
      <c r="T117" s="1209"/>
      <c r="U117" s="1209"/>
      <c r="V117" s="1209"/>
      <c r="W117" s="1209"/>
      <c r="X117" s="1209"/>
      <c r="Y117" s="1209"/>
      <c r="Z117" s="1209"/>
      <c r="AA117" s="1209"/>
      <c r="AB117" s="1209"/>
      <c r="AC117" s="1209"/>
    </row>
    <row r="118" spans="1:29" ht="15">
      <c r="A118" s="1341"/>
      <c r="B118" s="1346"/>
      <c r="C118" s="1347">
        <v>100</v>
      </c>
      <c r="D118" s="1347">
        <f>C118-$K40</f>
        <v>100</v>
      </c>
      <c r="E118" s="1347">
        <f>D118-$K40</f>
        <v>100</v>
      </c>
      <c r="F118" s="1347">
        <f>E118-$K40</f>
        <v>100</v>
      </c>
      <c r="G118" s="1347">
        <f>F118-$K40</f>
        <v>100</v>
      </c>
      <c r="H118" s="1347"/>
      <c r="I118" s="1347"/>
      <c r="J118" s="1347"/>
      <c r="K118" s="1347"/>
      <c r="L118" s="1347"/>
      <c r="M118" s="1397"/>
      <c r="N118" s="1393"/>
      <c r="O118" s="1393"/>
      <c r="P118" s="1619"/>
      <c r="Q118" s="1314"/>
      <c r="R118" s="1209"/>
      <c r="S118" s="1209"/>
      <c r="T118" s="1209"/>
      <c r="U118" s="1209"/>
      <c r="V118" s="1209"/>
      <c r="W118" s="1209"/>
      <c r="X118" s="1209"/>
      <c r="Y118" s="1209"/>
      <c r="Z118" s="1209"/>
      <c r="AA118" s="1209"/>
      <c r="AB118" s="1209"/>
      <c r="AC118" s="1209"/>
    </row>
    <row r="119" spans="1:29">
      <c r="A119" s="1375"/>
      <c r="B119" s="1539" t="s">
        <v>2013</v>
      </c>
      <c r="C119" s="1369"/>
      <c r="D119" s="1369"/>
      <c r="E119" s="1369"/>
      <c r="F119" s="1369"/>
      <c r="G119" s="1369"/>
      <c r="H119" s="1369"/>
      <c r="I119" s="1369"/>
      <c r="J119" s="1369"/>
      <c r="K119" s="1369"/>
      <c r="L119" s="1631"/>
      <c r="M119" s="1632"/>
      <c r="N119" s="1393"/>
      <c r="O119" s="1393"/>
      <c r="P119" s="1633"/>
      <c r="Q119" s="1550"/>
      <c r="R119" s="1209"/>
      <c r="S119" s="1209"/>
      <c r="T119" s="1209"/>
      <c r="U119" s="1209"/>
      <c r="V119" s="1209"/>
      <c r="W119" s="1209"/>
      <c r="X119" s="1209"/>
      <c r="Y119" s="1209"/>
      <c r="Z119" s="1209"/>
      <c r="AA119" s="1209"/>
      <c r="AB119" s="1209"/>
      <c r="AC119" s="1209"/>
    </row>
    <row r="120" spans="1:29" ht="15">
      <c r="A120" s="1341"/>
      <c r="B120" s="1346"/>
      <c r="C120" s="1365">
        <v>100</v>
      </c>
      <c r="D120" s="1347">
        <f>C120-$K41</f>
        <v>100</v>
      </c>
      <c r="E120" s="1347">
        <f t="shared" ref="E120:M120" si="29">D120-$K41</f>
        <v>100</v>
      </c>
      <c r="F120" s="1347">
        <f t="shared" si="29"/>
        <v>100</v>
      </c>
      <c r="G120" s="1347">
        <f t="shared" si="29"/>
        <v>100</v>
      </c>
      <c r="H120" s="1347">
        <f t="shared" si="29"/>
        <v>100</v>
      </c>
      <c r="I120" s="1347">
        <f t="shared" si="29"/>
        <v>100</v>
      </c>
      <c r="J120" s="1347">
        <f t="shared" si="29"/>
        <v>100</v>
      </c>
      <c r="K120" s="1347">
        <f t="shared" si="29"/>
        <v>100</v>
      </c>
      <c r="L120" s="1347">
        <f t="shared" si="29"/>
        <v>100</v>
      </c>
      <c r="M120" s="1347">
        <f t="shared" si="29"/>
        <v>100</v>
      </c>
      <c r="N120" s="1393"/>
      <c r="O120" s="1393"/>
      <c r="P120" s="1619"/>
      <c r="Q120" s="1314"/>
      <c r="R120" s="1209"/>
      <c r="S120" s="1209"/>
      <c r="T120" s="1209"/>
      <c r="U120" s="1209"/>
      <c r="V120" s="1209"/>
      <c r="W120" s="1209"/>
      <c r="X120" s="1209"/>
      <c r="Y120" s="1209"/>
      <c r="Z120" s="1209"/>
      <c r="AA120" s="1209"/>
      <c r="AB120" s="1209"/>
      <c r="AC120" s="1209"/>
    </row>
    <row r="121" spans="1:29" s="1095" customFormat="1">
      <c r="A121" s="1372"/>
      <c r="B121" s="1344" t="s">
        <v>2004</v>
      </c>
      <c r="C121" s="1352"/>
      <c r="D121" s="1352"/>
      <c r="E121" s="1352"/>
      <c r="F121" s="1369"/>
      <c r="G121" s="1353"/>
      <c r="H121" s="1353"/>
      <c r="I121" s="1353"/>
      <c r="J121" s="1353"/>
      <c r="K121" s="1353"/>
      <c r="L121" s="1401"/>
      <c r="M121" s="1402"/>
      <c r="N121" s="1403"/>
      <c r="O121" s="1403"/>
      <c r="P121" s="1627"/>
      <c r="Q121" s="1435"/>
      <c r="R121" s="1436"/>
      <c r="S121" s="1436"/>
      <c r="T121" s="1436"/>
      <c r="U121" s="1436"/>
      <c r="V121" s="1436"/>
      <c r="W121" s="1436"/>
      <c r="X121" s="1436"/>
      <c r="Y121" s="1436"/>
      <c r="Z121" s="1436"/>
      <c r="AA121" s="1436"/>
      <c r="AB121" s="1436"/>
      <c r="AC121" s="1436"/>
    </row>
    <row r="122" spans="1:29" s="1095" customFormat="1" ht="15">
      <c r="A122" s="1351"/>
      <c r="B122" s="1342"/>
      <c r="C122" s="1354"/>
      <c r="D122" s="1354"/>
      <c r="E122" s="1354"/>
      <c r="F122" s="1354"/>
      <c r="G122" s="1354"/>
      <c r="H122" s="1354"/>
      <c r="I122" s="1354"/>
      <c r="J122" s="1354"/>
      <c r="K122" s="1354"/>
      <c r="L122" s="1354"/>
      <c r="M122" s="1354"/>
      <c r="N122" s="1403"/>
      <c r="O122" s="1403"/>
      <c r="P122" s="1627"/>
      <c r="Q122" s="1435"/>
      <c r="R122" s="1436"/>
      <c r="S122" s="1436"/>
      <c r="T122" s="1436"/>
      <c r="U122" s="1436"/>
      <c r="V122" s="1436"/>
      <c r="W122" s="1436"/>
      <c r="X122" s="1436"/>
      <c r="Y122" s="1436"/>
      <c r="Z122" s="1436"/>
      <c r="AA122" s="1436"/>
      <c r="AB122" s="1436"/>
      <c r="AC122" s="1436"/>
    </row>
    <row r="123" spans="1:29">
      <c r="A123" s="1375"/>
      <c r="B123" s="1344" t="s">
        <v>1972</v>
      </c>
      <c r="C123" s="1352"/>
      <c r="D123" s="1352"/>
      <c r="E123" s="1352"/>
      <c r="F123" s="1369"/>
      <c r="G123" s="1369"/>
      <c r="H123" s="1369"/>
      <c r="I123" s="1369"/>
      <c r="J123" s="1369"/>
      <c r="K123" s="1420"/>
      <c r="L123" s="1421"/>
      <c r="M123" s="1422"/>
      <c r="N123" s="1390"/>
      <c r="O123" s="1390"/>
      <c r="P123" s="1619"/>
      <c r="Q123" s="1314"/>
      <c r="R123" s="1209"/>
      <c r="S123" s="1209"/>
      <c r="T123" s="1209"/>
      <c r="U123" s="1209"/>
      <c r="V123" s="1209"/>
      <c r="W123" s="1209"/>
      <c r="X123" s="1209"/>
      <c r="Y123" s="1209"/>
      <c r="Z123" s="1209"/>
      <c r="AA123" s="1209"/>
      <c r="AB123" s="1209"/>
      <c r="AC123" s="1209"/>
    </row>
    <row r="124" spans="1:29" ht="15">
      <c r="A124" s="1341"/>
      <c r="B124" s="1346"/>
      <c r="C124" s="1347">
        <v>100</v>
      </c>
      <c r="D124" s="1347">
        <f t="shared" ref="D124:M124" si="30">C124-$K43</f>
        <v>100</v>
      </c>
      <c r="E124" s="1347">
        <f t="shared" si="30"/>
        <v>100</v>
      </c>
      <c r="F124" s="1347">
        <f t="shared" si="30"/>
        <v>100</v>
      </c>
      <c r="G124" s="1347">
        <f t="shared" si="30"/>
        <v>100</v>
      </c>
      <c r="H124" s="1347">
        <f t="shared" si="30"/>
        <v>100</v>
      </c>
      <c r="I124" s="1347">
        <f t="shared" si="30"/>
        <v>100</v>
      </c>
      <c r="J124" s="1347">
        <f t="shared" si="30"/>
        <v>100</v>
      </c>
      <c r="K124" s="1347">
        <f t="shared" si="30"/>
        <v>100</v>
      </c>
      <c r="L124" s="1347">
        <f t="shared" si="30"/>
        <v>100</v>
      </c>
      <c r="M124" s="1397">
        <f t="shared" si="30"/>
        <v>100</v>
      </c>
      <c r="N124" s="1393"/>
      <c r="O124" s="1393"/>
      <c r="P124" s="1619"/>
      <c r="Q124" s="1314"/>
      <c r="R124" s="1209"/>
      <c r="S124" s="1209"/>
      <c r="T124" s="1209"/>
      <c r="U124" s="1209"/>
      <c r="V124" s="1209"/>
      <c r="W124" s="1209"/>
      <c r="X124" s="1209"/>
      <c r="Y124" s="1209"/>
      <c r="Z124" s="1209"/>
      <c r="AA124" s="1209"/>
      <c r="AB124" s="1209"/>
      <c r="AC124" s="1209"/>
    </row>
    <row r="125" spans="1:29">
      <c r="A125" s="1375"/>
      <c r="B125" s="1344" t="s">
        <v>1973</v>
      </c>
      <c r="C125" s="1363" t="s">
        <v>1463</v>
      </c>
      <c r="D125" s="1363" t="s">
        <v>1464</v>
      </c>
      <c r="E125" s="1363" t="s">
        <v>1465</v>
      </c>
      <c r="F125" s="1363" t="s">
        <v>1466</v>
      </c>
      <c r="G125" s="1363" t="s">
        <v>1467</v>
      </c>
      <c r="H125" s="1345"/>
      <c r="I125" s="1345"/>
      <c r="J125" s="1345"/>
      <c r="K125" s="1394"/>
      <c r="L125" s="1395"/>
      <c r="M125" s="1396"/>
      <c r="N125" s="1390"/>
      <c r="O125" s="1390"/>
      <c r="P125" s="1627"/>
      <c r="Q125" s="1314"/>
      <c r="R125" s="1209"/>
      <c r="S125" s="1209"/>
      <c r="T125" s="1209"/>
      <c r="U125" s="1209"/>
      <c r="V125" s="1209"/>
      <c r="W125" s="1209"/>
      <c r="X125" s="1209"/>
      <c r="Y125" s="1209"/>
      <c r="Z125" s="1209"/>
      <c r="AA125" s="1209"/>
      <c r="AB125" s="1209"/>
      <c r="AC125" s="1209"/>
    </row>
    <row r="126" spans="1:29" ht="15">
      <c r="A126" s="1341"/>
      <c r="B126" s="1346"/>
      <c r="C126" s="1347">
        <v>100</v>
      </c>
      <c r="D126" s="1347">
        <f>C126-$K44</f>
        <v>100</v>
      </c>
      <c r="E126" s="1347">
        <f>D126-$K44</f>
        <v>100</v>
      </c>
      <c r="F126" s="1347">
        <f>E126-$K44</f>
        <v>100</v>
      </c>
      <c r="G126" s="1347">
        <f>F126-$K44</f>
        <v>100</v>
      </c>
      <c r="H126" s="1347"/>
      <c r="I126" s="1347"/>
      <c r="J126" s="1347"/>
      <c r="K126" s="1347"/>
      <c r="L126" s="1347"/>
      <c r="M126" s="1397"/>
      <c r="N126" s="1393"/>
      <c r="O126" s="1393"/>
      <c r="P126" s="1619"/>
      <c r="Q126" s="1314"/>
      <c r="R126" s="1209"/>
      <c r="S126" s="1209"/>
      <c r="T126" s="1209"/>
      <c r="U126" s="1209"/>
      <c r="V126" s="1209"/>
      <c r="W126" s="1209"/>
      <c r="X126" s="1209"/>
      <c r="Y126" s="1209"/>
      <c r="Z126" s="1209"/>
      <c r="AA126" s="1209"/>
      <c r="AB126" s="1209"/>
      <c r="AC126" s="1209"/>
    </row>
    <row r="127" spans="1:29" s="1095" customFormat="1">
      <c r="A127" s="1372"/>
      <c r="B127" s="1344">
        <f>B45</f>
        <v>111</v>
      </c>
      <c r="C127" s="1352"/>
      <c r="D127" s="1352"/>
      <c r="E127" s="1352"/>
      <c r="F127" s="1352"/>
      <c r="G127" s="1352"/>
      <c r="H127" s="1353"/>
      <c r="I127" s="1353"/>
      <c r="J127" s="1353"/>
      <c r="K127" s="1353"/>
      <c r="L127" s="1401"/>
      <c r="M127" s="1402"/>
      <c r="N127" s="1403"/>
      <c r="O127" s="1403"/>
      <c r="P127" s="1627"/>
      <c r="Q127" s="1435"/>
      <c r="R127" s="1436"/>
      <c r="S127" s="1436"/>
      <c r="T127" s="1436"/>
      <c r="U127" s="1436"/>
      <c r="V127" s="1436"/>
      <c r="W127" s="1436"/>
      <c r="X127" s="1436"/>
      <c r="Y127" s="1436"/>
      <c r="Z127" s="1436"/>
      <c r="AA127" s="1436"/>
      <c r="AB127" s="1436"/>
      <c r="AC127" s="1436"/>
    </row>
    <row r="128" spans="1:29" s="1095" customFormat="1" ht="15">
      <c r="A128" s="1351"/>
      <c r="B128" s="1346"/>
      <c r="C128" s="1354"/>
      <c r="D128" s="1343"/>
      <c r="E128" s="1343"/>
      <c r="F128" s="1343"/>
      <c r="G128" s="1354"/>
      <c r="H128" s="1355"/>
      <c r="I128" s="1355"/>
      <c r="J128" s="1355"/>
      <c r="K128" s="1355"/>
      <c r="L128" s="1355"/>
      <c r="M128" s="1405"/>
      <c r="N128" s="1403"/>
      <c r="O128" s="1403"/>
      <c r="P128" s="1627"/>
      <c r="Q128" s="1435"/>
      <c r="R128" s="1436"/>
      <c r="S128" s="1436"/>
      <c r="T128" s="1436"/>
      <c r="U128" s="1436"/>
      <c r="V128" s="1436"/>
      <c r="W128" s="1436"/>
      <c r="X128" s="1436"/>
      <c r="Y128" s="1436"/>
      <c r="Z128" s="1436"/>
      <c r="AA128" s="1436"/>
      <c r="AB128" s="1436"/>
      <c r="AC128" s="1436"/>
    </row>
    <row r="129" spans="1:29">
      <c r="A129" s="1375"/>
      <c r="B129" s="1344">
        <f>B46</f>
        <v>111</v>
      </c>
      <c r="C129" s="1352"/>
      <c r="D129" s="1352"/>
      <c r="E129" s="1352"/>
      <c r="F129" s="1352"/>
      <c r="G129" s="1369"/>
      <c r="H129" s="1369"/>
      <c r="I129" s="1369"/>
      <c r="J129" s="1369"/>
      <c r="K129" s="1420"/>
      <c r="L129" s="1421"/>
      <c r="M129" s="1422"/>
      <c r="N129" s="1390"/>
      <c r="O129" s="1390"/>
      <c r="P129" s="1619"/>
      <c r="Q129" s="1314"/>
      <c r="R129" s="1209"/>
      <c r="S129" s="1209"/>
      <c r="T129" s="1209"/>
      <c r="U129" s="1209"/>
      <c r="V129" s="1209"/>
      <c r="W129" s="1209"/>
      <c r="X129" s="1209"/>
      <c r="Y129" s="1209"/>
      <c r="Z129" s="1209"/>
      <c r="AA129" s="1209"/>
      <c r="AB129" s="1209"/>
      <c r="AC129" s="1209"/>
    </row>
    <row r="130" spans="1:29" ht="15">
      <c r="A130" s="1341"/>
      <c r="B130" s="1346"/>
      <c r="C130" s="1354"/>
      <c r="D130" s="1354"/>
      <c r="E130" s="1354"/>
      <c r="F130" s="1354"/>
      <c r="G130" s="1343"/>
      <c r="H130" s="1343"/>
      <c r="I130" s="1343"/>
      <c r="J130" s="1343"/>
      <c r="K130" s="1343"/>
      <c r="L130" s="1343"/>
      <c r="M130" s="1392"/>
      <c r="N130" s="1393"/>
      <c r="O130" s="1393"/>
      <c r="P130" s="1619"/>
      <c r="Q130" s="1314"/>
      <c r="R130" s="1209"/>
      <c r="S130" s="1209"/>
      <c r="T130" s="1209"/>
      <c r="U130" s="1209"/>
      <c r="V130" s="1209"/>
      <c r="W130" s="1209"/>
      <c r="X130" s="1209"/>
      <c r="Y130" s="1209"/>
      <c r="Z130" s="1209"/>
      <c r="AA130" s="1209"/>
      <c r="AB130" s="1209"/>
      <c r="AC130" s="1209"/>
    </row>
    <row r="131" spans="1:29">
      <c r="A131" s="1375"/>
      <c r="B131" s="1348">
        <f>B47</f>
        <v>111</v>
      </c>
      <c r="C131" s="1336"/>
      <c r="D131" s="1336"/>
      <c r="E131" s="1336"/>
      <c r="F131" s="1336"/>
      <c r="G131" s="1370"/>
      <c r="H131" s="1370"/>
      <c r="I131" s="1370"/>
      <c r="J131" s="1370"/>
      <c r="K131" s="1336"/>
      <c r="L131" s="1382"/>
      <c r="M131" s="1425"/>
      <c r="N131" s="1390"/>
      <c r="O131" s="1390"/>
      <c r="P131" s="1619"/>
      <c r="Q131" s="1314"/>
      <c r="R131" s="1209"/>
      <c r="S131" s="1209"/>
      <c r="T131" s="1209"/>
      <c r="U131" s="1209"/>
      <c r="V131" s="1209"/>
      <c r="W131" s="1209"/>
      <c r="X131" s="1209"/>
      <c r="Y131" s="1209"/>
      <c r="Z131" s="1209"/>
      <c r="AA131" s="1209"/>
      <c r="AB131" s="1209"/>
      <c r="AC131" s="1209"/>
    </row>
    <row r="132" spans="1:29" ht="15">
      <c r="A132" s="1588"/>
      <c r="B132" s="1358"/>
      <c r="C132" s="1359"/>
      <c r="D132" s="1359"/>
      <c r="E132" s="1359"/>
      <c r="F132" s="1359"/>
      <c r="G132" s="1371"/>
      <c r="H132" s="1371"/>
      <c r="I132" s="1371"/>
      <c r="J132" s="1371"/>
      <c r="K132" s="1371"/>
      <c r="L132" s="1371"/>
      <c r="M132" s="1426"/>
      <c r="N132" s="1393"/>
      <c r="O132" s="1393"/>
      <c r="P132" s="1619"/>
      <c r="Q132" s="1314"/>
      <c r="R132" s="1209"/>
      <c r="S132" s="1209"/>
      <c r="T132" s="1209"/>
      <c r="U132" s="1209"/>
      <c r="V132" s="1209"/>
      <c r="W132" s="1209"/>
      <c r="X132" s="1209"/>
      <c r="Y132" s="1209"/>
      <c r="Z132" s="1209"/>
      <c r="AA132" s="1209"/>
      <c r="AB132" s="1209"/>
      <c r="AC132" s="12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E53">
    <cfRule type="expression" dxfId="100" priority="16" stopIfTrue="1">
      <formula>$F$53="超过30%"</formula>
    </cfRule>
  </conditionalFormatting>
  <conditionalFormatting sqref="G53">
    <cfRule type="expression" dxfId="99" priority="12" stopIfTrue="1">
      <formula>$H$53="超过30%"</formula>
    </cfRule>
  </conditionalFormatting>
  <conditionalFormatting sqref="I53">
    <cfRule type="expression" dxfId="98" priority="7" stopIfTrue="1">
      <formula>$J$53="超过30%"</formula>
    </cfRule>
  </conditionalFormatting>
  <conditionalFormatting sqref="J53">
    <cfRule type="containsText" dxfId="97" priority="10" stopIfTrue="1" operator="containsText" text="超过">
      <formula>NOT(ISERROR(SEARCH("超过",J53)))</formula>
    </cfRule>
  </conditionalFormatting>
  <conditionalFormatting sqref="E54">
    <cfRule type="expression" dxfId="96" priority="15" stopIfTrue="1">
      <formula>$F$54="超过20%"</formula>
    </cfRule>
  </conditionalFormatting>
  <conditionalFormatting sqref="G54">
    <cfRule type="expression" dxfId="95" priority="11" stopIfTrue="1">
      <formula>$H$54="超过20%"</formula>
    </cfRule>
  </conditionalFormatting>
  <conditionalFormatting sqref="I54">
    <cfRule type="expression" dxfId="94" priority="6" stopIfTrue="1">
      <formula>$J$53+$J$54="超过20%"</formula>
    </cfRule>
  </conditionalFormatting>
  <conditionalFormatting sqref="J54">
    <cfRule type="containsText" dxfId="93" priority="8" stopIfTrue="1" operator="containsText" text="超过">
      <formula>NOT(ISERROR(SEARCH("超过",J54)))</formula>
    </cfRule>
  </conditionalFormatting>
  <conditionalFormatting sqref="E55">
    <cfRule type="expression" dxfId="92" priority="14" stopIfTrue="1">
      <formula>$F$55="超过30%"</formula>
    </cfRule>
  </conditionalFormatting>
  <conditionalFormatting sqref="F55">
    <cfRule type="containsText" dxfId="91" priority="18" stopIfTrue="1" operator="containsText" text="超过">
      <formula>NOT(ISERROR(SEARCH("超过",F55)))</formula>
    </cfRule>
  </conditionalFormatting>
  <conditionalFormatting sqref="G55">
    <cfRule type="expression" dxfId="90" priority="13" stopIfTrue="1">
      <formula>$H$55="超过30%"</formula>
    </cfRule>
  </conditionalFormatting>
  <conditionalFormatting sqref="H55">
    <cfRule type="containsText" dxfId="89" priority="19" stopIfTrue="1" operator="containsText" text="超过">
      <formula>NOT(ISERROR(SEARCH("超过",H55)))</formula>
    </cfRule>
  </conditionalFormatting>
  <conditionalFormatting sqref="I55">
    <cfRule type="expression" dxfId="88" priority="5" stopIfTrue="1">
      <formula>$J$55="超过30%"</formula>
    </cfRule>
  </conditionalFormatting>
  <conditionalFormatting sqref="J55">
    <cfRule type="containsText" dxfId="87" priority="9" stopIfTrue="1" operator="containsText" text="超过">
      <formula>NOT(ISERROR(SEARCH("超过",J55)))</formula>
    </cfRule>
  </conditionalFormatting>
  <conditionalFormatting sqref="F7:F47 H7:H47 J7:J47">
    <cfRule type="cellIs" dxfId="86" priority="1" operator="notEqual">
      <formula>100</formula>
    </cfRule>
  </conditionalFormatting>
  <conditionalFormatting sqref="F53 H53">
    <cfRule type="containsText" dxfId="85" priority="20" stopIfTrue="1" operator="containsText" text="超过">
      <formula>NOT(ISERROR(SEARCH("超过",F53)))</formula>
    </cfRule>
  </conditionalFormatting>
  <conditionalFormatting sqref="F54 H54">
    <cfRule type="containsText" dxfId="8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99" customWidth="1"/>
    <col min="2" max="2" width="15.75" style="1099" customWidth="1"/>
    <col min="3" max="3" width="14.37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4.5" style="1099" customWidth="1"/>
    <col min="10" max="10" width="12.25" style="1099" customWidth="1"/>
    <col min="11" max="11" width="12.25" style="1100" customWidth="1"/>
    <col min="12" max="12" width="12.25" style="1101" customWidth="1"/>
    <col min="13" max="15" width="12.25" style="1099" customWidth="1"/>
    <col min="16" max="16" width="4.75" style="10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471" customFormat="1" ht="28.5" customHeight="1">
      <c r="A1" s="1472" t="s">
        <v>1955</v>
      </c>
      <c r="B1" s="1551" t="s">
        <v>2014</v>
      </c>
      <c r="C1" s="1474" t="s">
        <v>1388</v>
      </c>
      <c r="D1" s="1475"/>
      <c r="E1" s="1476"/>
      <c r="F1" s="1477"/>
      <c r="G1" s="1478" t="s">
        <v>1391</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92" customFormat="1" ht="28.5" customHeight="1">
      <c r="A2" s="1480" t="s">
        <v>1392</v>
      </c>
      <c r="B2" s="1481" t="b">
        <f>IF(E1="项目模式",IF(C2="——",ROUND(C43*D3/10000,0),ROUND(C43*D3/10000,0)-D2),IF(E1="单套模式",IF(C2="——",ROUND(C43*D3/10000,4),ROUND(C43*D3/10000,4)-D2)))</f>
        <v>0</v>
      </c>
      <c r="C2" s="1482"/>
      <c r="D2" s="1438" t="e">
        <f ca="1">IF(E1="项目模式",SUMIF(INDIRECT("'"&amp;F2&amp;"'"&amp;"!A:A"),"承租人权益价值",INDIRECT("'"&amp;F2&amp;"'"&amp;"!c:c")),SUMIF(INDIRECT("'"&amp;F2&amp;"'"&amp;"!A:A"),"承租人权益价值（单套）",INDIRECT("'"&amp;F2&amp;"'"&amp;"!c:c")))</f>
        <v>#REF!</v>
      </c>
      <c r="E2" s="1483" t="s">
        <v>1393</v>
      </c>
      <c r="F2" s="1484"/>
      <c r="G2" s="1108"/>
      <c r="H2" s="1108"/>
      <c r="I2" s="1108"/>
      <c r="J2" s="1108"/>
      <c r="K2" s="1108"/>
      <c r="L2" s="1557"/>
      <c r="M2" s="1558"/>
      <c r="N2" s="1558"/>
      <c r="O2" s="1558"/>
      <c r="P2" s="1255"/>
      <c r="Q2" s="1255"/>
      <c r="R2" s="1255"/>
      <c r="S2" s="1255"/>
      <c r="T2" s="1255"/>
      <c r="U2" s="1255"/>
      <c r="V2" s="1255"/>
      <c r="W2" s="1255"/>
      <c r="X2" s="1255"/>
      <c r="Y2" s="1255"/>
      <c r="Z2" s="1255"/>
      <c r="AA2" s="1255"/>
      <c r="AB2" s="1255"/>
      <c r="AC2" s="1317"/>
    </row>
    <row r="3" spans="1:29" s="1092" customFormat="1" ht="28.5" customHeight="1">
      <c r="A3" s="389" t="s">
        <v>1394</v>
      </c>
      <c r="B3" s="1110">
        <f>IF(C2="——",C43,ROUND(B2*10000/D3,0))</f>
        <v>0</v>
      </c>
      <c r="C3" s="1485" t="s">
        <v>1395</v>
      </c>
      <c r="D3" s="1486">
        <f>IF(D1="",'数据-汇总表'!E3,SUMIF('数据-汇总表'!$C19:$C33,D1,'数据-汇总表'!$E19:$E33))</f>
        <v>30.6</v>
      </c>
      <c r="E3" s="1108"/>
      <c r="F3" s="1109"/>
      <c r="G3" s="1108"/>
      <c r="H3" s="1108"/>
      <c r="I3" s="1108"/>
      <c r="J3" s="1108"/>
      <c r="K3" s="1256"/>
      <c r="L3" s="1557"/>
      <c r="M3" s="1558"/>
      <c r="N3" s="1558"/>
      <c r="O3" s="1558"/>
      <c r="P3" s="1255"/>
      <c r="Q3" s="1255"/>
      <c r="R3" s="1255"/>
      <c r="S3" s="1255"/>
      <c r="T3" s="1255"/>
      <c r="U3" s="1255"/>
      <c r="V3" s="1255"/>
      <c r="W3" s="1255"/>
      <c r="X3" s="1255"/>
      <c r="Y3" s="1255"/>
      <c r="Z3" s="1255"/>
      <c r="AA3" s="1255"/>
      <c r="AB3" s="1316"/>
      <c r="AC3" s="1317"/>
    </row>
    <row r="4" spans="1:29" ht="15">
      <c r="A4" s="1112" t="s">
        <v>1397</v>
      </c>
      <c r="B4" s="1113"/>
      <c r="C4" s="3679" t="s">
        <v>1398</v>
      </c>
      <c r="D4" s="3680"/>
      <c r="E4" s="3681" t="s">
        <v>1399</v>
      </c>
      <c r="F4" s="3682"/>
      <c r="G4" s="3679" t="s">
        <v>1400</v>
      </c>
      <c r="H4" s="3680"/>
      <c r="I4" s="3679" t="s">
        <v>1401</v>
      </c>
      <c r="J4" s="3680"/>
      <c r="K4" s="1259" t="s">
        <v>1402</v>
      </c>
      <c r="L4" s="1559"/>
      <c r="M4" s="1560"/>
      <c r="N4" s="1560"/>
      <c r="O4" s="1560"/>
      <c r="P4" s="3707" t="s">
        <v>1403</v>
      </c>
      <c r="Q4" s="3708"/>
      <c r="R4" s="3713" t="s">
        <v>1399</v>
      </c>
      <c r="S4" s="3714"/>
      <c r="T4" s="3713" t="s">
        <v>1400</v>
      </c>
      <c r="U4" s="3714"/>
      <c r="V4" s="3719" t="s">
        <v>1401</v>
      </c>
      <c r="W4" s="3719"/>
      <c r="X4" s="1303"/>
      <c r="Y4" s="3713" t="s">
        <v>1403</v>
      </c>
      <c r="Z4" s="3714"/>
      <c r="AA4" s="3704" t="s">
        <v>1399</v>
      </c>
      <c r="AB4" s="3705" t="s">
        <v>1400</v>
      </c>
      <c r="AC4" s="3704" t="s">
        <v>1401</v>
      </c>
    </row>
    <row r="5" spans="1:29" ht="15">
      <c r="A5" s="1114"/>
      <c r="B5" s="1115"/>
      <c r="C5" s="3683" t="s">
        <v>1404</v>
      </c>
      <c r="D5" s="3684"/>
      <c r="E5" s="3749" t="s">
        <v>1957</v>
      </c>
      <c r="F5" s="3686"/>
      <c r="G5" s="3683" t="s">
        <v>1958</v>
      </c>
      <c r="H5" s="3684"/>
      <c r="I5" s="3683" t="s">
        <v>1959</v>
      </c>
      <c r="J5" s="3684"/>
      <c r="K5" s="1259"/>
      <c r="L5" s="1559"/>
      <c r="M5" s="1560"/>
      <c r="N5" s="1560"/>
      <c r="O5" s="1560"/>
      <c r="P5" s="3709"/>
      <c r="Q5" s="3710"/>
      <c r="R5" s="3715"/>
      <c r="S5" s="3716"/>
      <c r="T5" s="3715"/>
      <c r="U5" s="3716"/>
      <c r="V5" s="3719"/>
      <c r="W5" s="3719"/>
      <c r="X5" s="1303"/>
      <c r="Y5" s="3715"/>
      <c r="Z5" s="3716"/>
      <c r="AA5" s="3705"/>
      <c r="AB5" s="3705"/>
      <c r="AC5" s="3705"/>
    </row>
    <row r="6" spans="1:29" ht="15">
      <c r="A6" s="1116"/>
      <c r="B6" s="1117"/>
      <c r="C6" s="3688" t="s">
        <v>1408</v>
      </c>
      <c r="D6" s="3689"/>
      <c r="E6" s="3690" t="s">
        <v>1408</v>
      </c>
      <c r="F6" s="3691"/>
      <c r="G6" s="3688" t="s">
        <v>1408</v>
      </c>
      <c r="H6" s="3689"/>
      <c r="I6" s="3688" t="s">
        <v>1408</v>
      </c>
      <c r="J6" s="3689"/>
      <c r="K6" s="1259" t="s">
        <v>1409</v>
      </c>
      <c r="L6" s="1559"/>
      <c r="M6" s="1560"/>
      <c r="N6" s="1560"/>
      <c r="O6" s="1560"/>
      <c r="P6" s="3711"/>
      <c r="Q6" s="3712"/>
      <c r="R6" s="3715"/>
      <c r="S6" s="3716"/>
      <c r="T6" s="3717"/>
      <c r="U6" s="3718"/>
      <c r="V6" s="3719"/>
      <c r="W6" s="3719"/>
      <c r="X6" s="1303"/>
      <c r="Y6" s="3717"/>
      <c r="Z6" s="3718"/>
      <c r="AA6" s="3706"/>
      <c r="AB6" s="3706"/>
      <c r="AC6" s="3706"/>
    </row>
    <row r="7" spans="1:29" s="1093" customFormat="1" ht="15">
      <c r="A7" s="1118" t="s">
        <v>1410</v>
      </c>
      <c r="B7" s="1119"/>
      <c r="C7" s="1120">
        <f>'数据-取费表'!B2</f>
        <v>45911</v>
      </c>
      <c r="D7" s="1121">
        <v>100</v>
      </c>
      <c r="E7" s="1122"/>
      <c r="F7" s="1123">
        <f>SUMIF(52:52,YEAR(E7)&amp;"-"&amp;MONTH(E7),53:53)</f>
        <v>0</v>
      </c>
      <c r="G7" s="1122"/>
      <c r="H7" s="1121">
        <f>SUMIF(52:52,YEAR(G7)&amp;"-"&amp;MONTH(G7),53:53)</f>
        <v>0</v>
      </c>
      <c r="I7" s="1122"/>
      <c r="J7" s="1121">
        <f>SUMIF(52:52,YEAR(I7)&amp;"-"&amp;MONTH(I7),53:53)</f>
        <v>0</v>
      </c>
      <c r="K7" s="1262"/>
      <c r="L7" s="1561"/>
      <c r="M7" s="1562"/>
      <c r="N7" s="1562"/>
      <c r="O7" s="1562"/>
      <c r="P7" s="3692" t="s">
        <v>1411</v>
      </c>
      <c r="Q7" s="3693"/>
      <c r="R7" s="1304" t="s">
        <v>1412</v>
      </c>
      <c r="S7" s="1305">
        <f t="shared" ref="S7:S15" si="0">F7</f>
        <v>0</v>
      </c>
      <c r="T7" s="1304" t="s">
        <v>1412</v>
      </c>
      <c r="U7" s="1305">
        <f t="shared" ref="U7:U15" si="1">H7</f>
        <v>0</v>
      </c>
      <c r="V7" s="1304" t="s">
        <v>1412</v>
      </c>
      <c r="W7" s="1305">
        <f t="shared" ref="W7:W15" si="2">J7</f>
        <v>0</v>
      </c>
      <c r="X7" s="1306"/>
      <c r="Y7" s="3692" t="s">
        <v>1411</v>
      </c>
      <c r="Z7" s="3694"/>
      <c r="AA7" s="1318" t="e">
        <f>D7/F7</f>
        <v>#DIV/0!</v>
      </c>
      <c r="AB7" s="1318" t="e">
        <f>D7/H7</f>
        <v>#DIV/0!</v>
      </c>
      <c r="AC7" s="1318" t="e">
        <f>D7/J7</f>
        <v>#DIV/0!</v>
      </c>
    </row>
    <row r="8" spans="1:29" s="1093" customFormat="1" ht="15">
      <c r="A8" s="1118" t="s">
        <v>1413</v>
      </c>
      <c r="B8" s="1119"/>
      <c r="C8" s="1125"/>
      <c r="D8" s="1121">
        <v>100</v>
      </c>
      <c r="E8" s="1125"/>
      <c r="F8" s="1123">
        <f>SUMIF(55:55,E8,56:56)-SUMIF(55:55,C8,56:56)+100</f>
        <v>100</v>
      </c>
      <c r="G8" s="1125"/>
      <c r="H8" s="1121">
        <f>SUMIF(55:55,G8,56:56)-SUMIF(55:55,C8,56:56)+100</f>
        <v>100</v>
      </c>
      <c r="I8" s="1125"/>
      <c r="J8" s="1121">
        <f>SUMIF(55:55,I8,56:56)-SUMIF(55:55,C8,56:56)+100</f>
        <v>100</v>
      </c>
      <c r="K8" s="1262"/>
      <c r="L8" s="1561"/>
      <c r="M8" s="1562"/>
      <c r="N8" s="1562"/>
      <c r="O8" s="1562"/>
      <c r="P8" s="3692" t="s">
        <v>1415</v>
      </c>
      <c r="Q8" s="3694"/>
      <c r="R8" s="1304" t="s">
        <v>1412</v>
      </c>
      <c r="S8" s="1305">
        <f t="shared" si="0"/>
        <v>100</v>
      </c>
      <c r="T8" s="1304" t="s">
        <v>1412</v>
      </c>
      <c r="U8" s="1305">
        <f t="shared" si="1"/>
        <v>100</v>
      </c>
      <c r="V8" s="1304" t="s">
        <v>1412</v>
      </c>
      <c r="W8" s="1305">
        <f t="shared" si="2"/>
        <v>100</v>
      </c>
      <c r="X8" s="1306"/>
      <c r="Y8" s="3692" t="s">
        <v>1415</v>
      </c>
      <c r="Z8" s="3694"/>
      <c r="AA8" s="1318">
        <f t="shared" ref="AA8:AA40" si="3">D8/F8</f>
        <v>1</v>
      </c>
      <c r="AB8" s="1318">
        <f t="shared" ref="AB8:AB40" si="4">D8/H8</f>
        <v>1</v>
      </c>
      <c r="AC8" s="1318">
        <f t="shared" ref="AC8:AC40" si="5">D8/J8</f>
        <v>1</v>
      </c>
    </row>
    <row r="9" spans="1:29" s="1093" customFormat="1">
      <c r="A9" s="1126" t="s">
        <v>1416</v>
      </c>
      <c r="B9" s="1127" t="s">
        <v>1417</v>
      </c>
      <c r="C9" s="1487"/>
      <c r="D9" s="1129">
        <v>100</v>
      </c>
      <c r="E9" s="1488"/>
      <c r="F9" s="1129">
        <f>SUMIF(57:57,E9,58:58)-SUMIF(57:57,C9,58:58)+100</f>
        <v>100</v>
      </c>
      <c r="G9" s="1552"/>
      <c r="H9" s="1129">
        <f>SUMIF(57:57,G9,58:58)-SUMIF(57:57,C9,58:58)+100</f>
        <v>100</v>
      </c>
      <c r="I9" s="1552"/>
      <c r="J9" s="1129">
        <f>SUMIF(57:57,I9,58:58)-SUMIF(57:57,C9,58:58)+100</f>
        <v>100</v>
      </c>
      <c r="K9" s="1262"/>
      <c r="L9" s="1561"/>
      <c r="M9" s="1562"/>
      <c r="N9" s="1562"/>
      <c r="O9" s="1563"/>
      <c r="P9" s="3695" t="s">
        <v>1418</v>
      </c>
      <c r="Q9" s="1308" t="str">
        <f t="shared" ref="Q9:Q15" si="6">B9</f>
        <v>用途</v>
      </c>
      <c r="R9" s="1304" t="s">
        <v>1412</v>
      </c>
      <c r="S9" s="1305">
        <f t="shared" si="0"/>
        <v>100</v>
      </c>
      <c r="T9" s="1304" t="s">
        <v>1412</v>
      </c>
      <c r="U9" s="1305">
        <f t="shared" si="1"/>
        <v>100</v>
      </c>
      <c r="V9" s="1304" t="s">
        <v>1412</v>
      </c>
      <c r="W9" s="1305">
        <f t="shared" si="2"/>
        <v>100</v>
      </c>
      <c r="X9" s="1306"/>
      <c r="Y9" s="3660" t="s">
        <v>1419</v>
      </c>
      <c r="Z9" s="1319" t="str">
        <f t="shared" ref="Z9:Z15" si="7">Q9</f>
        <v>用途</v>
      </c>
      <c r="AA9" s="1318">
        <f t="shared" si="3"/>
        <v>1</v>
      </c>
      <c r="AB9" s="1318">
        <f t="shared" si="4"/>
        <v>1</v>
      </c>
      <c r="AC9" s="1318">
        <f t="shared" si="5"/>
        <v>1</v>
      </c>
    </row>
    <row r="10" spans="1:29" s="1094" customFormat="1" ht="27">
      <c r="A10" s="1130"/>
      <c r="B10" s="1131" t="s">
        <v>1420</v>
      </c>
      <c r="C10" s="1490"/>
      <c r="D10" s="1133">
        <v>100</v>
      </c>
      <c r="E10" s="1490"/>
      <c r="F10" s="1133">
        <f>SUMIF(59:59,E10,60:60)-SUMIF(59:59,C10,60:60)+100</f>
        <v>100</v>
      </c>
      <c r="G10" s="1553"/>
      <c r="H10" s="1133">
        <f>SUMIF(59:59,G10,60:60)-SUMIF(59:59,C10,60:60)+100</f>
        <v>100</v>
      </c>
      <c r="I10" s="1490"/>
      <c r="J10" s="1133">
        <f>SUMIF(59:59,I10,60:60)-SUMIF(59:59,C10,60:60)+100</f>
        <v>100</v>
      </c>
      <c r="K10" s="1262"/>
      <c r="L10" s="1564"/>
      <c r="M10" s="1565"/>
      <c r="N10" s="1565"/>
      <c r="O10" s="1566"/>
      <c r="P10" s="3695"/>
      <c r="Q10" s="1308" t="str">
        <f t="shared" si="6"/>
        <v>土地使用年限（年）</v>
      </c>
      <c r="R10" s="1304" t="s">
        <v>1412</v>
      </c>
      <c r="S10" s="1305">
        <f t="shared" si="0"/>
        <v>100</v>
      </c>
      <c r="T10" s="1304" t="s">
        <v>1412</v>
      </c>
      <c r="U10" s="1305">
        <f t="shared" si="1"/>
        <v>100</v>
      </c>
      <c r="V10" s="1304" t="s">
        <v>1412</v>
      </c>
      <c r="W10" s="1305">
        <f t="shared" si="2"/>
        <v>100</v>
      </c>
      <c r="X10" s="1306"/>
      <c r="Y10" s="3660"/>
      <c r="Z10" s="1319" t="str">
        <f t="shared" si="7"/>
        <v>土地使用年限（年）</v>
      </c>
      <c r="AA10" s="1318">
        <f t="shared" si="3"/>
        <v>1</v>
      </c>
      <c r="AB10" s="1318">
        <f t="shared" si="4"/>
        <v>1</v>
      </c>
      <c r="AC10" s="1318">
        <f t="shared" si="5"/>
        <v>1</v>
      </c>
    </row>
    <row r="11" spans="1:29" ht="15">
      <c r="A11" s="1134"/>
      <c r="B11" s="1131" t="s">
        <v>1960</v>
      </c>
      <c r="C11" s="1135"/>
      <c r="D11" s="1133">
        <v>100</v>
      </c>
      <c r="E11" s="1135"/>
      <c r="F11" s="1133">
        <f>LOOKUP(E11,62:62,63:63)-LOOKUP(C11,62:62,63:63)+100</f>
        <v>100</v>
      </c>
      <c r="G11" s="1136"/>
      <c r="H11" s="1133">
        <f>LOOKUP(G11,62:62,63:63)-LOOKUP(C11,62:62,63:63)+100</f>
        <v>100</v>
      </c>
      <c r="I11" s="1135"/>
      <c r="J11" s="1133">
        <f>LOOKUP(I11,62:62,63:63)-LOOKUP(C11,62:62,63:63)+100</f>
        <v>100</v>
      </c>
      <c r="K11" s="1279"/>
      <c r="L11" s="1567"/>
      <c r="M11" s="1560"/>
      <c r="N11" s="1560"/>
      <c r="O11" s="1568"/>
      <c r="P11" s="3695"/>
      <c r="Q11" s="1308" t="str">
        <f t="shared" si="6"/>
        <v>容积率</v>
      </c>
      <c r="R11" s="1304" t="s">
        <v>1412</v>
      </c>
      <c r="S11" s="1305">
        <f t="shared" si="0"/>
        <v>100</v>
      </c>
      <c r="T11" s="1304" t="s">
        <v>1412</v>
      </c>
      <c r="U11" s="1305">
        <f t="shared" si="1"/>
        <v>100</v>
      </c>
      <c r="V11" s="1304" t="s">
        <v>1412</v>
      </c>
      <c r="W11" s="1305">
        <f t="shared" si="2"/>
        <v>100</v>
      </c>
      <c r="X11" s="1306"/>
      <c r="Y11" s="3660"/>
      <c r="Z11" s="1319" t="str">
        <f t="shared" si="7"/>
        <v>容积率</v>
      </c>
      <c r="AA11" s="1318">
        <f t="shared" si="3"/>
        <v>1</v>
      </c>
      <c r="AB11" s="1318">
        <f t="shared" si="4"/>
        <v>1</v>
      </c>
      <c r="AC11" s="1318">
        <f t="shared" si="5"/>
        <v>1</v>
      </c>
    </row>
    <row r="12" spans="1:29" s="1093" customFormat="1" ht="15">
      <c r="A12" s="1137"/>
      <c r="B12" s="1138">
        <v>111</v>
      </c>
      <c r="C12" s="1132"/>
      <c r="D12" s="1139">
        <v>100</v>
      </c>
      <c r="E12" s="1142"/>
      <c r="F12" s="1133">
        <f>SUMIF(64:64,E12,65:65)-SUMIF(64:64,C12,65:65)+100</f>
        <v>100</v>
      </c>
      <c r="G12" s="1554"/>
      <c r="H12" s="1133">
        <f>SUMIF(64:64,G12,65:65)-SUMIF(64:64,C12,65:65)+100</f>
        <v>100</v>
      </c>
      <c r="I12" s="1492"/>
      <c r="J12" s="1133">
        <f>SUMIF(64:64,I12,65:65)-SUMIF(64:64,C12,65:65)+100</f>
        <v>100</v>
      </c>
      <c r="K12" s="1278"/>
      <c r="L12" s="1561"/>
      <c r="M12" s="1562"/>
      <c r="N12" s="1562"/>
      <c r="O12" s="1563"/>
      <c r="P12" s="3695"/>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318">
        <f t="shared" si="5"/>
        <v>1</v>
      </c>
    </row>
    <row r="13" spans="1:29" ht="15">
      <c r="A13" s="1134"/>
      <c r="B13" s="1138">
        <v>111</v>
      </c>
      <c r="C13" s="1142"/>
      <c r="D13" s="1143">
        <v>100</v>
      </c>
      <c r="E13" s="1142"/>
      <c r="F13" s="1133">
        <f>SUMIF(66:66,E13,67:67)-SUMIF(66:66,C13,67:67)+100</f>
        <v>100</v>
      </c>
      <c r="G13" s="1554"/>
      <c r="H13" s="1143">
        <f>SUMIF(66:66,G13,67:67)-SUMIF(66:66,C13,67:67)+100</f>
        <v>100</v>
      </c>
      <c r="I13" s="1492"/>
      <c r="J13" s="1143">
        <f>SUMIF(66:66,I13,67:67)-SUMIF(66:66,C13,67:67)+100</f>
        <v>100</v>
      </c>
      <c r="K13" s="1278"/>
      <c r="L13" s="1569"/>
      <c r="M13" s="1560"/>
      <c r="N13" s="1560"/>
      <c r="O13" s="1568"/>
      <c r="P13" s="3695"/>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29" ht="15">
      <c r="A14" s="1144"/>
      <c r="B14" s="1145">
        <v>111</v>
      </c>
      <c r="C14" s="1146"/>
      <c r="D14" s="1147">
        <v>100</v>
      </c>
      <c r="E14" s="1146"/>
      <c r="F14" s="1147">
        <f>SUMIF(68:68,E14,69:69)-SUMIF(68:68,C14,69:69)+100</f>
        <v>100</v>
      </c>
      <c r="G14" s="1554"/>
      <c r="H14" s="1147">
        <f>SUMIF(68:68,G14,69:69)-SUMIF(68:68,C14,69:69)+100</f>
        <v>100</v>
      </c>
      <c r="I14" s="1492"/>
      <c r="J14" s="1147">
        <f>SUMIF(68:68,I14,69:69)-SUMIF(68:68,C14,69:69)+100</f>
        <v>100</v>
      </c>
      <c r="K14" s="1278"/>
      <c r="L14" s="1569"/>
      <c r="M14" s="1560"/>
      <c r="N14" s="1560"/>
      <c r="O14" s="1568"/>
      <c r="P14" s="3695"/>
      <c r="Q14" s="1308">
        <f t="shared" si="6"/>
        <v>111</v>
      </c>
      <c r="R14" s="1304" t="s">
        <v>1412</v>
      </c>
      <c r="S14" s="1305">
        <f t="shared" si="0"/>
        <v>100</v>
      </c>
      <c r="T14" s="1304" t="s">
        <v>1412</v>
      </c>
      <c r="U14" s="1305">
        <f t="shared" si="1"/>
        <v>100</v>
      </c>
      <c r="V14" s="1304" t="s">
        <v>1412</v>
      </c>
      <c r="W14" s="1305">
        <f t="shared" si="2"/>
        <v>100</v>
      </c>
      <c r="X14" s="1306"/>
      <c r="Y14" s="3660"/>
      <c r="Z14" s="1319">
        <f t="shared" si="7"/>
        <v>111</v>
      </c>
      <c r="AA14" s="1318">
        <f t="shared" si="3"/>
        <v>1</v>
      </c>
      <c r="AB14" s="1318">
        <f t="shared" si="4"/>
        <v>1</v>
      </c>
      <c r="AC14" s="1318">
        <f t="shared" si="5"/>
        <v>1</v>
      </c>
    </row>
    <row r="15" spans="1:29" ht="57">
      <c r="A15" s="1148" t="s">
        <v>1423</v>
      </c>
      <c r="B15" s="1441" t="s">
        <v>2015</v>
      </c>
      <c r="C15" s="1150" t="str">
        <f>估价对象房地状况!G3</f>
        <v>估价对象位于XX开发区，园区建设成熟度XX，产业集聚程度XX</v>
      </c>
      <c r="D15" s="1151">
        <v>100</v>
      </c>
      <c r="E15" s="1152"/>
      <c r="F15" s="1494">
        <f>SUMIF(70:70,E16,71:71)-SUMIF(70:70,C16,71:71)+100</f>
        <v>100</v>
      </c>
      <c r="G15" s="1274"/>
      <c r="H15" s="1151">
        <f>SUMIF(70:70,G16,71:71)-SUMIF(70:70,C16,71:71)+100</f>
        <v>100</v>
      </c>
      <c r="I15" s="1152"/>
      <c r="J15" s="1151">
        <f>SUMIF(70:70,I16,71:71)-SUMIF(70:70,C16,71:71)+100</f>
        <v>100</v>
      </c>
      <c r="K15" s="1533"/>
      <c r="L15" s="1569"/>
      <c r="M15" s="1560"/>
      <c r="N15" s="1560"/>
      <c r="O15" s="1568"/>
      <c r="P15" s="3700" t="s">
        <v>1425</v>
      </c>
      <c r="Q15" s="816" t="str">
        <f t="shared" si="6"/>
        <v>产业集聚程度</v>
      </c>
      <c r="R15" s="1309" t="s">
        <v>1412</v>
      </c>
      <c r="S15" s="1310">
        <f t="shared" si="0"/>
        <v>100</v>
      </c>
      <c r="T15" s="1309" t="s">
        <v>1412</v>
      </c>
      <c r="U15" s="1310">
        <f t="shared" si="1"/>
        <v>100</v>
      </c>
      <c r="V15" s="1309" t="s">
        <v>1412</v>
      </c>
      <c r="W15" s="1310">
        <f t="shared" si="2"/>
        <v>100</v>
      </c>
      <c r="X15" s="1303"/>
      <c r="Y15" s="3700" t="s">
        <v>1425</v>
      </c>
      <c r="Z15" s="1293" t="str">
        <f t="shared" si="7"/>
        <v>产业集聚程度</v>
      </c>
      <c r="AA15" s="1320">
        <f t="shared" si="3"/>
        <v>1</v>
      </c>
      <c r="AB15" s="1320">
        <f t="shared" si="4"/>
        <v>1</v>
      </c>
      <c r="AC15" s="1320">
        <f t="shared" si="5"/>
        <v>1</v>
      </c>
    </row>
    <row r="16" spans="1:29" ht="15">
      <c r="A16" s="1134"/>
      <c r="B16" s="1443"/>
      <c r="C16" s="1154"/>
      <c r="D16" s="1155"/>
      <c r="E16" s="1154"/>
      <c r="F16" s="1495"/>
      <c r="G16" s="1154"/>
      <c r="H16" s="1157"/>
      <c r="I16" s="1154"/>
      <c r="J16" s="1155"/>
      <c r="K16" s="1534"/>
      <c r="L16" s="1569"/>
      <c r="M16" s="1560"/>
      <c r="N16" s="1560"/>
      <c r="O16" s="1568"/>
      <c r="P16" s="3701"/>
      <c r="Q16" s="816"/>
      <c r="R16" s="1309"/>
      <c r="S16" s="1310"/>
      <c r="T16" s="1309"/>
      <c r="U16" s="1310"/>
      <c r="V16" s="1309"/>
      <c r="W16" s="1310"/>
      <c r="X16" s="1303"/>
      <c r="Y16" s="3701"/>
      <c r="Z16" s="1293"/>
      <c r="AA16" s="1320">
        <v>1</v>
      </c>
      <c r="AB16" s="1320">
        <v>1</v>
      </c>
      <c r="AC16" s="1320">
        <v>1</v>
      </c>
    </row>
    <row r="17" spans="1:29" ht="85.5">
      <c r="A17" s="1134"/>
      <c r="B17" s="1444" t="s">
        <v>1424</v>
      </c>
      <c r="C17" s="1159" t="str">
        <f>估价对象房地状况!G4</f>
        <v>估价对象周边道路状况、公共交通通达情况、停车便捷程度，综合评价交通便捷度较好</v>
      </c>
      <c r="D17" s="1157">
        <v>100</v>
      </c>
      <c r="E17" s="1160"/>
      <c r="F17" s="1497">
        <f>SUMIF(72:72,E18,73:73)-SUMIF(72:72,C18,73:73)+100</f>
        <v>100</v>
      </c>
      <c r="G17" s="1275"/>
      <c r="H17" s="1161">
        <f>SUMIF(72:72,G18,73:73)-SUMIF(72:72,C18,73:73)+100</f>
        <v>100</v>
      </c>
      <c r="I17" s="1160"/>
      <c r="J17" s="1161">
        <f>SUMIF(72:72,I18,73:73)-SUMIF(72:72,C18,73:73)+100</f>
        <v>100</v>
      </c>
      <c r="K17" s="1533"/>
      <c r="L17" s="1569"/>
      <c r="M17" s="1560"/>
      <c r="N17" s="1560"/>
      <c r="O17" s="1568"/>
      <c r="P17" s="3701"/>
      <c r="Q17" s="816" t="str">
        <f>B17</f>
        <v>交通便捷度</v>
      </c>
      <c r="R17" s="1309" t="s">
        <v>1412</v>
      </c>
      <c r="S17" s="1310">
        <f>F17</f>
        <v>100</v>
      </c>
      <c r="T17" s="1309" t="s">
        <v>1412</v>
      </c>
      <c r="U17" s="1310">
        <f>H17</f>
        <v>100</v>
      </c>
      <c r="V17" s="1309" t="s">
        <v>1412</v>
      </c>
      <c r="W17" s="1310">
        <f>J17</f>
        <v>100</v>
      </c>
      <c r="X17" s="1303"/>
      <c r="Y17" s="3701"/>
      <c r="Z17" s="1293" t="str">
        <f>Q17</f>
        <v>交通便捷度</v>
      </c>
      <c r="AA17" s="1320">
        <f t="shared" si="3"/>
        <v>1</v>
      </c>
      <c r="AB17" s="1320">
        <f t="shared" si="4"/>
        <v>1</v>
      </c>
      <c r="AC17" s="1320">
        <f t="shared" si="5"/>
        <v>1</v>
      </c>
    </row>
    <row r="18" spans="1:29" ht="15">
      <c r="A18" s="1134"/>
      <c r="B18" s="1182"/>
      <c r="C18" s="1445"/>
      <c r="D18" s="1157"/>
      <c r="E18" s="1446"/>
      <c r="F18" s="1497"/>
      <c r="G18" s="1454"/>
      <c r="H18" s="1155"/>
      <c r="I18" s="1446"/>
      <c r="J18" s="1155"/>
      <c r="K18" s="1534"/>
      <c r="L18" s="1569"/>
      <c r="M18" s="1560"/>
      <c r="N18" s="1560"/>
      <c r="O18" s="1568"/>
      <c r="P18" s="3701"/>
      <c r="Q18" s="816"/>
      <c r="R18" s="1309"/>
      <c r="S18" s="1310"/>
      <c r="T18" s="1309"/>
      <c r="U18" s="1310"/>
      <c r="V18" s="1309"/>
      <c r="W18" s="1310"/>
      <c r="X18" s="1303"/>
      <c r="Y18" s="3701"/>
      <c r="Z18" s="1293"/>
      <c r="AA18" s="1320">
        <v>1</v>
      </c>
      <c r="AB18" s="1320">
        <v>1</v>
      </c>
      <c r="AC18" s="1320">
        <v>1</v>
      </c>
    </row>
    <row r="19" spans="1:29" ht="42.75">
      <c r="A19" s="1134"/>
      <c r="B19" s="1444" t="s">
        <v>1427</v>
      </c>
      <c r="C19" s="1159" t="str">
        <f>估价对象房地状况!G5</f>
        <v>估价对象所在区域公共配套设施齐备情况</v>
      </c>
      <c r="D19" s="1161">
        <v>100</v>
      </c>
      <c r="E19" s="1447"/>
      <c r="F19" s="1496">
        <f>SUMIF(74:74,E20,75:75)-SUMIF(74:74,C20,75:75)+100</f>
        <v>100</v>
      </c>
      <c r="G19" s="1455"/>
      <c r="H19" s="1157">
        <f>SUMIF(74:74,G20,75:75)-SUMIF(74:74,C20,75:75)+100</f>
        <v>100</v>
      </c>
      <c r="I19" s="1447"/>
      <c r="J19" s="1157">
        <f>SUMIF(74:74,I20,75:75)-SUMIF(74:74,C20,75:75)+100</f>
        <v>100</v>
      </c>
      <c r="K19" s="1533"/>
      <c r="L19" s="1569"/>
      <c r="M19" s="1560"/>
      <c r="N19" s="1560"/>
      <c r="O19" s="1568"/>
      <c r="P19" s="3701"/>
      <c r="Q19" s="816" t="str">
        <f>B19</f>
        <v>公共配套设施</v>
      </c>
      <c r="R19" s="1309" t="s">
        <v>1412</v>
      </c>
      <c r="S19" s="1310">
        <f>F19</f>
        <v>100</v>
      </c>
      <c r="T19" s="1309" t="s">
        <v>1412</v>
      </c>
      <c r="U19" s="1310">
        <f>H19</f>
        <v>100</v>
      </c>
      <c r="V19" s="1309" t="s">
        <v>1412</v>
      </c>
      <c r="W19" s="1310">
        <f>J19</f>
        <v>100</v>
      </c>
      <c r="X19" s="1303"/>
      <c r="Y19" s="3701"/>
      <c r="Z19" s="1293" t="str">
        <f>Q19</f>
        <v>公共配套设施</v>
      </c>
      <c r="AA19" s="1320">
        <f t="shared" si="3"/>
        <v>1</v>
      </c>
      <c r="AB19" s="1320">
        <f t="shared" si="4"/>
        <v>1</v>
      </c>
      <c r="AC19" s="1320">
        <f t="shared" si="5"/>
        <v>1</v>
      </c>
    </row>
    <row r="20" spans="1:29" ht="15">
      <c r="A20" s="1134"/>
      <c r="B20" s="1182"/>
      <c r="C20" s="1154"/>
      <c r="D20" s="1155"/>
      <c r="E20" s="1163"/>
      <c r="F20" s="1495"/>
      <c r="G20" s="1276"/>
      <c r="H20" s="1155"/>
      <c r="I20" s="1163"/>
      <c r="J20" s="1155"/>
      <c r="K20" s="1534"/>
      <c r="L20" s="1569"/>
      <c r="M20" s="1560"/>
      <c r="N20" s="1560"/>
      <c r="O20" s="1568"/>
      <c r="P20" s="3701"/>
      <c r="Q20" s="816"/>
      <c r="R20" s="1309"/>
      <c r="S20" s="1310"/>
      <c r="T20" s="1309"/>
      <c r="U20" s="1310"/>
      <c r="V20" s="1309"/>
      <c r="W20" s="1310"/>
      <c r="X20" s="1303"/>
      <c r="Y20" s="3701"/>
      <c r="Z20" s="1293"/>
      <c r="AA20" s="1320">
        <v>1</v>
      </c>
      <c r="AB20" s="1320">
        <v>1</v>
      </c>
      <c r="AC20" s="1320">
        <v>1</v>
      </c>
    </row>
    <row r="21" spans="1:29" ht="28.5">
      <c r="A21" s="1134"/>
      <c r="B21" s="1448" t="s">
        <v>1429</v>
      </c>
      <c r="C21" s="1159" t="str">
        <f>估价对象房地状况!G6</f>
        <v>估价对象所在区域基础设施水平</v>
      </c>
      <c r="D21" s="1157">
        <v>100</v>
      </c>
      <c r="E21" s="1447"/>
      <c r="F21" s="1496">
        <f>SUMIF(76:76,E22,77:77)-SUMIF(76:76,C22,77:77)+100</f>
        <v>100</v>
      </c>
      <c r="G21" s="1455"/>
      <c r="H21" s="1157">
        <f>SUMIF(76:76,G22,77:77)-SUMIF(76:76,C22,77:77)+100</f>
        <v>100</v>
      </c>
      <c r="I21" s="1447"/>
      <c r="J21" s="1157">
        <f>SUMIF(76:76,I22,77:77)-SUMIF(76:76,C22,77:77)+100</f>
        <v>100</v>
      </c>
      <c r="K21" s="1533"/>
      <c r="L21" s="1569"/>
      <c r="M21" s="1560"/>
      <c r="N21" s="1560"/>
      <c r="O21" s="1568"/>
      <c r="P21" s="3701"/>
      <c r="Q21" s="816" t="str">
        <f>B21</f>
        <v>基础设施水平</v>
      </c>
      <c r="R21" s="1309" t="s">
        <v>1412</v>
      </c>
      <c r="S21" s="1310">
        <f>F21</f>
        <v>100</v>
      </c>
      <c r="T21" s="1309" t="s">
        <v>1412</v>
      </c>
      <c r="U21" s="1310">
        <f>H21</f>
        <v>100</v>
      </c>
      <c r="V21" s="1309" t="s">
        <v>1412</v>
      </c>
      <c r="W21" s="1310">
        <f>J21</f>
        <v>100</v>
      </c>
      <c r="X21" s="1303"/>
      <c r="Y21" s="3701"/>
      <c r="Z21" s="1293" t="str">
        <f>Q21</f>
        <v>基础设施水平</v>
      </c>
      <c r="AA21" s="1320">
        <f t="shared" ref="AA21" si="8">D21/F21</f>
        <v>1</v>
      </c>
      <c r="AB21" s="1320">
        <f t="shared" ref="AB21" si="9">D21/H21</f>
        <v>1</v>
      </c>
      <c r="AC21" s="1320">
        <f t="shared" ref="AC21" si="10">D21/J21</f>
        <v>1</v>
      </c>
    </row>
    <row r="22" spans="1:29" ht="15">
      <c r="A22" s="1134"/>
      <c r="B22" s="1448"/>
      <c r="C22" s="1445"/>
      <c r="D22" s="1155"/>
      <c r="E22" s="1154"/>
      <c r="F22" s="1495"/>
      <c r="G22" s="1154"/>
      <c r="H22" s="1155"/>
      <c r="I22" s="1154"/>
      <c r="J22" s="1155"/>
      <c r="K22" s="1535"/>
      <c r="L22" s="1569"/>
      <c r="M22" s="1560"/>
      <c r="N22" s="1560"/>
      <c r="O22" s="1568"/>
      <c r="P22" s="3701"/>
      <c r="Q22" s="816"/>
      <c r="R22" s="1309"/>
      <c r="S22" s="1310"/>
      <c r="T22" s="1309"/>
      <c r="U22" s="1310"/>
      <c r="V22" s="1309"/>
      <c r="W22" s="1310"/>
      <c r="X22" s="1303"/>
      <c r="Y22" s="3701"/>
      <c r="Z22" s="1293"/>
      <c r="AA22" s="1320">
        <v>1</v>
      </c>
      <c r="AB22" s="1320">
        <v>1</v>
      </c>
      <c r="AC22" s="1320">
        <v>1</v>
      </c>
    </row>
    <row r="23" spans="1:29" ht="71.25">
      <c r="A23" s="1134"/>
      <c r="B23" s="1444" t="s">
        <v>2009</v>
      </c>
      <c r="C23" s="1159" t="str">
        <f>估价对象房地状况!G7</f>
        <v>该园区内是否有污染型企业，绿化情况，卫生条件，整体环境状况判断</v>
      </c>
      <c r="D23" s="1157">
        <v>100</v>
      </c>
      <c r="E23" s="1160"/>
      <c r="F23" s="1497">
        <f>SUMIF(78:78,E24,79:79)-SUMIF(78:78,C24,79:79)+100</f>
        <v>100</v>
      </c>
      <c r="G23" s="1275"/>
      <c r="H23" s="1157">
        <f>SUMIF(78:78,G24,79:79)-SUMIF(78:78,C24,79:79)+100</f>
        <v>100</v>
      </c>
      <c r="I23" s="1160"/>
      <c r="J23" s="1157">
        <f>SUMIF(78:78,I24,79:79)-SUMIF(78:78,C24,79:79)+100</f>
        <v>100</v>
      </c>
      <c r="K23" s="1533"/>
      <c r="L23" s="1569"/>
      <c r="M23" s="1560"/>
      <c r="N23" s="1560"/>
      <c r="O23" s="1568"/>
      <c r="P23" s="3701"/>
      <c r="Q23" s="816" t="str">
        <f>B23</f>
        <v>环境质量</v>
      </c>
      <c r="R23" s="1309" t="s">
        <v>1412</v>
      </c>
      <c r="S23" s="1310">
        <f>F23</f>
        <v>100</v>
      </c>
      <c r="T23" s="1309" t="s">
        <v>1412</v>
      </c>
      <c r="U23" s="1310">
        <f>H23</f>
        <v>100</v>
      </c>
      <c r="V23" s="1309" t="s">
        <v>1412</v>
      </c>
      <c r="W23" s="1310">
        <f>J23</f>
        <v>100</v>
      </c>
      <c r="X23" s="1303"/>
      <c r="Y23" s="3701"/>
      <c r="Z23" s="1293" t="str">
        <f>Q23</f>
        <v>环境质量</v>
      </c>
      <c r="AA23" s="1320">
        <f t="shared" si="3"/>
        <v>1</v>
      </c>
      <c r="AB23" s="1320">
        <f t="shared" si="4"/>
        <v>1</v>
      </c>
      <c r="AC23" s="1320">
        <f t="shared" si="5"/>
        <v>1</v>
      </c>
    </row>
    <row r="24" spans="1:29" ht="15">
      <c r="A24" s="1134"/>
      <c r="B24" s="1448"/>
      <c r="C24" s="1154"/>
      <c r="D24" s="1155"/>
      <c r="E24" s="1163"/>
      <c r="F24" s="1495"/>
      <c r="G24" s="1276"/>
      <c r="H24" s="1155"/>
      <c r="I24" s="1163"/>
      <c r="J24" s="1155"/>
      <c r="K24" s="1534"/>
      <c r="L24" s="1569"/>
      <c r="M24" s="1560"/>
      <c r="N24" s="1560"/>
      <c r="O24" s="1568"/>
      <c r="P24" s="3701"/>
      <c r="Q24" s="816"/>
      <c r="R24" s="1309"/>
      <c r="S24" s="1310"/>
      <c r="T24" s="1309"/>
      <c r="U24" s="1310"/>
      <c r="V24" s="1309"/>
      <c r="W24" s="1310"/>
      <c r="X24" s="1303"/>
      <c r="Y24" s="3701"/>
      <c r="Z24" s="1293"/>
      <c r="AA24" s="1320">
        <v>1</v>
      </c>
      <c r="AB24" s="1320">
        <v>1</v>
      </c>
      <c r="AC24" s="1320">
        <v>1</v>
      </c>
    </row>
    <row r="25" spans="1:29" ht="15">
      <c r="A25" s="1114"/>
      <c r="B25" s="1449">
        <v>111</v>
      </c>
      <c r="C25" s="1142">
        <v>111</v>
      </c>
      <c r="D25" s="1143">
        <v>100</v>
      </c>
      <c r="E25" s="1142"/>
      <c r="F25" s="1498">
        <f>SUMIF(80:80,E25,81:81)-SUMIF(80:80,C25,81:81)+100</f>
        <v>100</v>
      </c>
      <c r="G25" s="1142"/>
      <c r="H25" s="1143">
        <f>SUMIF(80:80,G25,81:81)-SUMIF(80:80,C25,81:81)+100</f>
        <v>100</v>
      </c>
      <c r="I25" s="1142"/>
      <c r="J25" s="1143">
        <f>SUMIF(80:80,I25,81:81)-SUMIF(80:80,C25,81:81)+100</f>
        <v>100</v>
      </c>
      <c r="K25" s="1278"/>
      <c r="L25" s="1569"/>
      <c r="M25" s="1560"/>
      <c r="N25" s="1560"/>
      <c r="O25" s="1568"/>
      <c r="P25" s="3701"/>
      <c r="Q25" s="816">
        <f>B25</f>
        <v>111</v>
      </c>
      <c r="R25" s="1309" t="s">
        <v>1412</v>
      </c>
      <c r="S25" s="1310">
        <f>F25</f>
        <v>100</v>
      </c>
      <c r="T25" s="1309" t="s">
        <v>1412</v>
      </c>
      <c r="U25" s="1310">
        <f>H25</f>
        <v>100</v>
      </c>
      <c r="V25" s="1309" t="s">
        <v>1412</v>
      </c>
      <c r="W25" s="1310">
        <f>J25</f>
        <v>100</v>
      </c>
      <c r="X25" s="1303"/>
      <c r="Y25" s="3701"/>
      <c r="Z25" s="1293">
        <f>Q25</f>
        <v>111</v>
      </c>
      <c r="AA25" s="1320">
        <f t="shared" si="3"/>
        <v>1</v>
      </c>
      <c r="AB25" s="1320">
        <f t="shared" si="4"/>
        <v>1</v>
      </c>
      <c r="AC25" s="1320">
        <f t="shared" si="5"/>
        <v>1</v>
      </c>
    </row>
    <row r="26" spans="1:29" ht="15">
      <c r="A26" s="1134"/>
      <c r="B26" s="1449">
        <v>111</v>
      </c>
      <c r="C26" s="1142">
        <v>111</v>
      </c>
      <c r="D26" s="1143">
        <v>100</v>
      </c>
      <c r="E26" s="1142"/>
      <c r="F26" s="1498">
        <f>SUMIF(82:82,E26,83:83)-SUMIF(82:82,C26,83:83)+100</f>
        <v>100</v>
      </c>
      <c r="G26" s="1142"/>
      <c r="H26" s="1143">
        <f>SUMIF(82:82,G26,83:83)-SUMIF(82:82,C26,83:83)+100</f>
        <v>100</v>
      </c>
      <c r="I26" s="1142"/>
      <c r="J26" s="1143">
        <f>SUMIF(82:82,I26,83:83)-SUMIF(82:82,C26,83:83)+100</f>
        <v>100</v>
      </c>
      <c r="K26" s="1278"/>
      <c r="L26" s="1569"/>
      <c r="M26" s="1560"/>
      <c r="N26" s="1560"/>
      <c r="O26" s="1568"/>
      <c r="P26" s="3701"/>
      <c r="Q26" s="816">
        <f t="shared" ref="Q26:Q40" si="11">B26</f>
        <v>111</v>
      </c>
      <c r="R26" s="1309" t="s">
        <v>1412</v>
      </c>
      <c r="S26" s="1310">
        <f>F26</f>
        <v>100</v>
      </c>
      <c r="T26" s="1309" t="s">
        <v>1412</v>
      </c>
      <c r="U26" s="1310">
        <f>H26</f>
        <v>100</v>
      </c>
      <c r="V26" s="1309" t="s">
        <v>1412</v>
      </c>
      <c r="W26" s="1310">
        <f>J26</f>
        <v>100</v>
      </c>
      <c r="X26" s="1303"/>
      <c r="Y26" s="3701"/>
      <c r="Z26" s="1293">
        <f>Q26</f>
        <v>111</v>
      </c>
      <c r="AA26" s="1320">
        <f t="shared" si="3"/>
        <v>1</v>
      </c>
      <c r="AB26" s="1320">
        <f t="shared" si="4"/>
        <v>1</v>
      </c>
      <c r="AC26" s="1320">
        <f t="shared" si="5"/>
        <v>1</v>
      </c>
    </row>
    <row r="27" spans="1:29" s="1093" customFormat="1" ht="15">
      <c r="A27" s="1137"/>
      <c r="B27" s="1449">
        <v>111</v>
      </c>
      <c r="C27" s="1142">
        <v>111</v>
      </c>
      <c r="D27" s="1555">
        <v>100</v>
      </c>
      <c r="E27" s="1142"/>
      <c r="F27" s="1556">
        <f>SUMIF(84:84,E27,85:85)-SUMIF(84:84,C27,85:85)+100</f>
        <v>100</v>
      </c>
      <c r="G27" s="1142"/>
      <c r="H27" s="1555">
        <f>SUMIF(84:84,G27,85:85)-SUMIF(84:84,C27,85:85)+100</f>
        <v>100</v>
      </c>
      <c r="I27" s="1142"/>
      <c r="J27" s="1555">
        <f>SUMIF(84:84,I27,85:85)-SUMIF(84:84,C27,85:85)+100</f>
        <v>100</v>
      </c>
      <c r="K27" s="1278"/>
      <c r="L27" s="1561"/>
      <c r="M27" s="1562"/>
      <c r="N27" s="1562"/>
      <c r="O27" s="1563"/>
      <c r="P27" s="3701"/>
      <c r="Q27" s="1308">
        <f t="shared" si="11"/>
        <v>111</v>
      </c>
      <c r="R27" s="1304" t="s">
        <v>1412</v>
      </c>
      <c r="S27" s="1305">
        <f>F27</f>
        <v>100</v>
      </c>
      <c r="T27" s="1304" t="s">
        <v>1412</v>
      </c>
      <c r="U27" s="1305">
        <f>H27</f>
        <v>100</v>
      </c>
      <c r="V27" s="1304" t="s">
        <v>1412</v>
      </c>
      <c r="W27" s="1305">
        <f>J27</f>
        <v>100</v>
      </c>
      <c r="X27" s="1306"/>
      <c r="Y27" s="3701"/>
      <c r="Z27" s="1319">
        <f>Q27</f>
        <v>111</v>
      </c>
      <c r="AA27" s="1320">
        <f t="shared" si="3"/>
        <v>1</v>
      </c>
      <c r="AB27" s="1320">
        <f t="shared" si="4"/>
        <v>1</v>
      </c>
      <c r="AC27" s="1320">
        <f t="shared" si="5"/>
        <v>1</v>
      </c>
    </row>
    <row r="28" spans="1:29" ht="15">
      <c r="A28" s="1144"/>
      <c r="B28" s="1449">
        <v>111</v>
      </c>
      <c r="C28" s="1146">
        <v>111</v>
      </c>
      <c r="D28" s="1147">
        <v>100</v>
      </c>
      <c r="E28" s="1142"/>
      <c r="F28" s="1511">
        <f>SUMIF(86:86,E28,87:87)-SUMIF(86:86,C28,87:87)+100</f>
        <v>100</v>
      </c>
      <c r="G28" s="1492"/>
      <c r="H28" s="1147">
        <f>SUMIF(86:86,G28,87:87)-SUMIF(86:86,C28,87:87)+100</f>
        <v>100</v>
      </c>
      <c r="I28" s="1492"/>
      <c r="J28" s="1147">
        <f>SUMIF(86:86,I28,87:87)-SUMIF(86:86,C28,87:87)+100</f>
        <v>100</v>
      </c>
      <c r="K28" s="1278"/>
      <c r="L28" s="1569"/>
      <c r="M28" s="1560"/>
      <c r="N28" s="1560"/>
      <c r="O28" s="1568"/>
      <c r="P28" s="3701"/>
      <c r="Q28" s="816">
        <f t="shared" si="11"/>
        <v>111</v>
      </c>
      <c r="R28" s="1309" t="s">
        <v>1412</v>
      </c>
      <c r="S28" s="1310">
        <f t="shared" ref="S28:S40" si="12">F28</f>
        <v>100</v>
      </c>
      <c r="T28" s="1309" t="s">
        <v>1412</v>
      </c>
      <c r="U28" s="1310">
        <f t="shared" ref="U28:U40" si="13">H28</f>
        <v>100</v>
      </c>
      <c r="V28" s="1309" t="s">
        <v>1412</v>
      </c>
      <c r="W28" s="1310">
        <f t="shared" ref="W28:W40" si="14">J28</f>
        <v>100</v>
      </c>
      <c r="X28" s="1303"/>
      <c r="Y28" s="3701"/>
      <c r="Z28" s="1293">
        <f t="shared" ref="Z28:Z40" si="15">Q28</f>
        <v>111</v>
      </c>
      <c r="AA28" s="1320">
        <f t="shared" si="3"/>
        <v>1</v>
      </c>
      <c r="AB28" s="1320">
        <f t="shared" si="4"/>
        <v>1</v>
      </c>
      <c r="AC28" s="1320">
        <f t="shared" si="5"/>
        <v>1</v>
      </c>
    </row>
    <row r="29" spans="1:29" ht="28.5">
      <c r="A29" s="1502" t="s">
        <v>1434</v>
      </c>
      <c r="B29" s="1127" t="s">
        <v>1964</v>
      </c>
      <c r="C29" s="1503"/>
      <c r="D29" s="1184">
        <v>100</v>
      </c>
      <c r="E29" s="1503"/>
      <c r="F29" s="1498">
        <f>SUMIF(88:88,E29,89:89)-SUMIF(88:88,C29,89:89)+100</f>
        <v>100</v>
      </c>
      <c r="G29" s="1503"/>
      <c r="H29" s="1143">
        <f>SUMIF(88:88,G29,89:89)-SUMIF(88:88,C29,89:89)+100</f>
        <v>100</v>
      </c>
      <c r="I29" s="1503"/>
      <c r="J29" s="1184">
        <f>SUMIF(88:88,I29,89:89)-SUMIF(88:88,C29,89:89)+100</f>
        <v>100</v>
      </c>
      <c r="K29" s="1279"/>
      <c r="L29" s="1569"/>
      <c r="M29" s="1560"/>
      <c r="N29" s="1560"/>
      <c r="O29" s="1568"/>
      <c r="P29" s="3702" t="s">
        <v>1436</v>
      </c>
      <c r="Q29" s="816" t="str">
        <f t="shared" si="11"/>
        <v>建筑类型</v>
      </c>
      <c r="R29" s="1309" t="s">
        <v>1412</v>
      </c>
      <c r="S29" s="1310">
        <f t="shared" si="12"/>
        <v>100</v>
      </c>
      <c r="T29" s="1309" t="s">
        <v>1412</v>
      </c>
      <c r="U29" s="1310">
        <f t="shared" si="13"/>
        <v>100</v>
      </c>
      <c r="V29" s="1309" t="s">
        <v>1412</v>
      </c>
      <c r="W29" s="1310">
        <f t="shared" si="14"/>
        <v>100</v>
      </c>
      <c r="X29" s="1303"/>
      <c r="Y29" s="3703" t="s">
        <v>1436</v>
      </c>
      <c r="Z29" s="1293" t="str">
        <f t="shared" si="15"/>
        <v>建筑类型</v>
      </c>
      <c r="AA29" s="1320">
        <f t="shared" si="3"/>
        <v>1</v>
      </c>
      <c r="AB29" s="1320">
        <f t="shared" si="4"/>
        <v>1</v>
      </c>
      <c r="AC29" s="1320">
        <f t="shared" si="5"/>
        <v>1</v>
      </c>
    </row>
    <row r="30" spans="1:29" s="1095" customFormat="1" ht="15">
      <c r="A30" s="1190"/>
      <c r="B30" s="1131" t="s">
        <v>1965</v>
      </c>
      <c r="C30" s="1492"/>
      <c r="D30" s="1133">
        <v>100</v>
      </c>
      <c r="E30" s="1136"/>
      <c r="F30" s="1491" t="e">
        <f>LOOKUP(E30,91:91,92:92)-LOOKUP(C30,91:91,92:92)+100</f>
        <v>#N/A</v>
      </c>
      <c r="G30" s="1135"/>
      <c r="H30" s="1133" t="e">
        <f>LOOKUP(G30,91:91,92:92)-LOOKUP(C30,91:91,92:92)+100</f>
        <v>#N/A</v>
      </c>
      <c r="I30" s="1135"/>
      <c r="J30" s="1133" t="e">
        <f>LOOKUP(I30,91:91,92:92)-LOOKUP(C30,91:91,92:92)+100</f>
        <v>#N/A</v>
      </c>
      <c r="K30" s="1278"/>
      <c r="L30" s="1567"/>
      <c r="M30" s="1570"/>
      <c r="N30" s="1570"/>
      <c r="O30" s="1571"/>
      <c r="P30" s="3703"/>
      <c r="Q30" s="1537" t="str">
        <f t="shared" si="11"/>
        <v>项目建筑规模</v>
      </c>
      <c r="R30" s="1311" t="s">
        <v>1412</v>
      </c>
      <c r="S30" s="1312" t="e">
        <f t="shared" si="12"/>
        <v>#N/A</v>
      </c>
      <c r="T30" s="1311" t="s">
        <v>1412</v>
      </c>
      <c r="U30" s="1312" t="e">
        <f t="shared" si="13"/>
        <v>#N/A</v>
      </c>
      <c r="V30" s="1311" t="s">
        <v>1412</v>
      </c>
      <c r="W30" s="1312" t="e">
        <f t="shared" si="14"/>
        <v>#N/A</v>
      </c>
      <c r="X30" s="1313"/>
      <c r="Y30" s="3703"/>
      <c r="Z30" s="1321" t="str">
        <f t="shared" si="15"/>
        <v>项目建筑规模</v>
      </c>
      <c r="AA30" s="1320" t="e">
        <f t="shared" si="3"/>
        <v>#N/A</v>
      </c>
      <c r="AB30" s="1320" t="e">
        <f t="shared" si="4"/>
        <v>#N/A</v>
      </c>
      <c r="AC30" s="1320" t="e">
        <f t="shared" si="5"/>
        <v>#N/A</v>
      </c>
    </row>
    <row r="31" spans="1:29" ht="15">
      <c r="A31" s="1185"/>
      <c r="B31" s="1131" t="s">
        <v>1966</v>
      </c>
      <c r="C31" s="1508"/>
      <c r="D31" s="1143">
        <v>100</v>
      </c>
      <c r="E31" s="1508"/>
      <c r="F31" s="1498">
        <f>SUMIF(93:93,E31,94:94)-SUMIF(93:93,C31,94:94)+100</f>
        <v>100</v>
      </c>
      <c r="G31" s="1508"/>
      <c r="H31" s="1143">
        <f>SUMIF(93:93,G31,94:94)-SUMIF(93:93,C31,94:94)+100</f>
        <v>100</v>
      </c>
      <c r="I31" s="1508"/>
      <c r="J31" s="1143">
        <f>SUMIF(93:93,I31,94:94)-SUMIF(93:93,C31,94:94)+100</f>
        <v>100</v>
      </c>
      <c r="K31" s="1279"/>
      <c r="L31" s="1569"/>
      <c r="M31" s="1560"/>
      <c r="N31" s="1560"/>
      <c r="O31" s="1568"/>
      <c r="P31" s="3703"/>
      <c r="Q31" s="816" t="str">
        <f t="shared" si="11"/>
        <v>建筑结构</v>
      </c>
      <c r="R31" s="1309" t="s">
        <v>1412</v>
      </c>
      <c r="S31" s="1310">
        <f t="shared" si="12"/>
        <v>100</v>
      </c>
      <c r="T31" s="1309" t="s">
        <v>1412</v>
      </c>
      <c r="U31" s="1310">
        <f t="shared" si="13"/>
        <v>100</v>
      </c>
      <c r="V31" s="1309" t="s">
        <v>1412</v>
      </c>
      <c r="W31" s="1310">
        <f t="shared" si="14"/>
        <v>100</v>
      </c>
      <c r="X31" s="1303"/>
      <c r="Y31" s="3703"/>
      <c r="Z31" s="1293" t="str">
        <f t="shared" si="15"/>
        <v>建筑结构</v>
      </c>
      <c r="AA31" s="1320">
        <f t="shared" si="3"/>
        <v>1</v>
      </c>
      <c r="AB31" s="1320">
        <f t="shared" si="4"/>
        <v>1</v>
      </c>
      <c r="AC31" s="1320">
        <f t="shared" si="5"/>
        <v>1</v>
      </c>
    </row>
    <row r="32" spans="1:29" ht="15">
      <c r="A32" s="1185"/>
      <c r="B32" s="1131" t="s">
        <v>1441</v>
      </c>
      <c r="C32" s="1508"/>
      <c r="D32" s="1143">
        <v>100</v>
      </c>
      <c r="E32" s="1508"/>
      <c r="F32" s="1498">
        <f>SUMIF(95:95,E32,96:96)-SUMIF(95:95,C32,96:96)+100</f>
        <v>100</v>
      </c>
      <c r="G32" s="1508"/>
      <c r="H32" s="1143">
        <f>SUMIF(95:95,G32,96:96)-SUMIF(95:95,C32,96:96)+100</f>
        <v>100</v>
      </c>
      <c r="I32" s="1508"/>
      <c r="J32" s="1143">
        <f>SUMIF(95:95,I32,96:96)-SUMIF(95:95,C32,96:96)+100</f>
        <v>100</v>
      </c>
      <c r="K32" s="1279"/>
      <c r="L32" s="1569"/>
      <c r="M32" s="1560"/>
      <c r="N32" s="1560"/>
      <c r="O32" s="1568"/>
      <c r="P32" s="3703"/>
      <c r="Q32" s="816" t="str">
        <f t="shared" si="11"/>
        <v>公共部分装修</v>
      </c>
      <c r="R32" s="1309" t="s">
        <v>1412</v>
      </c>
      <c r="S32" s="1310">
        <f t="shared" si="12"/>
        <v>100</v>
      </c>
      <c r="T32" s="1309" t="s">
        <v>1412</v>
      </c>
      <c r="U32" s="1310">
        <f t="shared" si="13"/>
        <v>100</v>
      </c>
      <c r="V32" s="1309" t="s">
        <v>1412</v>
      </c>
      <c r="W32" s="1310">
        <f t="shared" si="14"/>
        <v>100</v>
      </c>
      <c r="X32" s="1303"/>
      <c r="Y32" s="3703"/>
      <c r="Z32" s="1293" t="str">
        <f t="shared" si="15"/>
        <v>公共部分装修</v>
      </c>
      <c r="AA32" s="1320">
        <f t="shared" si="3"/>
        <v>1</v>
      </c>
      <c r="AB32" s="1320">
        <f t="shared" si="4"/>
        <v>1</v>
      </c>
      <c r="AC32" s="1320">
        <f t="shared" si="5"/>
        <v>1</v>
      </c>
    </row>
    <row r="33" spans="1:29" ht="15">
      <c r="A33" s="1185"/>
      <c r="B33" s="1131" t="s">
        <v>683</v>
      </c>
      <c r="C33" s="1492"/>
      <c r="D33" s="1143">
        <v>100</v>
      </c>
      <c r="E33" s="1505"/>
      <c r="F33" s="1498" t="e">
        <f>LOOKUP(E33,98:98,99:99)-LOOKUP(C33,98:98,99:99)+100</f>
        <v>#N/A</v>
      </c>
      <c r="G33" s="1505"/>
      <c r="H33" s="1498" t="e">
        <f>LOOKUP(G33,98:98,99:99)-LOOKUP(C33,98:98,99:99)+100</f>
        <v>#N/A</v>
      </c>
      <c r="I33" s="1505"/>
      <c r="J33" s="1143" t="e">
        <f>LOOKUP(I33,98:98,99:99)-LOOKUP(C33,98:98,99:99)+100</f>
        <v>#N/A</v>
      </c>
      <c r="K33" s="1279"/>
      <c r="L33" s="1569"/>
      <c r="M33" s="1560"/>
      <c r="N33" s="1560"/>
      <c r="O33" s="1568"/>
      <c r="P33" s="3703"/>
      <c r="Q33" s="816" t="str">
        <f t="shared" si="11"/>
        <v>成新度</v>
      </c>
      <c r="R33" s="1309" t="s">
        <v>1412</v>
      </c>
      <c r="S33" s="1310" t="e">
        <f t="shared" si="12"/>
        <v>#N/A</v>
      </c>
      <c r="T33" s="1309" t="s">
        <v>1412</v>
      </c>
      <c r="U33" s="1310" t="e">
        <f t="shared" si="13"/>
        <v>#N/A</v>
      </c>
      <c r="V33" s="1309" t="s">
        <v>1412</v>
      </c>
      <c r="W33" s="1310" t="e">
        <f t="shared" si="14"/>
        <v>#N/A</v>
      </c>
      <c r="X33" s="1303"/>
      <c r="Y33" s="3703"/>
      <c r="Z33" s="1293" t="str">
        <f t="shared" si="15"/>
        <v>成新度</v>
      </c>
      <c r="AA33" s="1320" t="e">
        <f t="shared" si="3"/>
        <v>#N/A</v>
      </c>
      <c r="AB33" s="1320" t="e">
        <f t="shared" si="4"/>
        <v>#N/A</v>
      </c>
      <c r="AC33" s="1320" t="e">
        <f t="shared" si="5"/>
        <v>#N/A</v>
      </c>
    </row>
    <row r="34" spans="1:29" s="1093" customFormat="1" ht="15">
      <c r="A34" s="1187"/>
      <c r="B34" s="1131" t="s">
        <v>1968</v>
      </c>
      <c r="C34" s="1508"/>
      <c r="D34" s="1133">
        <v>100</v>
      </c>
      <c r="E34" s="1508"/>
      <c r="F34" s="1498">
        <f>SUMIF(100:100,E34,101:101)-SUMIF(100:100,C34,101:101)+100</f>
        <v>100</v>
      </c>
      <c r="G34" s="1508"/>
      <c r="H34" s="1143">
        <f>SUMIF(100:100,G34,101:101)-SUMIF(100:100,C34,101:101)+100</f>
        <v>100</v>
      </c>
      <c r="I34" s="1508"/>
      <c r="J34" s="1143">
        <f>SUMIF(100:100,I34,101:101)-SUMIF(100:100,C34,101:101)+100</f>
        <v>100</v>
      </c>
      <c r="K34" s="1279"/>
      <c r="L34" s="1561"/>
      <c r="M34" s="1562"/>
      <c r="N34" s="1562"/>
      <c r="O34" s="1563"/>
      <c r="P34" s="3703"/>
      <c r="Q34" s="1308" t="str">
        <f t="shared" si="11"/>
        <v>物业管理</v>
      </c>
      <c r="R34" s="1304" t="s">
        <v>1412</v>
      </c>
      <c r="S34" s="1305">
        <f t="shared" si="12"/>
        <v>100</v>
      </c>
      <c r="T34" s="1304" t="s">
        <v>1412</v>
      </c>
      <c r="U34" s="1305">
        <f t="shared" si="13"/>
        <v>100</v>
      </c>
      <c r="V34" s="1304" t="s">
        <v>1412</v>
      </c>
      <c r="W34" s="1305">
        <f t="shared" si="14"/>
        <v>100</v>
      </c>
      <c r="X34" s="1306"/>
      <c r="Y34" s="3703"/>
      <c r="Z34" s="1319" t="str">
        <f t="shared" si="15"/>
        <v>物业管理</v>
      </c>
      <c r="AA34" s="1318">
        <f t="shared" si="3"/>
        <v>1</v>
      </c>
      <c r="AB34" s="1318">
        <f t="shared" si="4"/>
        <v>1</v>
      </c>
      <c r="AC34" s="1318">
        <f t="shared" si="5"/>
        <v>1</v>
      </c>
    </row>
    <row r="35" spans="1:29" ht="15">
      <c r="A35" s="1185"/>
      <c r="B35" s="1131" t="s">
        <v>1969</v>
      </c>
      <c r="C35" s="1508"/>
      <c r="D35" s="1143">
        <v>100</v>
      </c>
      <c r="E35" s="1508"/>
      <c r="F35" s="1498">
        <f>SUMIF(102:102,E35,103:103)-SUMIF(102:102,C35,103:103)+100</f>
        <v>100</v>
      </c>
      <c r="G35" s="1508"/>
      <c r="H35" s="1143">
        <f>SUMIF(102:102,G35,103:103)-SUMIF(102:102,C35,103:103)+100</f>
        <v>100</v>
      </c>
      <c r="I35" s="1508"/>
      <c r="J35" s="1143">
        <f>SUMIF(102:102,I35,103:103)-SUMIF(102:102,C35,103:103)+100</f>
        <v>100</v>
      </c>
      <c r="K35" s="1279"/>
      <c r="L35" s="1569"/>
      <c r="M35" s="1560"/>
      <c r="N35" s="1560"/>
      <c r="O35" s="1568"/>
      <c r="P35" s="3703" t="s">
        <v>1436</v>
      </c>
      <c r="Q35" s="816" t="str">
        <f t="shared" si="11"/>
        <v>市政基础设施</v>
      </c>
      <c r="R35" s="1309" t="s">
        <v>1412</v>
      </c>
      <c r="S35" s="1310">
        <f t="shared" si="12"/>
        <v>100</v>
      </c>
      <c r="T35" s="1309" t="s">
        <v>1412</v>
      </c>
      <c r="U35" s="1310">
        <f t="shared" si="13"/>
        <v>100</v>
      </c>
      <c r="V35" s="1309" t="s">
        <v>1412</v>
      </c>
      <c r="W35" s="1310">
        <f t="shared" si="14"/>
        <v>100</v>
      </c>
      <c r="X35" s="1303"/>
      <c r="Y35" s="3703" t="s">
        <v>1436</v>
      </c>
      <c r="Z35" s="1293" t="str">
        <f t="shared" si="15"/>
        <v>市政基础设施</v>
      </c>
      <c r="AA35" s="1320">
        <f t="shared" si="3"/>
        <v>1</v>
      </c>
      <c r="AB35" s="1320">
        <f t="shared" si="4"/>
        <v>1</v>
      </c>
      <c r="AC35" s="1320">
        <f t="shared" si="5"/>
        <v>1</v>
      </c>
    </row>
    <row r="36" spans="1:29" ht="15">
      <c r="A36" s="1185"/>
      <c r="B36" s="1131" t="s">
        <v>1972</v>
      </c>
      <c r="C36" s="1508"/>
      <c r="D36" s="1143">
        <v>100</v>
      </c>
      <c r="E36" s="1508"/>
      <c r="F36" s="1498">
        <f>SUMIF(104:104,E36,105:105)-SUMIF(104:104,C36,105:105)+100</f>
        <v>100</v>
      </c>
      <c r="G36" s="1508"/>
      <c r="H36" s="1143">
        <f>SUMIF(104:104,G36,105:105)-SUMIF(104:104,C36,105:105)+100</f>
        <v>100</v>
      </c>
      <c r="I36" s="1508"/>
      <c r="J36" s="1143">
        <f>SUMIF(104:104,I36,105:105)-SUMIF(104:104,C36,105:105)+100</f>
        <v>100</v>
      </c>
      <c r="K36" s="1279"/>
      <c r="L36" s="1569"/>
      <c r="M36" s="1560"/>
      <c r="N36" s="1560"/>
      <c r="O36" s="1568"/>
      <c r="P36" s="3703"/>
      <c r="Q36" s="816" t="str">
        <f t="shared" si="11"/>
        <v>内部装修</v>
      </c>
      <c r="R36" s="1309" t="s">
        <v>1412</v>
      </c>
      <c r="S36" s="1310">
        <f t="shared" si="12"/>
        <v>100</v>
      </c>
      <c r="T36" s="1309" t="s">
        <v>1412</v>
      </c>
      <c r="U36" s="1310">
        <f t="shared" si="13"/>
        <v>100</v>
      </c>
      <c r="V36" s="1309" t="s">
        <v>1412</v>
      </c>
      <c r="W36" s="1310">
        <f t="shared" si="14"/>
        <v>100</v>
      </c>
      <c r="X36" s="1303"/>
      <c r="Y36" s="3703"/>
      <c r="Z36" s="1293" t="str">
        <f t="shared" si="15"/>
        <v>内部装修</v>
      </c>
      <c r="AA36" s="1320">
        <f t="shared" si="3"/>
        <v>1</v>
      </c>
      <c r="AB36" s="1320">
        <f t="shared" si="4"/>
        <v>1</v>
      </c>
      <c r="AC36" s="1320">
        <f t="shared" si="5"/>
        <v>1</v>
      </c>
    </row>
    <row r="37" spans="1:29" ht="15">
      <c r="A37" s="1185"/>
      <c r="B37" s="1131" t="s">
        <v>2016</v>
      </c>
      <c r="C37" s="1168"/>
      <c r="D37" s="1143">
        <v>100</v>
      </c>
      <c r="E37" s="1168"/>
      <c r="F37" s="1498">
        <f>SUMIF(106:106,E37,107:107)-SUMIF(106:106,C37,107:107)+100</f>
        <v>100</v>
      </c>
      <c r="G37" s="1168"/>
      <c r="H37" s="1143">
        <f>SUMIF(106:106,G37,107:107)-SUMIF(106:106,C37,107:107)+100</f>
        <v>100</v>
      </c>
      <c r="I37" s="1168"/>
      <c r="J37" s="1143">
        <f>SUMIF(106:106,I37,107:107)-SUMIF(106:106,C37,107:107)+100</f>
        <v>100</v>
      </c>
      <c r="K37" s="1279"/>
      <c r="L37" s="1569"/>
      <c r="M37" s="1560"/>
      <c r="N37" s="1560"/>
      <c r="O37" s="1568"/>
      <c r="P37" s="3703"/>
      <c r="Q37" s="816" t="str">
        <f t="shared" si="11"/>
        <v>内部装修状况</v>
      </c>
      <c r="R37" s="1309" t="s">
        <v>1412</v>
      </c>
      <c r="S37" s="1310">
        <f t="shared" si="12"/>
        <v>100</v>
      </c>
      <c r="T37" s="1309" t="s">
        <v>1412</v>
      </c>
      <c r="U37" s="1310">
        <f t="shared" si="13"/>
        <v>100</v>
      </c>
      <c r="V37" s="1309" t="s">
        <v>1412</v>
      </c>
      <c r="W37" s="1310">
        <f t="shared" si="14"/>
        <v>100</v>
      </c>
      <c r="X37" s="1303"/>
      <c r="Y37" s="3703"/>
      <c r="Z37" s="1293" t="str">
        <f t="shared" si="15"/>
        <v>内部装修状况</v>
      </c>
      <c r="AA37" s="1320">
        <f t="shared" si="3"/>
        <v>1</v>
      </c>
      <c r="AB37" s="1320">
        <f t="shared" si="4"/>
        <v>1</v>
      </c>
      <c r="AC37" s="1320">
        <f t="shared" si="5"/>
        <v>1</v>
      </c>
    </row>
    <row r="38" spans="1:29" s="1095" customFormat="1" ht="15">
      <c r="A38" s="1190"/>
      <c r="B38" s="1449">
        <v>111</v>
      </c>
      <c r="C38" s="1492"/>
      <c r="D38" s="1143">
        <v>100</v>
      </c>
      <c r="E38" s="1142"/>
      <c r="F38" s="1498">
        <f>SUMIF(108:108,E38,109:109)-SUMIF(108:108,C38,109:109)+100</f>
        <v>100</v>
      </c>
      <c r="G38" s="1492"/>
      <c r="H38" s="1143">
        <f>SUMIF(108:108,G38,109:109)-SUMIF(108:108,C38,109:109)+100</f>
        <v>100</v>
      </c>
      <c r="I38" s="1492"/>
      <c r="J38" s="1143">
        <f>SUMIF(108:108,I38,109:1038)-SUMIF(108:108,C38,109:109)+100</f>
        <v>100</v>
      </c>
      <c r="K38" s="1278"/>
      <c r="L38" s="1567"/>
      <c r="M38" s="1570"/>
      <c r="N38" s="1570"/>
      <c r="O38" s="1571"/>
      <c r="P38" s="3703"/>
      <c r="Q38" s="1537">
        <f t="shared" si="11"/>
        <v>111</v>
      </c>
      <c r="R38" s="1311" t="s">
        <v>1412</v>
      </c>
      <c r="S38" s="1312">
        <f t="shared" si="12"/>
        <v>100</v>
      </c>
      <c r="T38" s="1311" t="s">
        <v>1412</v>
      </c>
      <c r="U38" s="1312">
        <f t="shared" si="13"/>
        <v>100</v>
      </c>
      <c r="V38" s="1311" t="s">
        <v>1412</v>
      </c>
      <c r="W38" s="1312">
        <f t="shared" si="14"/>
        <v>100</v>
      </c>
      <c r="X38" s="1313"/>
      <c r="Y38" s="3703"/>
      <c r="Z38" s="1321">
        <f t="shared" si="15"/>
        <v>111</v>
      </c>
      <c r="AA38" s="1320">
        <f t="shared" si="3"/>
        <v>1</v>
      </c>
      <c r="AB38" s="1320">
        <f t="shared" si="4"/>
        <v>1</v>
      </c>
      <c r="AC38" s="1320">
        <f t="shared" si="5"/>
        <v>1</v>
      </c>
    </row>
    <row r="39" spans="1:29" ht="15">
      <c r="A39" s="1185"/>
      <c r="B39" s="1449">
        <v>111</v>
      </c>
      <c r="C39" s="1492"/>
      <c r="D39" s="1143">
        <v>100</v>
      </c>
      <c r="E39" s="1142"/>
      <c r="F39" s="1498">
        <f>SUMIF(110:110,E39,111:111)-SUMIF(110:110,C39,111:111)+100</f>
        <v>100</v>
      </c>
      <c r="G39" s="1492"/>
      <c r="H39" s="1143">
        <f>SUMIF(110:110,G39,111:111)-SUMIF(110:110,C39,111:111)+100</f>
        <v>100</v>
      </c>
      <c r="I39" s="1492"/>
      <c r="J39" s="1143">
        <f>SUMIF(110:110,I39,111:111)-SUMIF(110:110,C39,111:111)+100</f>
        <v>100</v>
      </c>
      <c r="K39" s="1278"/>
      <c r="L39" s="1569"/>
      <c r="M39" s="1560"/>
      <c r="N39" s="1560"/>
      <c r="O39" s="1568"/>
      <c r="P39" s="3703"/>
      <c r="Q39" s="816">
        <f t="shared" si="11"/>
        <v>111</v>
      </c>
      <c r="R39" s="1309" t="s">
        <v>1412</v>
      </c>
      <c r="S39" s="1310">
        <f t="shared" si="12"/>
        <v>100</v>
      </c>
      <c r="T39" s="1309" t="s">
        <v>1412</v>
      </c>
      <c r="U39" s="1310">
        <f t="shared" si="13"/>
        <v>100</v>
      </c>
      <c r="V39" s="1309" t="s">
        <v>1412</v>
      </c>
      <c r="W39" s="1310">
        <f t="shared" si="14"/>
        <v>100</v>
      </c>
      <c r="X39" s="1303"/>
      <c r="Y39" s="3703"/>
      <c r="Z39" s="1293">
        <f t="shared" si="15"/>
        <v>111</v>
      </c>
      <c r="AA39" s="1320">
        <f t="shared" si="3"/>
        <v>1</v>
      </c>
      <c r="AB39" s="1320">
        <f t="shared" si="4"/>
        <v>1</v>
      </c>
      <c r="AC39" s="1320">
        <f t="shared" si="5"/>
        <v>1</v>
      </c>
    </row>
    <row r="40" spans="1:29" ht="15">
      <c r="A40" s="1510"/>
      <c r="B40" s="1145">
        <v>111</v>
      </c>
      <c r="C40" s="1146"/>
      <c r="D40" s="1147">
        <v>100</v>
      </c>
      <c r="E40" s="1142"/>
      <c r="F40" s="1511">
        <f>SUMIF(112:112,E40,113:113)-SUMIF(112:112,C40,113:113)+100</f>
        <v>100</v>
      </c>
      <c r="G40" s="1492"/>
      <c r="H40" s="1147">
        <f>SUMIF(112:112,G40,113:113)-SUMIF(112:112,C40,113:113)+100</f>
        <v>100</v>
      </c>
      <c r="I40" s="1492"/>
      <c r="J40" s="1147">
        <f>SUMIF(112:112,I40,113:113)-SUMIF(112:112,C40,113:113)+100</f>
        <v>100</v>
      </c>
      <c r="K40" s="1278"/>
      <c r="L40" s="1569"/>
      <c r="M40" s="1560"/>
      <c r="N40" s="1560"/>
      <c r="O40" s="1568"/>
      <c r="P40" s="3757"/>
      <c r="Q40" s="816">
        <f t="shared" si="11"/>
        <v>111</v>
      </c>
      <c r="R40" s="1309" t="s">
        <v>1412</v>
      </c>
      <c r="S40" s="1310">
        <f t="shared" si="12"/>
        <v>100</v>
      </c>
      <c r="T40" s="1309" t="s">
        <v>1412</v>
      </c>
      <c r="U40" s="1310">
        <f t="shared" si="13"/>
        <v>100</v>
      </c>
      <c r="V40" s="1309" t="s">
        <v>1412</v>
      </c>
      <c r="W40" s="1310">
        <f t="shared" si="14"/>
        <v>100</v>
      </c>
      <c r="X40" s="1303"/>
      <c r="Y40" s="3757"/>
      <c r="Z40" s="1293">
        <f t="shared" si="15"/>
        <v>111</v>
      </c>
      <c r="AA40" s="1320">
        <f t="shared" si="3"/>
        <v>1</v>
      </c>
      <c r="AB40" s="1320">
        <f t="shared" si="4"/>
        <v>1</v>
      </c>
      <c r="AC40" s="1320">
        <f t="shared" si="5"/>
        <v>1</v>
      </c>
    </row>
    <row r="41" spans="1:29" ht="15">
      <c r="A41" s="1192" t="s">
        <v>1974</v>
      </c>
      <c r="B41" s="1512"/>
      <c r="C41" s="1513" t="s">
        <v>124</v>
      </c>
      <c r="D41" s="1514"/>
      <c r="E41" s="1515"/>
      <c r="F41" s="1516"/>
      <c r="G41" s="1517"/>
      <c r="H41" s="1518"/>
      <c r="I41" s="1515"/>
      <c r="J41" s="1518"/>
      <c r="K41" s="1284"/>
      <c r="L41" s="1572"/>
      <c r="M41" s="1244"/>
      <c r="N41" s="1560"/>
      <c r="O41" s="1244"/>
      <c r="P41" s="3695" t="str">
        <f>A41</f>
        <v>成交单价（元/平方米）</v>
      </c>
      <c r="Q41" s="3695"/>
      <c r="R41" s="3696">
        <f>E41</f>
        <v>0</v>
      </c>
      <c r="S41" s="3696"/>
      <c r="T41" s="3696">
        <f>G41</f>
        <v>0</v>
      </c>
      <c r="U41" s="3696"/>
      <c r="V41" s="3696">
        <f>I41</f>
        <v>0</v>
      </c>
      <c r="W41" s="3696"/>
      <c r="X41" s="1249"/>
      <c r="Y41" s="1322"/>
      <c r="Z41" s="1249"/>
      <c r="AA41" s="1249"/>
      <c r="AB41" s="1249"/>
      <c r="AC41" s="1249"/>
    </row>
    <row r="42" spans="1:29" ht="15">
      <c r="A42" s="1200" t="s">
        <v>1451</v>
      </c>
      <c r="B42" s="1519"/>
      <c r="C42" s="1520" t="e">
        <f>R43</f>
        <v>#DIV/0!</v>
      </c>
      <c r="D42" s="1203" t="s">
        <v>1452</v>
      </c>
      <c r="E42" s="1521" t="e">
        <f>R42</f>
        <v>#DIV/0!</v>
      </c>
      <c r="F42" s="1204"/>
      <c r="G42" s="1520" t="e">
        <f>T42</f>
        <v>#DIV/0!</v>
      </c>
      <c r="H42" s="1204"/>
      <c r="I42" s="1521" t="e">
        <f>V42</f>
        <v>#DIV/0!</v>
      </c>
      <c r="J42" s="1204"/>
      <c r="K42" s="1286">
        <f>F42+H42+J42</f>
        <v>0</v>
      </c>
      <c r="L42" s="1572"/>
      <c r="M42" s="1244"/>
      <c r="N42" s="1560"/>
      <c r="O42" s="1244"/>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249"/>
      <c r="Y42" s="1249"/>
      <c r="Z42" s="1249"/>
      <c r="AA42" s="1249"/>
      <c r="AB42" s="1249"/>
      <c r="AC42" s="1249"/>
    </row>
    <row r="43" spans="1:29" ht="15">
      <c r="A43" s="1206" t="s">
        <v>1975</v>
      </c>
      <c r="B43" s="1207"/>
      <c r="C43" s="1522" t="e">
        <f>R43</f>
        <v>#DIV/0!</v>
      </c>
      <c r="D43" s="1522"/>
      <c r="E43" s="1522"/>
      <c r="F43" s="1522"/>
      <c r="G43" s="1522"/>
      <c r="H43" s="1522"/>
      <c r="I43" s="1522"/>
      <c r="J43" s="1522"/>
      <c r="K43" s="1287"/>
      <c r="L43" s="1572"/>
      <c r="M43" s="1244"/>
      <c r="N43" s="1244"/>
      <c r="O43" s="1244"/>
      <c r="P43" s="3697" t="str">
        <f>A43</f>
        <v>估价对象XX用房的比较价值（楼面单价，元/平方米）</v>
      </c>
      <c r="Q43" s="3698"/>
      <c r="R43" s="3750" t="e">
        <f>IF(F1="售价",ROUND(IF(D42="简单平均",AVERAGE(R42:V42),R42*F42+T42*H42+V42*J42),0),ROUND(IF(D42="简单平均",AVERAGE(R42:V42),R42*F42+T42*H42+V42*J42),1))</f>
        <v>#DIV/0!</v>
      </c>
      <c r="S43" s="3750"/>
      <c r="T43" s="3750"/>
      <c r="U43" s="3750"/>
      <c r="V43" s="3750"/>
      <c r="W43" s="3750"/>
      <c r="X43" s="1249"/>
      <c r="Y43" s="1249"/>
      <c r="Z43" s="1249"/>
      <c r="AA43" s="1249"/>
      <c r="AB43" s="1249"/>
      <c r="AC43" s="1249"/>
    </row>
    <row r="44" spans="1:29">
      <c r="A44" s="1209"/>
      <c r="B44" s="1209"/>
      <c r="C44" s="1209"/>
      <c r="D44" s="1209"/>
      <c r="E44" s="1209"/>
      <c r="F44" s="1209"/>
      <c r="G44" s="1210"/>
      <c r="H44" s="1209"/>
      <c r="I44" s="1209"/>
      <c r="J44" s="1209"/>
      <c r="K44" s="1289"/>
      <c r="L44" s="1298"/>
      <c r="M44" s="1244"/>
      <c r="N44" s="1244"/>
      <c r="O44" s="1244"/>
    </row>
    <row r="45" spans="1:29">
      <c r="A45" s="1209"/>
      <c r="B45" s="1209"/>
      <c r="C45" s="1209"/>
      <c r="D45" s="1209"/>
      <c r="E45" s="1209"/>
      <c r="F45" s="1209"/>
      <c r="G45" s="1209"/>
      <c r="H45" s="1209"/>
      <c r="I45" s="1209"/>
      <c r="J45" s="1209"/>
      <c r="K45" s="1289"/>
      <c r="L45" s="1298"/>
      <c r="M45" s="1244"/>
      <c r="N45" s="1244"/>
      <c r="O45" s="1244"/>
    </row>
    <row r="46" spans="1:29" ht="13.5" customHeight="1">
      <c r="A46" s="1209"/>
      <c r="B46" s="1209"/>
      <c r="C46" s="1211" t="s">
        <v>1454</v>
      </c>
      <c r="D46" s="860"/>
      <c r="E46" s="1212" t="e">
        <f>IF(E41&lt;E42,E42/E41-1,E41/E42-1)</f>
        <v>#DIV/0!</v>
      </c>
      <c r="F46" s="1213" t="e">
        <f>IF(OR(E46&gt;=0.3,E46&lt;=-0.3),"超过30%","")</f>
        <v>#DIV/0!</v>
      </c>
      <c r="G46" s="1212" t="e">
        <f>IF(G41&lt;G42,G42/G41-1,G41/G42-1)</f>
        <v>#DIV/0!</v>
      </c>
      <c r="H46" s="1213" t="e">
        <f>IF(OR(G46&gt;=0.3,G46&lt;=-0.3),"超过30%","")</f>
        <v>#DIV/0!</v>
      </c>
      <c r="I46" s="1212" t="e">
        <f>IF(I41&lt;I42,I42/I41-1,I41/I42-1)</f>
        <v>#DIV/0!</v>
      </c>
      <c r="J46" s="1213" t="e">
        <f>IF(OR(I46&gt;=0.3,I46&lt;=-0.3),"超过30%","")</f>
        <v>#DIV/0!</v>
      </c>
      <c r="K46" s="1289"/>
      <c r="L46" s="1298"/>
      <c r="M46" s="1244"/>
      <c r="N46" s="1244"/>
      <c r="O46" s="1244"/>
    </row>
    <row r="47" spans="1:29" ht="13.5" customHeight="1">
      <c r="A47" s="1209"/>
      <c r="B47" s="1209"/>
      <c r="C47" s="1211" t="s">
        <v>1455</v>
      </c>
      <c r="D47" s="859"/>
      <c r="E47" s="1212" t="e">
        <f>IF(E42&lt;G42,G42/E42-1,E42/G42-1)</f>
        <v>#DIV/0!</v>
      </c>
      <c r="F47" s="1213" t="e">
        <f>IF(OR(E47&gt;=0.2,E47&lt;=-0.2),"超过20%","")</f>
        <v>#DIV/0!</v>
      </c>
      <c r="G47" s="1212" t="e">
        <f>IF(G42&lt;I42,I42/G42-1,G42/I42-1)</f>
        <v>#DIV/0!</v>
      </c>
      <c r="H47" s="1213" t="e">
        <f>IF(OR(G47&gt;=0.2,G47&lt;=-0.2),"超过20%","")</f>
        <v>#DIV/0!</v>
      </c>
      <c r="I47" s="1212" t="e">
        <f>IF(I42&lt;E42,E42/I42-1,I42/E42-1)</f>
        <v>#DIV/0!</v>
      </c>
      <c r="J47" s="1213" t="e">
        <f>IF(OR(I47&gt;=0.2,I47&lt;=-0.2),"超过20%","")</f>
        <v>#DIV/0!</v>
      </c>
      <c r="K47" s="1289"/>
      <c r="L47" s="1298"/>
      <c r="M47" s="1244"/>
      <c r="N47" s="1244"/>
      <c r="O47" s="1244"/>
    </row>
    <row r="48" spans="1:29" s="1096" customFormat="1" ht="13.5" customHeight="1">
      <c r="A48" s="1214"/>
      <c r="B48" s="1214"/>
      <c r="C48" s="1211" t="s">
        <v>1456</v>
      </c>
      <c r="D48" s="859"/>
      <c r="E48" s="1212" t="e">
        <f>IF(E41&lt;G41,G41/E41-1,E41/G41-1)</f>
        <v>#DIV/0!</v>
      </c>
      <c r="F48" s="1213" t="e">
        <f>IF(OR(E48&gt;=0.3,E48&lt;=-0.3),"超过30%","")</f>
        <v>#DIV/0!</v>
      </c>
      <c r="G48" s="1212" t="e">
        <f>IF(G41&lt;I41,I41/G41-1,G41/I41-1)</f>
        <v>#DIV/0!</v>
      </c>
      <c r="H48" s="1213" t="e">
        <f>IF(OR(G48&gt;=0.3,G48&lt;=-0.3),"超过30%","")</f>
        <v>#DIV/0!</v>
      </c>
      <c r="I48" s="1212" t="e">
        <f>IF(I41&lt;E41,E41/I41-1,I41/E41-1)</f>
        <v>#DIV/0!</v>
      </c>
      <c r="J48" s="1213" t="e">
        <f>IF(OR(I48&gt;=0.3,I48&lt;=-0.3),"超过30%","")</f>
        <v>#DIV/0!</v>
      </c>
      <c r="K48" s="1291"/>
      <c r="L48" s="1573"/>
      <c r="M48" s="1574"/>
      <c r="N48" s="1574"/>
      <c r="O48" s="1574"/>
    </row>
    <row r="49" spans="1:17" s="1096" customFormat="1">
      <c r="A49" s="1214"/>
      <c r="B49" s="1215"/>
      <c r="C49" s="1523"/>
      <c r="D49" s="1214"/>
      <c r="E49" s="1214"/>
      <c r="F49" s="1214"/>
      <c r="G49" s="1214"/>
      <c r="H49" s="1214"/>
      <c r="I49" s="1214"/>
      <c r="J49" s="1214"/>
      <c r="K49" s="1291"/>
      <c r="L49" s="1573"/>
      <c r="M49" s="1574"/>
      <c r="N49" s="1574"/>
      <c r="O49" s="1574"/>
    </row>
    <row r="50" spans="1:17">
      <c r="A50" s="1209"/>
      <c r="B50" s="1215"/>
      <c r="C50" s="1523"/>
      <c r="D50" s="1209"/>
      <c r="E50" s="1209"/>
      <c r="F50" s="1209"/>
      <c r="G50" s="1209"/>
      <c r="H50" s="1209"/>
      <c r="I50" s="1209"/>
      <c r="J50" s="1209"/>
      <c r="K50" s="1289"/>
      <c r="L50" s="1298"/>
      <c r="M50" s="1244"/>
      <c r="N50" s="1244"/>
      <c r="O50" s="1244"/>
    </row>
    <row r="51" spans="1:17" ht="21">
      <c r="A51" s="1248" t="s">
        <v>1457</v>
      </c>
      <c r="B51" s="1249"/>
      <c r="C51" s="1250"/>
      <c r="D51" s="1250"/>
      <c r="E51" s="1250"/>
      <c r="F51" s="1251"/>
      <c r="G51" s="1251"/>
      <c r="H51" s="1250"/>
      <c r="I51" s="1250"/>
      <c r="J51" s="1250"/>
      <c r="K51" s="1467"/>
      <c r="L51" s="1468"/>
      <c r="M51" s="1301"/>
      <c r="N51" s="1301"/>
      <c r="O51" s="1301"/>
      <c r="P51" s="1575"/>
      <c r="Q51" s="1577"/>
    </row>
    <row r="52" spans="1:17" s="1098" customFormat="1" ht="15">
      <c r="A52" s="1524" t="s">
        <v>1410</v>
      </c>
      <c r="B52" s="1525"/>
      <c r="C52" s="1526" t="str">
        <f>YEAR(C7)&amp;"-"&amp;MONTH(C7)</f>
        <v>2025-9</v>
      </c>
      <c r="D52" s="1527">
        <f>EDATE(C52,-1)</f>
        <v>45870</v>
      </c>
      <c r="E52" s="1527">
        <f t="shared" ref="E52:O52" si="16">EDATE(D52,-1)</f>
        <v>45839</v>
      </c>
      <c r="F52" s="1527">
        <f t="shared" si="16"/>
        <v>45809</v>
      </c>
      <c r="G52" s="1527">
        <f t="shared" si="16"/>
        <v>45778</v>
      </c>
      <c r="H52" s="1527">
        <f t="shared" si="16"/>
        <v>45748</v>
      </c>
      <c r="I52" s="1527">
        <f t="shared" si="16"/>
        <v>45717</v>
      </c>
      <c r="J52" s="1527">
        <f t="shared" si="16"/>
        <v>45689</v>
      </c>
      <c r="K52" s="1527">
        <f t="shared" si="16"/>
        <v>45658</v>
      </c>
      <c r="L52" s="1527">
        <f t="shared" si="16"/>
        <v>45627</v>
      </c>
      <c r="M52" s="1527">
        <f t="shared" si="16"/>
        <v>45597</v>
      </c>
      <c r="N52" s="1527">
        <f t="shared" si="16"/>
        <v>45566</v>
      </c>
      <c r="O52" s="1527">
        <f t="shared" si="16"/>
        <v>45536</v>
      </c>
      <c r="P52" s="1576"/>
    </row>
    <row r="53" spans="1:17" s="1093" customFormat="1" ht="15">
      <c r="A53" s="1528"/>
      <c r="B53" s="1334"/>
      <c r="C53" s="1529">
        <v>100</v>
      </c>
      <c r="D53" s="1338"/>
      <c r="E53" s="1338"/>
      <c r="F53" s="1338"/>
      <c r="G53" s="1338"/>
      <c r="H53" s="1338"/>
      <c r="I53" s="1338"/>
      <c r="J53" s="1338"/>
      <c r="K53" s="1338"/>
      <c r="L53" s="1338"/>
      <c r="M53" s="1536"/>
      <c r="N53" s="1338"/>
      <c r="O53" s="1386"/>
      <c r="P53" s="1577"/>
    </row>
    <row r="54" spans="1:17" s="1093" customFormat="1" ht="15">
      <c r="A54" s="1329" t="s">
        <v>1458</v>
      </c>
      <c r="B54" s="1330"/>
      <c r="C54" s="1331"/>
      <c r="D54" s="1332"/>
      <c r="E54" s="1332"/>
      <c r="F54" s="1332"/>
      <c r="G54" s="1332"/>
      <c r="H54" s="1332"/>
      <c r="I54" s="1332"/>
      <c r="J54" s="1332"/>
      <c r="K54" s="1332"/>
      <c r="L54" s="1332"/>
      <c r="M54" s="1380"/>
      <c r="N54" s="1578"/>
      <c r="O54" s="1579"/>
      <c r="P54" s="1577"/>
      <c r="Q54" s="1577"/>
    </row>
    <row r="55" spans="1:17" s="1093" customFormat="1" ht="15">
      <c r="A55" s="1333" t="s">
        <v>1413</v>
      </c>
      <c r="B55" s="1334"/>
      <c r="C55" s="1335" t="s">
        <v>1459</v>
      </c>
      <c r="D55" s="1336"/>
      <c r="E55" s="1336"/>
      <c r="F55" s="1336"/>
      <c r="G55" s="1336"/>
      <c r="H55" s="1336"/>
      <c r="I55" s="1336"/>
      <c r="J55" s="1336"/>
      <c r="K55" s="1336"/>
      <c r="L55" s="1382"/>
      <c r="M55" s="1383"/>
      <c r="N55" s="1580"/>
      <c r="O55" s="1580"/>
      <c r="P55" s="1581"/>
      <c r="Q55" s="1577"/>
    </row>
    <row r="56" spans="1:17" s="1093" customFormat="1" ht="15">
      <c r="A56" s="1333"/>
      <c r="B56" s="1334"/>
      <c r="C56" s="1337">
        <v>100</v>
      </c>
      <c r="D56" s="1338"/>
      <c r="E56" s="1338"/>
      <c r="F56" s="1338"/>
      <c r="G56" s="1338"/>
      <c r="H56" s="1338"/>
      <c r="I56" s="1338"/>
      <c r="J56" s="1338"/>
      <c r="K56" s="1338"/>
      <c r="L56" s="1338"/>
      <c r="M56" s="1386"/>
      <c r="N56" s="1580"/>
      <c r="O56" s="1580"/>
      <c r="P56" s="1577"/>
      <c r="Q56" s="1577"/>
    </row>
    <row r="57" spans="1:17">
      <c r="A57" s="1339" t="s">
        <v>1460</v>
      </c>
      <c r="B57" s="1340" t="s">
        <v>1417</v>
      </c>
      <c r="C57" s="1362">
        <f>C9</f>
        <v>0</v>
      </c>
      <c r="D57" s="1282"/>
      <c r="E57" s="1282"/>
      <c r="F57" s="1282"/>
      <c r="G57" s="1282"/>
      <c r="H57" s="1282"/>
      <c r="I57" s="1282"/>
      <c r="J57" s="1282"/>
      <c r="K57" s="1387"/>
      <c r="L57" s="1388"/>
      <c r="M57" s="1389"/>
      <c r="N57" s="1582"/>
      <c r="O57" s="1582"/>
      <c r="P57" s="1583"/>
      <c r="Q57" s="1577"/>
    </row>
    <row r="58" spans="1:17" ht="15">
      <c r="A58" s="1341"/>
      <c r="B58" s="1342"/>
      <c r="C58" s="1343">
        <v>100</v>
      </c>
      <c r="D58" s="1343"/>
      <c r="E58" s="1343"/>
      <c r="F58" s="1343"/>
      <c r="G58" s="1343"/>
      <c r="H58" s="1343"/>
      <c r="I58" s="1343"/>
      <c r="J58" s="1343"/>
      <c r="K58" s="1343"/>
      <c r="L58" s="1343"/>
      <c r="M58" s="1392"/>
      <c r="N58" s="1584"/>
      <c r="O58" s="1584"/>
      <c r="P58" s="1583"/>
      <c r="Q58" s="1577"/>
    </row>
    <row r="59" spans="1:17" ht="27">
      <c r="A59" s="1341"/>
      <c r="B59" s="1344" t="s">
        <v>1420</v>
      </c>
      <c r="C59" s="1369"/>
      <c r="D59" s="1369"/>
      <c r="E59" s="1369"/>
      <c r="F59" s="1369"/>
      <c r="G59" s="1369"/>
      <c r="H59" s="1369"/>
      <c r="I59" s="1369"/>
      <c r="J59" s="1369"/>
      <c r="K59" s="1420"/>
      <c r="L59" s="1421"/>
      <c r="M59" s="1422"/>
      <c r="N59" s="1582"/>
      <c r="O59" s="1582"/>
      <c r="P59" s="1583"/>
      <c r="Q59" s="1577"/>
    </row>
    <row r="60" spans="1:17" ht="15">
      <c r="A60" s="1341"/>
      <c r="B60" s="1346"/>
      <c r="C60" s="1343"/>
      <c r="D60" s="1343"/>
      <c r="E60" s="1343"/>
      <c r="F60" s="1343"/>
      <c r="G60" s="1343"/>
      <c r="H60" s="1343"/>
      <c r="I60" s="1343"/>
      <c r="J60" s="1343"/>
      <c r="K60" s="1343"/>
      <c r="L60" s="1343"/>
      <c r="M60" s="1392"/>
      <c r="N60" s="1584"/>
      <c r="O60" s="1584"/>
      <c r="P60" s="1583"/>
      <c r="Q60" s="1577"/>
    </row>
    <row r="61" spans="1:17" ht="15">
      <c r="A61" s="1341"/>
      <c r="B61" s="1348" t="s">
        <v>1960</v>
      </c>
      <c r="C61" s="1349" t="str">
        <f>C62&amp;"（含）"&amp;"-"&amp;D62</f>
        <v>0（含）-2</v>
      </c>
      <c r="D61" s="1349" t="str">
        <f t="shared" ref="D61:L61" si="17">D62&amp;"（含）"&amp;"-"&amp;E62</f>
        <v>2（含）-</v>
      </c>
      <c r="E61" s="1349" t="str">
        <f t="shared" si="17"/>
        <v>（含）-</v>
      </c>
      <c r="F61" s="1349" t="str">
        <f t="shared" si="17"/>
        <v>（含）-</v>
      </c>
      <c r="G61" s="1349" t="str">
        <f t="shared" si="17"/>
        <v>（含）-</v>
      </c>
      <c r="H61" s="1349" t="str">
        <f t="shared" si="17"/>
        <v>（含）-</v>
      </c>
      <c r="I61" s="1349" t="str">
        <f t="shared" si="17"/>
        <v>（含）-</v>
      </c>
      <c r="J61" s="1349" t="str">
        <f t="shared" si="17"/>
        <v>（含）-</v>
      </c>
      <c r="K61" s="1349" t="str">
        <f t="shared" si="17"/>
        <v>（含）-</v>
      </c>
      <c r="L61" s="1349" t="str">
        <f t="shared" si="17"/>
        <v>（含）-</v>
      </c>
      <c r="M61" s="1155" t="str">
        <f>M62&amp;"（含）"&amp;"-"&amp;P62</f>
        <v>（含）-</v>
      </c>
      <c r="N61" s="1584"/>
      <c r="O61" s="1584"/>
      <c r="P61" s="1583"/>
      <c r="Q61" s="1577"/>
    </row>
    <row r="62" spans="1:17" ht="15">
      <c r="A62" s="1341"/>
      <c r="B62" s="1350"/>
      <c r="C62" s="1140">
        <v>0</v>
      </c>
      <c r="D62" s="1140">
        <v>2</v>
      </c>
      <c r="E62" s="1140"/>
      <c r="F62" s="1140"/>
      <c r="G62" s="1140"/>
      <c r="H62" s="1140"/>
      <c r="I62" s="1140"/>
      <c r="J62" s="1140"/>
      <c r="K62" s="1398"/>
      <c r="L62" s="1399"/>
      <c r="M62" s="1400"/>
      <c r="N62" s="1582"/>
      <c r="O62" s="1582"/>
      <c r="P62" s="1583"/>
      <c r="Q62" s="1577"/>
    </row>
    <row r="63" spans="1:17" ht="15">
      <c r="A63" s="1341"/>
      <c r="B63" s="1342"/>
      <c r="C63" s="1347">
        <v>100</v>
      </c>
      <c r="D63" s="1347">
        <f t="shared" ref="D63:M63" si="18">C63-$K11</f>
        <v>100</v>
      </c>
      <c r="E63" s="1347">
        <f t="shared" si="18"/>
        <v>100</v>
      </c>
      <c r="F63" s="1347">
        <f t="shared" si="18"/>
        <v>100</v>
      </c>
      <c r="G63" s="1347">
        <f t="shared" si="18"/>
        <v>100</v>
      </c>
      <c r="H63" s="1347">
        <f t="shared" si="18"/>
        <v>100</v>
      </c>
      <c r="I63" s="1347">
        <f t="shared" si="18"/>
        <v>100</v>
      </c>
      <c r="J63" s="1347">
        <f t="shared" si="18"/>
        <v>100</v>
      </c>
      <c r="K63" s="1347">
        <f t="shared" si="18"/>
        <v>100</v>
      </c>
      <c r="L63" s="1347">
        <f t="shared" si="18"/>
        <v>100</v>
      </c>
      <c r="M63" s="1397">
        <f t="shared" si="18"/>
        <v>100</v>
      </c>
      <c r="N63" s="1584"/>
      <c r="O63" s="1584"/>
      <c r="P63" s="1583"/>
      <c r="Q63" s="1577"/>
    </row>
    <row r="64" spans="1:17" s="1095" customFormat="1" ht="15">
      <c r="A64" s="1351"/>
      <c r="B64" s="1344">
        <f>B12</f>
        <v>111</v>
      </c>
      <c r="C64" s="1352"/>
      <c r="D64" s="1352"/>
      <c r="E64" s="1352"/>
      <c r="F64" s="1352"/>
      <c r="G64" s="1352"/>
      <c r="H64" s="1353"/>
      <c r="I64" s="1353"/>
      <c r="J64" s="1353"/>
      <c r="K64" s="1353"/>
      <c r="L64" s="1401"/>
      <c r="M64" s="1402"/>
      <c r="N64" s="1585"/>
      <c r="O64" s="1585"/>
      <c r="P64" s="1586"/>
      <c r="Q64" s="1587"/>
    </row>
    <row r="65" spans="1:17" s="1095" customFormat="1" ht="15">
      <c r="A65" s="1351"/>
      <c r="B65" s="1346"/>
      <c r="C65" s="1354"/>
      <c r="D65" s="1343"/>
      <c r="E65" s="1343"/>
      <c r="F65" s="1343"/>
      <c r="G65" s="1343"/>
      <c r="H65" s="1343"/>
      <c r="I65" s="1343"/>
      <c r="J65" s="1343"/>
      <c r="K65" s="1343"/>
      <c r="L65" s="1343"/>
      <c r="M65" s="1392"/>
      <c r="N65" s="1584"/>
      <c r="O65" s="1584"/>
      <c r="P65" s="1586"/>
      <c r="Q65" s="1587"/>
    </row>
    <row r="66" spans="1:17" s="1095" customFormat="1" ht="15">
      <c r="A66" s="1351"/>
      <c r="B66" s="1344">
        <f>B13</f>
        <v>111</v>
      </c>
      <c r="C66" s="1352"/>
      <c r="D66" s="1352"/>
      <c r="E66" s="1352"/>
      <c r="F66" s="1352"/>
      <c r="G66" s="1352"/>
      <c r="H66" s="1353"/>
      <c r="I66" s="1353"/>
      <c r="J66" s="1353"/>
      <c r="K66" s="1353"/>
      <c r="L66" s="1401"/>
      <c r="M66" s="1402"/>
      <c r="N66" s="1585"/>
      <c r="O66" s="1585"/>
      <c r="P66" s="1589"/>
      <c r="Q66" s="1597"/>
    </row>
    <row r="67" spans="1:17" s="1095" customFormat="1" ht="15">
      <c r="A67" s="1351"/>
      <c r="B67" s="1346"/>
      <c r="C67" s="1354"/>
      <c r="D67" s="1343"/>
      <c r="E67" s="1343"/>
      <c r="F67" s="1343"/>
      <c r="G67" s="1354"/>
      <c r="H67" s="1355"/>
      <c r="I67" s="1355"/>
      <c r="J67" s="1355"/>
      <c r="K67" s="1355"/>
      <c r="L67" s="1355"/>
      <c r="M67" s="1405"/>
      <c r="N67" s="1585"/>
      <c r="O67" s="1585"/>
      <c r="P67" s="1586"/>
      <c r="Q67" s="1587"/>
    </row>
    <row r="68" spans="1:17" s="1095" customFormat="1" ht="15">
      <c r="A68" s="1351"/>
      <c r="B68" s="1348">
        <f>B14</f>
        <v>111</v>
      </c>
      <c r="C68" s="1336"/>
      <c r="D68" s="1336"/>
      <c r="E68" s="1336"/>
      <c r="F68" s="1336"/>
      <c r="G68" s="1336"/>
      <c r="H68" s="1356"/>
      <c r="I68" s="1356"/>
      <c r="J68" s="1356"/>
      <c r="K68" s="1356"/>
      <c r="L68" s="1406"/>
      <c r="M68" s="1407"/>
      <c r="N68" s="1585"/>
      <c r="O68" s="1585"/>
      <c r="P68" s="1590"/>
      <c r="Q68" s="1587"/>
    </row>
    <row r="69" spans="1:17" s="1095" customFormat="1" ht="15">
      <c r="A69" s="1357"/>
      <c r="B69" s="1358"/>
      <c r="C69" s="1359"/>
      <c r="D69" s="1359"/>
      <c r="E69" s="1359"/>
      <c r="F69" s="1359"/>
      <c r="G69" s="1359"/>
      <c r="H69" s="1360"/>
      <c r="I69" s="1360"/>
      <c r="J69" s="1360"/>
      <c r="K69" s="1360"/>
      <c r="L69" s="1360"/>
      <c r="M69" s="1409"/>
      <c r="N69" s="1585"/>
      <c r="O69" s="1585"/>
      <c r="P69" s="1586"/>
      <c r="Q69" s="1587"/>
    </row>
    <row r="70" spans="1:17">
      <c r="A70" s="1339" t="s">
        <v>1423</v>
      </c>
      <c r="B70" s="1340" t="s">
        <v>2015</v>
      </c>
      <c r="C70" s="1361" t="s">
        <v>1463</v>
      </c>
      <c r="D70" s="1361" t="s">
        <v>1464</v>
      </c>
      <c r="E70" s="1361" t="s">
        <v>1465</v>
      </c>
      <c r="F70" s="1361" t="s">
        <v>1466</v>
      </c>
      <c r="G70" s="1361" t="s">
        <v>1467</v>
      </c>
      <c r="H70" s="1362"/>
      <c r="I70" s="1362"/>
      <c r="J70" s="1362"/>
      <c r="K70" s="1410"/>
      <c r="L70" s="1411"/>
      <c r="M70" s="1412"/>
      <c r="N70" s="1582"/>
      <c r="O70" s="1582"/>
      <c r="P70" s="1591"/>
      <c r="Q70" s="1577"/>
    </row>
    <row r="71" spans="1:17" ht="15">
      <c r="A71" s="1341"/>
      <c r="B71" s="1346"/>
      <c r="C71" s="1347">
        <v>100</v>
      </c>
      <c r="D71" s="1347">
        <f>C71-$K15</f>
        <v>100</v>
      </c>
      <c r="E71" s="1347">
        <f>D71-$K15</f>
        <v>100</v>
      </c>
      <c r="F71" s="1347">
        <f>E71-$K15</f>
        <v>100</v>
      </c>
      <c r="G71" s="1347">
        <f>F71-$K15</f>
        <v>100</v>
      </c>
      <c r="H71" s="1347"/>
      <c r="I71" s="1347"/>
      <c r="J71" s="1347"/>
      <c r="K71" s="1347"/>
      <c r="L71" s="1347"/>
      <c r="M71" s="1397"/>
      <c r="N71" s="1584"/>
      <c r="O71" s="1584"/>
      <c r="P71" s="1583"/>
      <c r="Q71" s="1577"/>
    </row>
    <row r="72" spans="1:17" ht="15">
      <c r="A72" s="1341"/>
      <c r="B72" s="1344" t="s">
        <v>1424</v>
      </c>
      <c r="C72" s="1363" t="s">
        <v>1463</v>
      </c>
      <c r="D72" s="1363" t="s">
        <v>1464</v>
      </c>
      <c r="E72" s="1363" t="s">
        <v>1465</v>
      </c>
      <c r="F72" s="1363" t="s">
        <v>1466</v>
      </c>
      <c r="G72" s="1363" t="s">
        <v>1467</v>
      </c>
      <c r="H72" s="1345"/>
      <c r="I72" s="1345"/>
      <c r="J72" s="1345"/>
      <c r="K72" s="1394"/>
      <c r="L72" s="1395"/>
      <c r="M72" s="1396"/>
      <c r="N72" s="1582"/>
      <c r="O72" s="1582"/>
      <c r="P72" s="1583"/>
      <c r="Q72" s="1577"/>
    </row>
    <row r="73" spans="1:17" ht="15">
      <c r="A73" s="1341"/>
      <c r="B73" s="1346"/>
      <c r="C73" s="1347">
        <v>100</v>
      </c>
      <c r="D73" s="1347">
        <f>C73-$K17</f>
        <v>100</v>
      </c>
      <c r="E73" s="1347">
        <f>D73-$K17</f>
        <v>100</v>
      </c>
      <c r="F73" s="1347">
        <f>E73-$K17</f>
        <v>100</v>
      </c>
      <c r="G73" s="1347">
        <f>F73-$K17</f>
        <v>100</v>
      </c>
      <c r="H73" s="1347"/>
      <c r="I73" s="1347"/>
      <c r="J73" s="1347"/>
      <c r="K73" s="1347"/>
      <c r="L73" s="1347"/>
      <c r="M73" s="1397"/>
      <c r="N73" s="1584"/>
      <c r="O73" s="1584"/>
      <c r="P73" s="1583"/>
      <c r="Q73" s="1577"/>
    </row>
    <row r="74" spans="1:17" ht="15">
      <c r="A74" s="1341"/>
      <c r="B74" s="1344" t="s">
        <v>1427</v>
      </c>
      <c r="C74" s="1363" t="s">
        <v>1463</v>
      </c>
      <c r="D74" s="1363" t="s">
        <v>1464</v>
      </c>
      <c r="E74" s="1363" t="s">
        <v>1465</v>
      </c>
      <c r="F74" s="1363" t="s">
        <v>1466</v>
      </c>
      <c r="G74" s="1363" t="s">
        <v>1467</v>
      </c>
      <c r="H74" s="1345"/>
      <c r="I74" s="1345"/>
      <c r="J74" s="1345"/>
      <c r="K74" s="1394"/>
      <c r="L74" s="1395"/>
      <c r="M74" s="1396"/>
      <c r="N74" s="1582"/>
      <c r="O74" s="1582"/>
      <c r="P74" s="1583"/>
      <c r="Q74" s="1577"/>
    </row>
    <row r="75" spans="1:17" ht="15">
      <c r="A75" s="1341"/>
      <c r="B75" s="1346"/>
      <c r="C75" s="1347">
        <v>100</v>
      </c>
      <c r="D75" s="1347">
        <f>C75-$K19</f>
        <v>100</v>
      </c>
      <c r="E75" s="1347">
        <f>D75-$K19</f>
        <v>100</v>
      </c>
      <c r="F75" s="1347">
        <f>E75-$K19</f>
        <v>100</v>
      </c>
      <c r="G75" s="1347">
        <f>F75-$K19</f>
        <v>100</v>
      </c>
      <c r="H75" s="1347"/>
      <c r="I75" s="1347"/>
      <c r="J75" s="1347"/>
      <c r="K75" s="1347"/>
      <c r="L75" s="1347"/>
      <c r="M75" s="1397"/>
      <c r="N75" s="1584"/>
      <c r="O75" s="1584"/>
      <c r="P75" s="1583"/>
      <c r="Q75" s="1577"/>
    </row>
    <row r="76" spans="1:17" ht="15">
      <c r="A76" s="1341"/>
      <c r="B76" s="1348" t="s">
        <v>1429</v>
      </c>
      <c r="C76" s="1368" t="s">
        <v>1468</v>
      </c>
      <c r="D76" s="1368" t="s">
        <v>1469</v>
      </c>
      <c r="E76" s="1368" t="s">
        <v>1470</v>
      </c>
      <c r="F76" s="1368" t="s">
        <v>1471</v>
      </c>
      <c r="G76" s="1368" t="s">
        <v>1472</v>
      </c>
      <c r="H76" s="1345"/>
      <c r="I76" s="1345"/>
      <c r="J76" s="1345"/>
      <c r="K76" s="1345"/>
      <c r="L76" s="1345"/>
      <c r="M76" s="1541"/>
      <c r="N76" s="1584"/>
      <c r="O76" s="1584"/>
      <c r="P76" s="1583"/>
      <c r="Q76" s="1577"/>
    </row>
    <row r="77" spans="1:17" ht="15">
      <c r="A77" s="1341"/>
      <c r="B77" s="1348"/>
      <c r="C77" s="1347">
        <v>100</v>
      </c>
      <c r="D77" s="1347">
        <f>C77-$K21</f>
        <v>100</v>
      </c>
      <c r="E77" s="1347">
        <f>D77-$K21</f>
        <v>100</v>
      </c>
      <c r="F77" s="1347">
        <f>E77-$K21</f>
        <v>100</v>
      </c>
      <c r="G77" s="1347">
        <f>F77-$K21</f>
        <v>100</v>
      </c>
      <c r="H77" s="1368"/>
      <c r="I77" s="1368"/>
      <c r="J77" s="1368"/>
      <c r="K77" s="1368"/>
      <c r="L77" s="1368"/>
      <c r="M77" s="1157"/>
      <c r="N77" s="1584"/>
      <c r="O77" s="1584"/>
      <c r="P77" s="1583"/>
      <c r="Q77" s="1577"/>
    </row>
    <row r="78" spans="1:17" ht="15">
      <c r="A78" s="1341"/>
      <c r="B78" s="1344" t="s">
        <v>2009</v>
      </c>
      <c r="C78" s="1363" t="s">
        <v>1463</v>
      </c>
      <c r="D78" s="1363" t="s">
        <v>1464</v>
      </c>
      <c r="E78" s="1363" t="s">
        <v>1465</v>
      </c>
      <c r="F78" s="1363" t="s">
        <v>1466</v>
      </c>
      <c r="G78" s="1363" t="s">
        <v>1467</v>
      </c>
      <c r="H78" s="1345"/>
      <c r="I78" s="1345"/>
      <c r="J78" s="1345"/>
      <c r="K78" s="1394"/>
      <c r="L78" s="1395"/>
      <c r="M78" s="1396"/>
      <c r="N78" s="1582"/>
      <c r="O78" s="1582"/>
      <c r="P78" s="1583"/>
      <c r="Q78" s="1577"/>
    </row>
    <row r="79" spans="1:17" ht="15">
      <c r="A79" s="1341"/>
      <c r="B79" s="1346"/>
      <c r="C79" s="1347">
        <v>100</v>
      </c>
      <c r="D79" s="1347">
        <f>C79-$K23</f>
        <v>100</v>
      </c>
      <c r="E79" s="1347">
        <f>D79-$K23</f>
        <v>100</v>
      </c>
      <c r="F79" s="1347">
        <f>E79-$K23</f>
        <v>100</v>
      </c>
      <c r="G79" s="1347">
        <f>F79-$K23</f>
        <v>100</v>
      </c>
      <c r="H79" s="1347"/>
      <c r="I79" s="1347"/>
      <c r="J79" s="1347"/>
      <c r="K79" s="1347"/>
      <c r="L79" s="1347"/>
      <c r="M79" s="1397"/>
      <c r="N79" s="1584"/>
      <c r="O79" s="1584"/>
      <c r="P79" s="1583"/>
      <c r="Q79" s="1577"/>
    </row>
    <row r="80" spans="1:17" s="1093" customFormat="1" ht="15">
      <c r="A80" s="1364"/>
      <c r="B80" s="1344">
        <f>B25</f>
        <v>111</v>
      </c>
      <c r="C80" s="1352"/>
      <c r="D80" s="1352"/>
      <c r="E80" s="1352"/>
      <c r="F80" s="1352"/>
      <c r="G80" s="1352"/>
      <c r="H80" s="1352"/>
      <c r="I80" s="1352"/>
      <c r="J80" s="1352"/>
      <c r="K80" s="1352"/>
      <c r="L80" s="1542"/>
      <c r="M80" s="1543"/>
      <c r="N80" s="1580"/>
      <c r="O80" s="1580"/>
      <c r="P80" s="1583"/>
      <c r="Q80" s="1577"/>
    </row>
    <row r="81" spans="1:17" s="1093" customFormat="1" ht="15">
      <c r="A81" s="1364"/>
      <c r="B81" s="1346"/>
      <c r="C81" s="1354"/>
      <c r="D81" s="1343"/>
      <c r="E81" s="1343"/>
      <c r="F81" s="1343"/>
      <c r="G81" s="1343"/>
      <c r="H81" s="1343"/>
      <c r="I81" s="1343"/>
      <c r="J81" s="1343"/>
      <c r="K81" s="1343"/>
      <c r="L81" s="1343"/>
      <c r="M81" s="1392"/>
      <c r="N81" s="1584"/>
      <c r="O81" s="1584"/>
      <c r="P81" s="1583"/>
      <c r="Q81" s="1577"/>
    </row>
    <row r="82" spans="1:17" s="1093" customFormat="1" ht="15">
      <c r="A82" s="1364"/>
      <c r="B82" s="1344">
        <f>B26</f>
        <v>111</v>
      </c>
      <c r="C82" s="1352"/>
      <c r="D82" s="1352"/>
      <c r="E82" s="1352"/>
      <c r="F82" s="1352"/>
      <c r="G82" s="1352"/>
      <c r="H82" s="1352"/>
      <c r="I82" s="1352"/>
      <c r="J82" s="1352"/>
      <c r="K82" s="1352"/>
      <c r="L82" s="1542"/>
      <c r="M82" s="1543"/>
      <c r="N82" s="1580"/>
      <c r="O82" s="1580"/>
      <c r="P82" s="1583"/>
      <c r="Q82" s="1577"/>
    </row>
    <row r="83" spans="1:17" s="1093" customFormat="1" ht="15">
      <c r="A83" s="1364"/>
      <c r="B83" s="1346"/>
      <c r="C83" s="1354"/>
      <c r="D83" s="1343"/>
      <c r="E83" s="1343"/>
      <c r="F83" s="1343"/>
      <c r="G83" s="1343"/>
      <c r="H83" s="1343"/>
      <c r="I83" s="1343"/>
      <c r="J83" s="1343"/>
      <c r="K83" s="1343"/>
      <c r="L83" s="1343"/>
      <c r="M83" s="1392"/>
      <c r="N83" s="1584"/>
      <c r="O83" s="1584"/>
      <c r="P83" s="1583"/>
      <c r="Q83" s="1577"/>
    </row>
    <row r="84" spans="1:17" s="1095" customFormat="1" ht="15">
      <c r="A84" s="1351"/>
      <c r="B84" s="1344">
        <f>B27</f>
        <v>111</v>
      </c>
      <c r="C84" s="1352"/>
      <c r="D84" s="1352"/>
      <c r="E84" s="1352"/>
      <c r="F84" s="1352"/>
      <c r="G84" s="1352"/>
      <c r="H84" s="1352"/>
      <c r="I84" s="1352"/>
      <c r="J84" s="1352"/>
      <c r="K84" s="1352"/>
      <c r="L84" s="1542"/>
      <c r="M84" s="1543"/>
      <c r="N84" s="1585"/>
      <c r="O84" s="1585"/>
      <c r="P84" s="1586"/>
      <c r="Q84" s="1587"/>
    </row>
    <row r="85" spans="1:17" s="1095" customFormat="1" ht="15">
      <c r="A85" s="1351"/>
      <c r="B85" s="1346"/>
      <c r="C85" s="1354"/>
      <c r="D85" s="1343"/>
      <c r="E85" s="1343"/>
      <c r="F85" s="1343"/>
      <c r="G85" s="1343"/>
      <c r="H85" s="1343"/>
      <c r="I85" s="1343"/>
      <c r="J85" s="1343"/>
      <c r="K85" s="1343"/>
      <c r="L85" s="1343"/>
      <c r="M85" s="1392"/>
      <c r="N85" s="1585"/>
      <c r="O85" s="1585"/>
      <c r="P85" s="1586"/>
      <c r="Q85" s="1587"/>
    </row>
    <row r="86" spans="1:17" ht="15">
      <c r="A86" s="1341"/>
      <c r="B86" s="1348">
        <f>B28</f>
        <v>111</v>
      </c>
      <c r="C86" s="1336"/>
      <c r="D86" s="1336"/>
      <c r="E86" s="1336"/>
      <c r="F86" s="1336"/>
      <c r="G86" s="1370"/>
      <c r="H86" s="1370"/>
      <c r="I86" s="1370"/>
      <c r="J86" s="1370"/>
      <c r="K86" s="1423"/>
      <c r="L86" s="1424"/>
      <c r="M86" s="1425"/>
      <c r="N86" s="1582"/>
      <c r="O86" s="1582"/>
      <c r="P86" s="1583"/>
      <c r="Q86" s="1577"/>
    </row>
    <row r="87" spans="1:17" ht="15">
      <c r="A87" s="1588"/>
      <c r="B87" s="1358"/>
      <c r="C87" s="1359"/>
      <c r="D87" s="1359"/>
      <c r="E87" s="1359"/>
      <c r="F87" s="1359"/>
      <c r="G87" s="1371"/>
      <c r="H87" s="1371"/>
      <c r="I87" s="1371"/>
      <c r="J87" s="1371"/>
      <c r="K87" s="1371"/>
      <c r="L87" s="1371"/>
      <c r="M87" s="1426"/>
      <c r="N87" s="1584"/>
      <c r="O87" s="1584"/>
      <c r="P87" s="1583"/>
      <c r="Q87" s="1577"/>
    </row>
    <row r="88" spans="1:17">
      <c r="A88" s="1339" t="s">
        <v>1434</v>
      </c>
      <c r="B88" s="1340" t="s">
        <v>1964</v>
      </c>
      <c r="C88" s="1282"/>
      <c r="D88" s="1282"/>
      <c r="E88" s="1282"/>
      <c r="F88" s="1282"/>
      <c r="G88" s="1282"/>
      <c r="H88" s="1282"/>
      <c r="I88" s="1282"/>
      <c r="J88" s="1282"/>
      <c r="K88" s="1387"/>
      <c r="L88" s="1388"/>
      <c r="M88" s="1389"/>
      <c r="N88" s="1582"/>
      <c r="O88" s="1582"/>
      <c r="P88" s="1583"/>
      <c r="Q88" s="1577"/>
    </row>
    <row r="89" spans="1:17" ht="15">
      <c r="A89" s="1341"/>
      <c r="B89" s="1346"/>
      <c r="C89" s="1347">
        <v>100</v>
      </c>
      <c r="D89" s="1347">
        <f t="shared" ref="D89:M89" si="19">C89-$K29</f>
        <v>100</v>
      </c>
      <c r="E89" s="1347">
        <f t="shared" si="19"/>
        <v>100</v>
      </c>
      <c r="F89" s="1347">
        <f t="shared" si="19"/>
        <v>100</v>
      </c>
      <c r="G89" s="1347">
        <f t="shared" si="19"/>
        <v>100</v>
      </c>
      <c r="H89" s="1347">
        <f t="shared" si="19"/>
        <v>100</v>
      </c>
      <c r="I89" s="1347">
        <f t="shared" si="19"/>
        <v>100</v>
      </c>
      <c r="J89" s="1347">
        <f t="shared" si="19"/>
        <v>100</v>
      </c>
      <c r="K89" s="1347">
        <f t="shared" si="19"/>
        <v>100</v>
      </c>
      <c r="L89" s="1347">
        <f t="shared" si="19"/>
        <v>100</v>
      </c>
      <c r="M89" s="1397">
        <f t="shared" si="19"/>
        <v>100</v>
      </c>
      <c r="N89" s="1584"/>
      <c r="O89" s="1584"/>
      <c r="P89" s="1583"/>
      <c r="Q89" s="1577"/>
    </row>
    <row r="90" spans="1:17" ht="15">
      <c r="A90" s="1341"/>
      <c r="B90" s="1344" t="s">
        <v>1965</v>
      </c>
      <c r="C90" s="1363" t="str">
        <f>C91&amp;"(含)"&amp;"-"&amp;D91</f>
        <v>(含)-</v>
      </c>
      <c r="D90" s="1363" t="str">
        <f t="shared" ref="D90:L90" si="20">D91&amp;"(含)"&amp;"-"&amp;E91</f>
        <v>(含)-</v>
      </c>
      <c r="E90" s="1363" t="str">
        <f t="shared" si="20"/>
        <v>(含)-</v>
      </c>
      <c r="F90" s="1363" t="str">
        <f t="shared" si="20"/>
        <v>(含)-</v>
      </c>
      <c r="G90" s="1363" t="str">
        <f t="shared" si="20"/>
        <v>(含)-</v>
      </c>
      <c r="H90" s="1363" t="str">
        <f t="shared" si="20"/>
        <v>(含)-</v>
      </c>
      <c r="I90" s="1363" t="str">
        <f t="shared" si="20"/>
        <v>(含)-</v>
      </c>
      <c r="J90" s="1363" t="str">
        <f t="shared" si="20"/>
        <v>(含)-</v>
      </c>
      <c r="K90" s="1363" t="str">
        <f t="shared" si="20"/>
        <v>(含)-</v>
      </c>
      <c r="L90" s="1363" t="str">
        <f t="shared" si="20"/>
        <v>(含)-</v>
      </c>
      <c r="M90" s="1415" t="str">
        <f>M91&amp;"(含)"&amp;"-"&amp;P91</f>
        <v>(含)-</v>
      </c>
      <c r="N90" s="1580"/>
      <c r="O90" s="1580"/>
      <c r="P90" s="1583"/>
      <c r="Q90" s="1577"/>
    </row>
    <row r="91" spans="1:17" s="1095" customFormat="1">
      <c r="A91" s="1372"/>
      <c r="B91" s="1373"/>
      <c r="C91" s="1328"/>
      <c r="D91" s="1328"/>
      <c r="E91" s="1328"/>
      <c r="F91" s="1328"/>
      <c r="G91" s="1328"/>
      <c r="H91" s="1328"/>
      <c r="I91" s="1328"/>
      <c r="J91" s="1427"/>
      <c r="K91" s="1427"/>
      <c r="L91" s="1428"/>
      <c r="M91" s="1429"/>
      <c r="N91" s="1585"/>
      <c r="O91" s="1585"/>
      <c r="P91" s="1586"/>
      <c r="Q91" s="1587"/>
    </row>
    <row r="92" spans="1:17" s="1095" customFormat="1" ht="15">
      <c r="A92" s="1351"/>
      <c r="B92" s="1346"/>
      <c r="C92" s="1354"/>
      <c r="D92" s="1343"/>
      <c r="E92" s="1343"/>
      <c r="F92" s="1343"/>
      <c r="G92" s="1343"/>
      <c r="H92" s="1343"/>
      <c r="I92" s="1343"/>
      <c r="J92" s="1343"/>
      <c r="K92" s="1343"/>
      <c r="L92" s="1343"/>
      <c r="M92" s="1392"/>
      <c r="N92" s="1584"/>
      <c r="O92" s="1584"/>
      <c r="P92" s="1586"/>
      <c r="Q92" s="1587"/>
    </row>
    <row r="93" spans="1:17">
      <c r="A93" s="1375"/>
      <c r="B93" s="1344" t="s">
        <v>1966</v>
      </c>
      <c r="C93" s="1352"/>
      <c r="D93" s="1352"/>
      <c r="E93" s="1369"/>
      <c r="F93" s="1369"/>
      <c r="G93" s="1369"/>
      <c r="H93" s="1369"/>
      <c r="I93" s="1369"/>
      <c r="J93" s="1369"/>
      <c r="K93" s="1420"/>
      <c r="L93" s="1421"/>
      <c r="M93" s="1422"/>
      <c r="N93" s="1582"/>
      <c r="O93" s="1582"/>
      <c r="P93" s="1583"/>
      <c r="Q93" s="1577"/>
    </row>
    <row r="94" spans="1:17" ht="15">
      <c r="A94" s="1341"/>
      <c r="B94" s="1346"/>
      <c r="C94" s="1347">
        <v>100</v>
      </c>
      <c r="D94" s="1347">
        <f t="shared" ref="D94:M94" si="21">C94-$K31</f>
        <v>100</v>
      </c>
      <c r="E94" s="1347">
        <f t="shared" si="21"/>
        <v>100</v>
      </c>
      <c r="F94" s="1347">
        <f t="shared" si="21"/>
        <v>100</v>
      </c>
      <c r="G94" s="1347">
        <f t="shared" si="21"/>
        <v>100</v>
      </c>
      <c r="H94" s="1347">
        <f t="shared" si="21"/>
        <v>100</v>
      </c>
      <c r="I94" s="1347">
        <f t="shared" si="21"/>
        <v>100</v>
      </c>
      <c r="J94" s="1347">
        <f t="shared" si="21"/>
        <v>100</v>
      </c>
      <c r="K94" s="1347">
        <f t="shared" si="21"/>
        <v>100</v>
      </c>
      <c r="L94" s="1347">
        <f t="shared" si="21"/>
        <v>100</v>
      </c>
      <c r="M94" s="1397">
        <f t="shared" si="21"/>
        <v>100</v>
      </c>
      <c r="N94" s="1584"/>
      <c r="O94" s="1584"/>
      <c r="P94" s="1583"/>
      <c r="Q94" s="1577"/>
    </row>
    <row r="95" spans="1:17">
      <c r="A95" s="1375"/>
      <c r="B95" s="1344" t="s">
        <v>1441</v>
      </c>
      <c r="C95" s="1352"/>
      <c r="D95" s="1352"/>
      <c r="E95" s="1352"/>
      <c r="F95" s="1369"/>
      <c r="G95" s="1369"/>
      <c r="H95" s="1369"/>
      <c r="I95" s="1369"/>
      <c r="J95" s="1369"/>
      <c r="K95" s="1420"/>
      <c r="L95" s="1421"/>
      <c r="M95" s="1422"/>
      <c r="N95" s="1582"/>
      <c r="O95" s="1582"/>
      <c r="P95" s="1583"/>
      <c r="Q95" s="1577"/>
    </row>
    <row r="96" spans="1:17" ht="15">
      <c r="A96" s="1341"/>
      <c r="B96" s="1346"/>
      <c r="C96" s="1347">
        <v>100</v>
      </c>
      <c r="D96" s="1347">
        <f t="shared" ref="D96:M96" si="22">C96-$K32</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97">
        <f t="shared" si="22"/>
        <v>100</v>
      </c>
      <c r="N96" s="1584"/>
      <c r="O96" s="1584"/>
      <c r="P96" s="1583"/>
      <c r="Q96" s="1577"/>
    </row>
    <row r="97" spans="1:17">
      <c r="A97" s="1375"/>
      <c r="B97" s="1344" t="s">
        <v>683</v>
      </c>
      <c r="C97" s="1363" t="str">
        <f>C98&amp;"(含)"&amp;"-"&amp;D98</f>
        <v>0.5(含)-0.6</v>
      </c>
      <c r="D97" s="1363" t="str">
        <f>D98&amp;"(含)"&amp;"-"&amp;E98</f>
        <v>0.6(含)-0.7</v>
      </c>
      <c r="E97" s="1363" t="str">
        <f>E98&amp;"(含)"&amp;"-"&amp;F98</f>
        <v>0.7(含)-0.8</v>
      </c>
      <c r="F97" s="1363" t="str">
        <f>F98&amp;"(含)"&amp;"-"&amp;G98</f>
        <v>0.8(含)-0.9</v>
      </c>
      <c r="G97" s="1363" t="str">
        <f>G98&amp;"(含)"&amp;"-"&amp;ROUND(H98,0)&amp;"(含)"</f>
        <v>0.9(含)-1(含)</v>
      </c>
      <c r="H97" s="1363"/>
      <c r="I97" s="1369"/>
      <c r="J97" s="1369"/>
      <c r="K97" s="1420"/>
      <c r="L97" s="1421"/>
      <c r="M97" s="1422"/>
      <c r="N97" s="1582"/>
      <c r="O97" s="1582"/>
      <c r="P97" s="1583"/>
      <c r="Q97" s="1577"/>
    </row>
    <row r="98" spans="1:17">
      <c r="A98" s="1375"/>
      <c r="B98" s="1348"/>
      <c r="C98" s="992">
        <v>0.5</v>
      </c>
      <c r="D98" s="992">
        <v>0.6</v>
      </c>
      <c r="E98" s="992">
        <v>0.7</v>
      </c>
      <c r="F98" s="992">
        <v>0.8</v>
      </c>
      <c r="G98" s="992">
        <v>0.9</v>
      </c>
      <c r="H98" s="992">
        <v>1.0001</v>
      </c>
      <c r="I98" s="1592"/>
      <c r="J98" s="1592"/>
      <c r="K98" s="1593"/>
      <c r="L98" s="1594"/>
      <c r="M98" s="1595"/>
      <c r="N98" s="1582"/>
      <c r="O98" s="1582"/>
      <c r="P98" s="1583"/>
      <c r="Q98" s="1577"/>
    </row>
    <row r="99" spans="1:17" ht="15">
      <c r="A99" s="1341"/>
      <c r="B99" s="1346"/>
      <c r="C99" s="1365">
        <v>100</v>
      </c>
      <c r="D99" s="1347">
        <f>C99+$K33</f>
        <v>100</v>
      </c>
      <c r="E99" s="1347">
        <f t="shared" ref="E99:M99" si="23">D99+$K33</f>
        <v>100</v>
      </c>
      <c r="F99" s="1347">
        <f t="shared" si="23"/>
        <v>100</v>
      </c>
      <c r="G99" s="1347">
        <f t="shared" si="23"/>
        <v>100</v>
      </c>
      <c r="H99" s="1347">
        <f t="shared" si="23"/>
        <v>100</v>
      </c>
      <c r="I99" s="1347">
        <f t="shared" si="23"/>
        <v>100</v>
      </c>
      <c r="J99" s="1347">
        <f t="shared" si="23"/>
        <v>100</v>
      </c>
      <c r="K99" s="1347">
        <f t="shared" si="23"/>
        <v>100</v>
      </c>
      <c r="L99" s="1347">
        <f t="shared" si="23"/>
        <v>100</v>
      </c>
      <c r="M99" s="1347">
        <f t="shared" si="23"/>
        <v>100</v>
      </c>
      <c r="N99" s="1584"/>
      <c r="O99" s="1584"/>
      <c r="P99" s="1583"/>
      <c r="Q99" s="1577"/>
    </row>
    <row r="100" spans="1:17" s="1095" customFormat="1">
      <c r="A100" s="1372"/>
      <c r="B100" s="1344" t="s">
        <v>1968</v>
      </c>
      <c r="C100" s="1352"/>
      <c r="D100" s="1352"/>
      <c r="E100" s="1352"/>
      <c r="F100" s="1352"/>
      <c r="G100" s="1352"/>
      <c r="H100" s="1369"/>
      <c r="I100" s="1369"/>
      <c r="J100" s="1369"/>
      <c r="K100" s="1420"/>
      <c r="L100" s="1421"/>
      <c r="M100" s="1422"/>
      <c r="N100" s="1585"/>
      <c r="O100" s="1585"/>
      <c r="P100" s="1586"/>
      <c r="Q100" s="1587"/>
    </row>
    <row r="101" spans="1:17" s="1095" customFormat="1" ht="15">
      <c r="A101" s="1351"/>
      <c r="B101" s="1346"/>
      <c r="C101" s="1347">
        <v>100</v>
      </c>
      <c r="D101" s="1347">
        <f>C101-$K34</f>
        <v>100</v>
      </c>
      <c r="E101" s="1347">
        <f t="shared" ref="E101:M101" si="24">D101-$K34</f>
        <v>100</v>
      </c>
      <c r="F101" s="1347">
        <f t="shared" si="24"/>
        <v>100</v>
      </c>
      <c r="G101" s="1347">
        <f t="shared" si="24"/>
        <v>100</v>
      </c>
      <c r="H101" s="1347">
        <f t="shared" si="24"/>
        <v>100</v>
      </c>
      <c r="I101" s="1347">
        <f t="shared" si="24"/>
        <v>100</v>
      </c>
      <c r="J101" s="1347">
        <f t="shared" si="24"/>
        <v>100</v>
      </c>
      <c r="K101" s="1347">
        <f t="shared" si="24"/>
        <v>100</v>
      </c>
      <c r="L101" s="1347">
        <f t="shared" si="24"/>
        <v>100</v>
      </c>
      <c r="M101" s="1347">
        <f t="shared" si="24"/>
        <v>100</v>
      </c>
      <c r="N101" s="1585"/>
      <c r="O101" s="1585"/>
      <c r="P101" s="1586"/>
      <c r="Q101" s="1587"/>
    </row>
    <row r="102" spans="1:17">
      <c r="A102" s="1375"/>
      <c r="B102" s="1344" t="s">
        <v>1969</v>
      </c>
      <c r="C102" s="1352"/>
      <c r="D102" s="1352"/>
      <c r="E102" s="1352"/>
      <c r="F102" s="1352"/>
      <c r="G102" s="1352"/>
      <c r="H102" s="1369"/>
      <c r="I102" s="1369"/>
      <c r="J102" s="1369"/>
      <c r="K102" s="1420"/>
      <c r="L102" s="1421"/>
      <c r="M102" s="1422"/>
      <c r="N102" s="1582"/>
      <c r="O102" s="1582"/>
      <c r="P102" s="1583"/>
      <c r="Q102" s="1577"/>
    </row>
    <row r="103" spans="1:17" ht="15">
      <c r="A103" s="1341"/>
      <c r="B103" s="1346"/>
      <c r="C103" s="1347">
        <v>100</v>
      </c>
      <c r="D103" s="1347">
        <f t="shared" ref="D103:M103" si="25">C103-$K35</f>
        <v>100</v>
      </c>
      <c r="E103" s="1347">
        <f t="shared" si="25"/>
        <v>100</v>
      </c>
      <c r="F103" s="1347">
        <f t="shared" si="25"/>
        <v>100</v>
      </c>
      <c r="G103" s="1347">
        <f t="shared" si="25"/>
        <v>100</v>
      </c>
      <c r="H103" s="1347">
        <f t="shared" si="25"/>
        <v>100</v>
      </c>
      <c r="I103" s="1347">
        <f t="shared" si="25"/>
        <v>100</v>
      </c>
      <c r="J103" s="1347">
        <f t="shared" si="25"/>
        <v>100</v>
      </c>
      <c r="K103" s="1347">
        <f t="shared" si="25"/>
        <v>100</v>
      </c>
      <c r="L103" s="1347">
        <f t="shared" si="25"/>
        <v>100</v>
      </c>
      <c r="M103" s="1397">
        <f t="shared" si="25"/>
        <v>100</v>
      </c>
      <c r="N103" s="1584"/>
      <c r="O103" s="1584"/>
      <c r="P103" s="1583"/>
      <c r="Q103" s="1577"/>
    </row>
    <row r="104" spans="1:17">
      <c r="A104" s="1375"/>
      <c r="B104" s="1344" t="s">
        <v>1972</v>
      </c>
      <c r="C104" s="1352"/>
      <c r="D104" s="1352"/>
      <c r="E104" s="1352"/>
      <c r="F104" s="1352"/>
      <c r="G104" s="1352"/>
      <c r="H104" s="1369"/>
      <c r="I104" s="1369"/>
      <c r="J104" s="1369"/>
      <c r="K104" s="1420"/>
      <c r="L104" s="1421"/>
      <c r="M104" s="1422"/>
      <c r="N104" s="1582"/>
      <c r="O104" s="1582"/>
      <c r="P104" s="1583"/>
      <c r="Q104" s="1577"/>
    </row>
    <row r="105" spans="1:17" ht="15">
      <c r="A105" s="1341"/>
      <c r="B105" s="1346"/>
      <c r="C105" s="1347">
        <v>100</v>
      </c>
      <c r="D105" s="1347">
        <f>C105-$K36</f>
        <v>100</v>
      </c>
      <c r="E105" s="1347">
        <f>D105-$K36</f>
        <v>100</v>
      </c>
      <c r="F105" s="1347">
        <f>E105-$K36</f>
        <v>100</v>
      </c>
      <c r="G105" s="1347">
        <f>F105-$K36</f>
        <v>100</v>
      </c>
      <c r="H105" s="1347"/>
      <c r="I105" s="1347"/>
      <c r="J105" s="1347"/>
      <c r="K105" s="1347"/>
      <c r="L105" s="1347"/>
      <c r="M105" s="1397"/>
      <c r="N105" s="1584"/>
      <c r="O105" s="1584"/>
      <c r="P105" s="1583"/>
      <c r="Q105" s="1577"/>
    </row>
    <row r="106" spans="1:17">
      <c r="A106" s="1375"/>
      <c r="B106" s="1539" t="s">
        <v>2017</v>
      </c>
      <c r="C106" s="1363" t="s">
        <v>1463</v>
      </c>
      <c r="D106" s="1363" t="s">
        <v>1464</v>
      </c>
      <c r="E106" s="1363" t="s">
        <v>1465</v>
      </c>
      <c r="F106" s="1363" t="s">
        <v>1466</v>
      </c>
      <c r="G106" s="1363" t="s">
        <v>1467</v>
      </c>
      <c r="H106" s="1345"/>
      <c r="I106" s="1345"/>
      <c r="J106" s="1345"/>
      <c r="K106" s="1394"/>
      <c r="L106" s="1395"/>
      <c r="M106" s="1396"/>
      <c r="N106" s="1584"/>
      <c r="O106" s="1584"/>
      <c r="P106" s="1596"/>
      <c r="Q106" s="1598"/>
    </row>
    <row r="107" spans="1:17" ht="15">
      <c r="A107" s="1341"/>
      <c r="B107" s="1346"/>
      <c r="C107" s="1365">
        <v>100</v>
      </c>
      <c r="D107" s="1347">
        <f t="shared" ref="D107:M107" si="26">C107-$K37</f>
        <v>100</v>
      </c>
      <c r="E107" s="1347">
        <f t="shared" si="26"/>
        <v>100</v>
      </c>
      <c r="F107" s="1347">
        <f t="shared" si="26"/>
        <v>100</v>
      </c>
      <c r="G107" s="1347">
        <f t="shared" si="26"/>
        <v>100</v>
      </c>
      <c r="H107" s="1347">
        <f t="shared" si="26"/>
        <v>100</v>
      </c>
      <c r="I107" s="1347">
        <f t="shared" si="26"/>
        <v>100</v>
      </c>
      <c r="J107" s="1347">
        <f t="shared" si="26"/>
        <v>100</v>
      </c>
      <c r="K107" s="1347">
        <f t="shared" si="26"/>
        <v>100</v>
      </c>
      <c r="L107" s="1347">
        <f t="shared" si="26"/>
        <v>100</v>
      </c>
      <c r="M107" s="1347">
        <f t="shared" si="26"/>
        <v>100</v>
      </c>
      <c r="N107" s="1584"/>
      <c r="O107" s="1584"/>
      <c r="P107" s="1583"/>
      <c r="Q107" s="1577"/>
    </row>
    <row r="108" spans="1:17" s="1095" customFormat="1">
      <c r="A108" s="1372"/>
      <c r="B108" s="1344">
        <f>B38</f>
        <v>111</v>
      </c>
      <c r="C108" s="1352"/>
      <c r="D108" s="1352"/>
      <c r="E108" s="1352"/>
      <c r="F108" s="1352"/>
      <c r="G108" s="1352"/>
      <c r="H108" s="1353"/>
      <c r="I108" s="1353"/>
      <c r="J108" s="1353"/>
      <c r="K108" s="1353"/>
      <c r="L108" s="1401"/>
      <c r="M108" s="1402"/>
      <c r="N108" s="1585"/>
      <c r="O108" s="1585"/>
      <c r="P108" s="1586"/>
      <c r="Q108" s="1587"/>
    </row>
    <row r="109" spans="1:17" s="1095" customFormat="1" ht="15">
      <c r="A109" s="1351"/>
      <c r="B109" s="1342"/>
      <c r="C109" s="1354"/>
      <c r="D109" s="1343"/>
      <c r="E109" s="1343"/>
      <c r="F109" s="1343"/>
      <c r="G109" s="1354"/>
      <c r="H109" s="1355"/>
      <c r="I109" s="1355"/>
      <c r="J109" s="1355"/>
      <c r="K109" s="1355"/>
      <c r="L109" s="1355"/>
      <c r="M109" s="1405"/>
      <c r="N109" s="1585"/>
      <c r="O109" s="1585"/>
      <c r="P109" s="1586"/>
      <c r="Q109" s="1587"/>
    </row>
    <row r="110" spans="1:17">
      <c r="A110" s="1375"/>
      <c r="B110" s="1344">
        <f>B39</f>
        <v>111</v>
      </c>
      <c r="C110" s="1352"/>
      <c r="D110" s="1352"/>
      <c r="E110" s="1352"/>
      <c r="F110" s="1352"/>
      <c r="G110" s="1352"/>
      <c r="H110" s="1353"/>
      <c r="I110" s="1353"/>
      <c r="J110" s="1353"/>
      <c r="K110" s="1353"/>
      <c r="L110" s="1401"/>
      <c r="M110" s="1402"/>
      <c r="N110" s="1582"/>
      <c r="O110" s="1582"/>
      <c r="P110" s="1583"/>
      <c r="Q110" s="1577"/>
    </row>
    <row r="111" spans="1:17" ht="15">
      <c r="A111" s="1341"/>
      <c r="B111" s="1346"/>
      <c r="C111" s="1354"/>
      <c r="D111" s="1343"/>
      <c r="E111" s="1343"/>
      <c r="F111" s="1343"/>
      <c r="G111" s="1354"/>
      <c r="H111" s="1355"/>
      <c r="I111" s="1355"/>
      <c r="J111" s="1355"/>
      <c r="K111" s="1355"/>
      <c r="L111" s="1355"/>
      <c r="M111" s="1405"/>
      <c r="N111" s="1584"/>
      <c r="O111" s="1584"/>
      <c r="P111" s="1583"/>
      <c r="Q111" s="1577"/>
    </row>
    <row r="112" spans="1:17">
      <c r="A112" s="1375"/>
      <c r="B112" s="1348">
        <f>B40</f>
        <v>111</v>
      </c>
      <c r="C112" s="1336"/>
      <c r="D112" s="1336"/>
      <c r="E112" s="1336"/>
      <c r="F112" s="1336"/>
      <c r="G112" s="1370"/>
      <c r="H112" s="1370"/>
      <c r="I112" s="1370"/>
      <c r="J112" s="1370"/>
      <c r="K112" s="1336"/>
      <c r="L112" s="1382"/>
      <c r="M112" s="1425"/>
      <c r="N112" s="1582"/>
      <c r="O112" s="1582"/>
      <c r="P112" s="1583"/>
      <c r="Q112" s="1577"/>
    </row>
    <row r="113" spans="1:17" ht="15">
      <c r="A113" s="1588"/>
      <c r="B113" s="1358"/>
      <c r="C113" s="1359"/>
      <c r="D113" s="1359"/>
      <c r="E113" s="1359"/>
      <c r="F113" s="1359"/>
      <c r="G113" s="1371"/>
      <c r="H113" s="1371"/>
      <c r="I113" s="1371"/>
      <c r="J113" s="1371"/>
      <c r="K113" s="1371"/>
      <c r="L113" s="1371"/>
      <c r="M113" s="1426"/>
      <c r="N113" s="1584"/>
      <c r="O113" s="1584"/>
      <c r="P113" s="1583"/>
      <c r="Q113" s="15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E46">
    <cfRule type="expression" dxfId="80" priority="16" stopIfTrue="1">
      <formula>$F$46="超过30%"</formula>
    </cfRule>
  </conditionalFormatting>
  <conditionalFormatting sqref="G46">
    <cfRule type="expression" dxfId="79" priority="12" stopIfTrue="1">
      <formula>$H$46="超过30%"</formula>
    </cfRule>
  </conditionalFormatting>
  <conditionalFormatting sqref="I46">
    <cfRule type="expression" dxfId="78" priority="7" stopIfTrue="1">
      <formula>$J$46="超过30%"</formula>
    </cfRule>
  </conditionalFormatting>
  <conditionalFormatting sqref="J46">
    <cfRule type="containsText" dxfId="77" priority="10" stopIfTrue="1" operator="containsText" text="超过">
      <formula>NOT(ISERROR(SEARCH("超过",J46)))</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J47">
    <cfRule type="containsText" dxfId="73" priority="8" stopIfTrue="1" operator="containsText" text="超过">
      <formula>NOT(ISERROR(SEARCH("超过",J47)))</formula>
    </cfRule>
  </conditionalFormatting>
  <conditionalFormatting sqref="E48">
    <cfRule type="expression" dxfId="72" priority="14" stopIfTrue="1">
      <formula>$F$48="超过30%"</formula>
    </cfRule>
  </conditionalFormatting>
  <conditionalFormatting sqref="F48">
    <cfRule type="containsText" dxfId="71" priority="18" stopIfTrue="1" operator="containsText" text="超过">
      <formula>NOT(ISERROR(SEARCH("超过",F48)))</formula>
    </cfRule>
  </conditionalFormatting>
  <conditionalFormatting sqref="G48">
    <cfRule type="expression" dxfId="70" priority="13" stopIfTrue="1">
      <formula>$H$48="超过30%"</formula>
    </cfRule>
  </conditionalFormatting>
  <conditionalFormatting sqref="H48">
    <cfRule type="containsText" dxfId="69" priority="19" stopIfTrue="1" operator="containsText" text="超过">
      <formula>NOT(ISERROR(SEARCH("超过",H48)))</formula>
    </cfRule>
  </conditionalFormatting>
  <conditionalFormatting sqref="I48">
    <cfRule type="expression" dxfId="68" priority="5" stopIfTrue="1">
      <formula>$J$48="超过30%"</formula>
    </cfRule>
  </conditionalFormatting>
  <conditionalFormatting sqref="J48">
    <cfRule type="containsText" dxfId="67" priority="9" stopIfTrue="1" operator="containsText" text="超过">
      <formula>NOT(ISERROR(SEARCH("超过",J48)))</formula>
    </cfRule>
  </conditionalFormatting>
  <conditionalFormatting sqref="F7:F40 H7:H40 J7:J40">
    <cfRule type="cellIs" dxfId="66" priority="1" operator="notEqual">
      <formula>100</formula>
    </cfRule>
  </conditionalFormatting>
  <conditionalFormatting sqref="F46 H46">
    <cfRule type="containsText" dxfId="65" priority="20" stopIfTrue="1" operator="containsText" text="超过">
      <formula>NOT(ISERROR(SEARCH("超过",F46)))</formula>
    </cfRule>
  </conditionalFormatting>
  <conditionalFormatting sqref="F47 H47">
    <cfRule type="containsText" dxfId="6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9" customWidth="1"/>
    <col min="2" max="2" width="15.75" style="1099" customWidth="1"/>
    <col min="3" max="3" width="14.37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4.5" style="1099" customWidth="1"/>
    <col min="10" max="10" width="12.25" style="1099" customWidth="1"/>
    <col min="11" max="11" width="12.25" style="1100" customWidth="1"/>
    <col min="12" max="12" width="12.25" style="1101" customWidth="1"/>
    <col min="13" max="15" width="12.25" style="1099" customWidth="1"/>
    <col min="16" max="16" width="4.75" style="10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471" customFormat="1" ht="28.5" customHeight="1">
      <c r="A1" s="1472" t="s">
        <v>1387</v>
      </c>
      <c r="B1" s="1473" t="s">
        <v>2018</v>
      </c>
      <c r="C1" s="1474" t="s">
        <v>1388</v>
      </c>
      <c r="D1" s="1475"/>
      <c r="E1" s="1476"/>
      <c r="F1" s="1477"/>
      <c r="G1" s="1478" t="s">
        <v>1391</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92" customFormat="1" ht="28.5" customHeight="1">
      <c r="A2" s="1480" t="s">
        <v>1392</v>
      </c>
      <c r="B2" s="1481" t="b">
        <f>IF(E1="项目模式",IF(C2="——",ROUND(C37*D3/10000,0),ROUND(C37*D3/10000,0)-D2),IF(E1="单套模式",IF(C2="——",ROUND(C37*D3/10000,4),ROUND(C37*D3/10000,4)-D2)))</f>
        <v>0</v>
      </c>
      <c r="C2" s="1482"/>
      <c r="D2" s="1438" t="e">
        <f ca="1">IF(E1="项目模式",SUMIF(INDIRECT("'"&amp;F2&amp;"'"&amp;"!A:A"),"承租人权益价值",INDIRECT("'"&amp;F2&amp;"'"&amp;"!c:c")),SUMIF(INDIRECT("'"&amp;F2&amp;"'"&amp;"!A:A"),"承租人权益价值（单套）",INDIRECT("'"&amp;F2&amp;"'"&amp;"!c:c")))</f>
        <v>#REF!</v>
      </c>
      <c r="E2" s="1483" t="s">
        <v>1393</v>
      </c>
      <c r="F2" s="1484"/>
      <c r="G2" s="1108"/>
      <c r="H2" s="1108"/>
      <c r="I2" s="1108"/>
      <c r="J2" s="1108"/>
      <c r="K2" s="1256"/>
      <c r="L2" s="1257"/>
      <c r="M2" s="1258"/>
      <c r="N2" s="1258"/>
      <c r="O2" s="1258"/>
      <c r="P2" s="1255"/>
      <c r="Q2" s="1255"/>
      <c r="R2" s="1255"/>
      <c r="S2" s="1255"/>
      <c r="T2" s="1255"/>
      <c r="U2" s="1255"/>
      <c r="V2" s="1255"/>
      <c r="W2" s="1255"/>
      <c r="X2" s="1255"/>
      <c r="Y2" s="1255"/>
      <c r="Z2" s="1255"/>
      <c r="AA2" s="1255"/>
      <c r="AB2" s="1255"/>
      <c r="AC2" s="1315"/>
    </row>
    <row r="3" spans="1:29" s="1092" customFormat="1" ht="28.5" customHeight="1">
      <c r="A3" s="389" t="s">
        <v>1394</v>
      </c>
      <c r="B3" s="1110" t="e">
        <f>IF(C2="——",C37,ROUND(B2*10000/D3,0))</f>
        <v>#DIV/0!</v>
      </c>
      <c r="C3" s="1485" t="s">
        <v>1395</v>
      </c>
      <c r="D3" s="1486">
        <f>SUMIF('数据-汇总表'!$C19:$C33,D1,'数据-汇总表'!$E19:$E33)</f>
        <v>0</v>
      </c>
      <c r="E3" s="1108"/>
      <c r="F3" s="1109"/>
      <c r="G3" s="1108"/>
      <c r="H3" s="1108"/>
      <c r="I3" s="1108"/>
      <c r="J3" s="1108"/>
      <c r="K3" s="1256"/>
      <c r="L3" s="1257"/>
      <c r="M3" s="1258"/>
      <c r="N3" s="1258"/>
      <c r="O3" s="1258"/>
      <c r="P3" s="1255"/>
      <c r="Q3" s="1255"/>
      <c r="R3" s="1255"/>
      <c r="S3" s="1255"/>
      <c r="T3" s="1255"/>
      <c r="U3" s="1255"/>
      <c r="V3" s="1255"/>
      <c r="W3" s="1255"/>
      <c r="X3" s="1255"/>
      <c r="Y3" s="1255"/>
      <c r="Z3" s="1255"/>
      <c r="AA3" s="1255"/>
      <c r="AB3" s="1316"/>
      <c r="AC3" s="1317"/>
    </row>
    <row r="4" spans="1:29" ht="15">
      <c r="A4" s="1112" t="s">
        <v>1397</v>
      </c>
      <c r="B4" s="1113"/>
      <c r="C4" s="3679" t="s">
        <v>1398</v>
      </c>
      <c r="D4" s="3680"/>
      <c r="E4" s="3681" t="s">
        <v>1399</v>
      </c>
      <c r="F4" s="3682"/>
      <c r="G4" s="3679" t="s">
        <v>1400</v>
      </c>
      <c r="H4" s="3680"/>
      <c r="I4" s="3679" t="s">
        <v>1401</v>
      </c>
      <c r="J4" s="3680"/>
      <c r="K4" s="1259" t="s">
        <v>1402</v>
      </c>
      <c r="L4" s="1260"/>
      <c r="M4" s="1261"/>
      <c r="N4" s="1261"/>
      <c r="O4" s="1261"/>
      <c r="P4" s="3707" t="s">
        <v>1403</v>
      </c>
      <c r="Q4" s="3708"/>
      <c r="R4" s="3713" t="s">
        <v>1399</v>
      </c>
      <c r="S4" s="3714"/>
      <c r="T4" s="3713" t="s">
        <v>1400</v>
      </c>
      <c r="U4" s="3714"/>
      <c r="V4" s="3719" t="s">
        <v>1401</v>
      </c>
      <c r="W4" s="3719"/>
      <c r="X4" s="1303"/>
      <c r="Y4" s="3713" t="s">
        <v>1403</v>
      </c>
      <c r="Z4" s="3714"/>
      <c r="AA4" s="3704" t="s">
        <v>1399</v>
      </c>
      <c r="AB4" s="3705" t="s">
        <v>1400</v>
      </c>
      <c r="AC4" s="3704" t="s">
        <v>1401</v>
      </c>
    </row>
    <row r="5" spans="1:29" ht="15">
      <c r="A5" s="1114"/>
      <c r="B5" s="1115"/>
      <c r="C5" s="3683" t="s">
        <v>1404</v>
      </c>
      <c r="D5" s="3684"/>
      <c r="E5" s="3749" t="s">
        <v>1957</v>
      </c>
      <c r="F5" s="3686"/>
      <c r="G5" s="3683" t="s">
        <v>1958</v>
      </c>
      <c r="H5" s="3684"/>
      <c r="I5" s="3683" t="s">
        <v>1959</v>
      </c>
      <c r="J5" s="3684"/>
      <c r="K5" s="1259"/>
      <c r="L5" s="1260"/>
      <c r="M5" s="1261"/>
      <c r="N5" s="1261"/>
      <c r="O5" s="1261"/>
      <c r="P5" s="3709"/>
      <c r="Q5" s="3710"/>
      <c r="R5" s="3715"/>
      <c r="S5" s="3716"/>
      <c r="T5" s="3715"/>
      <c r="U5" s="3716"/>
      <c r="V5" s="3719"/>
      <c r="W5" s="3719"/>
      <c r="X5" s="1303"/>
      <c r="Y5" s="3715"/>
      <c r="Z5" s="3716"/>
      <c r="AA5" s="3705"/>
      <c r="AB5" s="3705"/>
      <c r="AC5" s="3705"/>
    </row>
    <row r="6" spans="1:29" ht="15">
      <c r="A6" s="1116"/>
      <c r="B6" s="1117"/>
      <c r="C6" s="3688" t="s">
        <v>1408</v>
      </c>
      <c r="D6" s="3689"/>
      <c r="E6" s="3690" t="s">
        <v>1408</v>
      </c>
      <c r="F6" s="3691"/>
      <c r="G6" s="3688" t="s">
        <v>1408</v>
      </c>
      <c r="H6" s="3689"/>
      <c r="I6" s="3688" t="s">
        <v>1408</v>
      </c>
      <c r="J6" s="3689"/>
      <c r="K6" s="1259" t="s">
        <v>1409</v>
      </c>
      <c r="L6" s="1260"/>
      <c r="M6" s="1261"/>
      <c r="N6" s="1261"/>
      <c r="O6" s="1261"/>
      <c r="P6" s="3711"/>
      <c r="Q6" s="3712"/>
      <c r="R6" s="3715"/>
      <c r="S6" s="3716"/>
      <c r="T6" s="3717"/>
      <c r="U6" s="3718"/>
      <c r="V6" s="3719"/>
      <c r="W6" s="3719"/>
      <c r="X6" s="1303"/>
      <c r="Y6" s="3717"/>
      <c r="Z6" s="3718"/>
      <c r="AA6" s="3706"/>
      <c r="AB6" s="3706"/>
      <c r="AC6" s="3706"/>
    </row>
    <row r="7" spans="1:29" s="1093" customFormat="1" ht="15">
      <c r="A7" s="1118" t="s">
        <v>1410</v>
      </c>
      <c r="B7" s="1119"/>
      <c r="C7" s="1120">
        <f>'数据-取费表'!B2</f>
        <v>45911</v>
      </c>
      <c r="D7" s="1121">
        <v>100</v>
      </c>
      <c r="E7" s="1122"/>
      <c r="F7" s="1123">
        <f>SUMIF(46:46,YEAR(E7)&amp;"-"&amp;MONTH(E7),47:47)</f>
        <v>0</v>
      </c>
      <c r="G7" s="1124"/>
      <c r="H7" s="1121">
        <f>SUMIF(46:46,YEAR(G7)&amp;"-"&amp;MONTH(G7),47:47)</f>
        <v>0</v>
      </c>
      <c r="I7" s="1122"/>
      <c r="J7" s="1121">
        <f>SUMIF(46:46,YEAR(I7)&amp;"-"&amp;MONTH(I7),47:47)</f>
        <v>0</v>
      </c>
      <c r="K7" s="1262"/>
      <c r="L7" s="1263"/>
      <c r="M7" s="1264"/>
      <c r="N7" s="1264"/>
      <c r="O7" s="1264"/>
      <c r="P7" s="3692" t="s">
        <v>1411</v>
      </c>
      <c r="Q7" s="3693"/>
      <c r="R7" s="1304" t="s">
        <v>1412</v>
      </c>
      <c r="S7" s="1305">
        <f t="shared" ref="S7:S14" si="0">F7</f>
        <v>0</v>
      </c>
      <c r="T7" s="1304" t="s">
        <v>1412</v>
      </c>
      <c r="U7" s="1305">
        <f t="shared" ref="U7:U14" si="1">H7</f>
        <v>0</v>
      </c>
      <c r="V7" s="1304" t="s">
        <v>1412</v>
      </c>
      <c r="W7" s="1305">
        <f t="shared" ref="W7:W14" si="2">J7</f>
        <v>0</v>
      </c>
      <c r="X7" s="1306"/>
      <c r="Y7" s="3692" t="s">
        <v>1411</v>
      </c>
      <c r="Z7" s="3694"/>
      <c r="AA7" s="1318" t="e">
        <f>D7/F7</f>
        <v>#DIV/0!</v>
      </c>
      <c r="AB7" s="1318" t="e">
        <f>D7/H7</f>
        <v>#DIV/0!</v>
      </c>
      <c r="AC7" s="1318" t="e">
        <f>D7/J7</f>
        <v>#DIV/0!</v>
      </c>
    </row>
    <row r="8" spans="1:29" s="1093" customFormat="1" ht="15">
      <c r="A8" s="1118" t="s">
        <v>1413</v>
      </c>
      <c r="B8" s="1119"/>
      <c r="C8" s="1125"/>
      <c r="D8" s="1121">
        <v>100</v>
      </c>
      <c r="E8" s="1125"/>
      <c r="F8" s="1123">
        <f>SUMIF(49:49,E8,50:50)-SUMIF(49:49,C8,50:50)+100</f>
        <v>100</v>
      </c>
      <c r="G8" s="1125"/>
      <c r="H8" s="1121">
        <f>SUMIF(49:49,G8,50:50)-SUMIF(49:49,C8,50:50)+100</f>
        <v>100</v>
      </c>
      <c r="I8" s="1125"/>
      <c r="J8" s="1121">
        <f>SUMIF(49:49,I8,50:50)-SUMIF(49:49,C8,50:50)+100</f>
        <v>100</v>
      </c>
      <c r="K8" s="1262"/>
      <c r="L8" s="1263"/>
      <c r="M8" s="1264"/>
      <c r="N8" s="1264"/>
      <c r="O8" s="1264"/>
      <c r="P8" s="3692" t="s">
        <v>1415</v>
      </c>
      <c r="Q8" s="3694"/>
      <c r="R8" s="1304" t="s">
        <v>1412</v>
      </c>
      <c r="S8" s="1305">
        <f t="shared" si="0"/>
        <v>100</v>
      </c>
      <c r="T8" s="1304" t="s">
        <v>1412</v>
      </c>
      <c r="U8" s="1305">
        <f t="shared" si="1"/>
        <v>100</v>
      </c>
      <c r="V8" s="1304" t="s">
        <v>1412</v>
      </c>
      <c r="W8" s="1305">
        <f t="shared" si="2"/>
        <v>100</v>
      </c>
      <c r="X8" s="1306"/>
      <c r="Y8" s="3692" t="s">
        <v>1415</v>
      </c>
      <c r="Z8" s="3694"/>
      <c r="AA8" s="1318">
        <f t="shared" ref="AA8:AA34" si="3">D8/F8</f>
        <v>1</v>
      </c>
      <c r="AB8" s="1318">
        <f t="shared" ref="AB8:AB34" si="4">D8/H8</f>
        <v>1</v>
      </c>
      <c r="AC8" s="1318">
        <f t="shared" ref="AC8:AC34" si="5">D8/J8</f>
        <v>1</v>
      </c>
    </row>
    <row r="9" spans="1:29" s="1093" customFormat="1">
      <c r="A9" s="1126" t="s">
        <v>1416</v>
      </c>
      <c r="B9" s="1127" t="s">
        <v>1417</v>
      </c>
      <c r="C9" s="1487"/>
      <c r="D9" s="1129">
        <v>100</v>
      </c>
      <c r="E9" s="1488"/>
      <c r="F9" s="1489">
        <f>SUMIF(51:51,E9,52:52)-SUMIF(51:51,C9,52:52)+100</f>
        <v>100</v>
      </c>
      <c r="G9" s="1488"/>
      <c r="H9" s="1129">
        <f>SUMIF(51:51,G9,52:52)-SUMIF(51:51,C9,52:52)+100</f>
        <v>100</v>
      </c>
      <c r="I9" s="1488"/>
      <c r="J9" s="1129">
        <f>SUMIF(51:51,I9,52:52)-SUMIF(51:51,C9,52:52)+100</f>
        <v>100</v>
      </c>
      <c r="K9" s="1262"/>
      <c r="L9" s="1263"/>
      <c r="M9" s="1264"/>
      <c r="N9" s="1264"/>
      <c r="O9" s="1265"/>
      <c r="P9" s="3695" t="s">
        <v>1418</v>
      </c>
      <c r="Q9" s="1308" t="str">
        <f t="shared" ref="Q9:Q14" si="6">B9</f>
        <v>用途</v>
      </c>
      <c r="R9" s="1304" t="s">
        <v>1412</v>
      </c>
      <c r="S9" s="1305">
        <f t="shared" si="0"/>
        <v>100</v>
      </c>
      <c r="T9" s="1304" t="s">
        <v>1412</v>
      </c>
      <c r="U9" s="1305">
        <f t="shared" si="1"/>
        <v>100</v>
      </c>
      <c r="V9" s="1304" t="s">
        <v>1412</v>
      </c>
      <c r="W9" s="1305">
        <f t="shared" si="2"/>
        <v>100</v>
      </c>
      <c r="X9" s="1306"/>
      <c r="Y9" s="3660" t="s">
        <v>1419</v>
      </c>
      <c r="Z9" s="1319" t="str">
        <f t="shared" ref="Z9:Z14" si="7">Q9</f>
        <v>用途</v>
      </c>
      <c r="AA9" s="1318">
        <f t="shared" si="3"/>
        <v>1</v>
      </c>
      <c r="AB9" s="1318">
        <f t="shared" si="4"/>
        <v>1</v>
      </c>
      <c r="AC9" s="1318">
        <f t="shared" si="5"/>
        <v>1</v>
      </c>
    </row>
    <row r="10" spans="1:29" s="1094" customFormat="1" ht="27">
      <c r="A10" s="1130"/>
      <c r="B10" s="1131" t="s">
        <v>1420</v>
      </c>
      <c r="C10" s="1490"/>
      <c r="D10" s="1133">
        <v>100</v>
      </c>
      <c r="E10" s="1490"/>
      <c r="F10" s="1491">
        <f>SUMIF(53:53,E10,54:54)-SUMIF(53:53,C10,54:54)+100</f>
        <v>100</v>
      </c>
      <c r="G10" s="1490"/>
      <c r="H10" s="1133">
        <f>SUMIF(53:53,G10,54:54)-SUMIF(53:53,C10,54:54)+100</f>
        <v>100</v>
      </c>
      <c r="I10" s="1490"/>
      <c r="J10" s="1133">
        <f>SUMIF(53:53,I10,54:54)-SUMIF(53:53,C10,54:54)+100</f>
        <v>100</v>
      </c>
      <c r="K10" s="1262"/>
      <c r="L10" s="1267"/>
      <c r="M10" s="1268"/>
      <c r="N10" s="1268"/>
      <c r="O10" s="1269"/>
      <c r="P10" s="3695"/>
      <c r="Q10" s="1308" t="str">
        <f t="shared" si="6"/>
        <v>土地使用年限（年）</v>
      </c>
      <c r="R10" s="1304" t="s">
        <v>1412</v>
      </c>
      <c r="S10" s="1305">
        <f t="shared" si="0"/>
        <v>100</v>
      </c>
      <c r="T10" s="1304" t="s">
        <v>1412</v>
      </c>
      <c r="U10" s="1305">
        <f t="shared" si="1"/>
        <v>100</v>
      </c>
      <c r="V10" s="1304" t="s">
        <v>1412</v>
      </c>
      <c r="W10" s="1305">
        <f t="shared" si="2"/>
        <v>100</v>
      </c>
      <c r="X10" s="1306"/>
      <c r="Y10" s="3660"/>
      <c r="Z10" s="1319" t="str">
        <f t="shared" si="7"/>
        <v>土地使用年限（年）</v>
      </c>
      <c r="AA10" s="1318">
        <f t="shared" si="3"/>
        <v>1</v>
      </c>
      <c r="AB10" s="1318">
        <f t="shared" si="4"/>
        <v>1</v>
      </c>
      <c r="AC10" s="1318">
        <f t="shared" si="5"/>
        <v>1</v>
      </c>
    </row>
    <row r="11" spans="1:29" ht="15">
      <c r="A11" s="1134"/>
      <c r="B11" s="1138">
        <v>111</v>
      </c>
      <c r="C11" s="1132"/>
      <c r="D11" s="1133">
        <v>100</v>
      </c>
      <c r="E11" s="1492"/>
      <c r="F11" s="1491">
        <f>SUMIF(55:55,E11,56:56)-SUMIF(55:55,C11,56:56)+100</f>
        <v>100</v>
      </c>
      <c r="G11" s="1492"/>
      <c r="H11" s="1133">
        <f>SUMIF(55:55,G11,56:56)-SUMIF(55:55,C11,56:56)+100</f>
        <v>100</v>
      </c>
      <c r="I11" s="1492"/>
      <c r="J11" s="1133">
        <f>SUMIF(55:55,I11,56:56)-SUMIF(55:55,C11,56:56)+100</f>
        <v>100</v>
      </c>
      <c r="K11" s="1278"/>
      <c r="L11" s="1271"/>
      <c r="M11" s="1261"/>
      <c r="N11" s="1261"/>
      <c r="O11" s="1272"/>
      <c r="P11" s="3695"/>
      <c r="Q11" s="1308">
        <f t="shared" si="6"/>
        <v>111</v>
      </c>
      <c r="R11" s="1304" t="s">
        <v>1412</v>
      </c>
      <c r="S11" s="1305">
        <f t="shared" si="0"/>
        <v>100</v>
      </c>
      <c r="T11" s="1304" t="s">
        <v>1412</v>
      </c>
      <c r="U11" s="1305">
        <f t="shared" si="1"/>
        <v>100</v>
      </c>
      <c r="V11" s="1304" t="s">
        <v>1412</v>
      </c>
      <c r="W11" s="1305">
        <f t="shared" si="2"/>
        <v>100</v>
      </c>
      <c r="X11" s="1306"/>
      <c r="Y11" s="3660"/>
      <c r="Z11" s="1319">
        <f t="shared" si="7"/>
        <v>111</v>
      </c>
      <c r="AA11" s="1318">
        <f t="shared" si="3"/>
        <v>1</v>
      </c>
      <c r="AB11" s="1318">
        <f t="shared" si="4"/>
        <v>1</v>
      </c>
      <c r="AC11" s="1318">
        <f t="shared" si="5"/>
        <v>1</v>
      </c>
    </row>
    <row r="12" spans="1:29" s="1093" customFormat="1" ht="15">
      <c r="A12" s="1137"/>
      <c r="B12" s="1138">
        <v>111</v>
      </c>
      <c r="C12" s="1132"/>
      <c r="D12" s="1139">
        <v>100</v>
      </c>
      <c r="E12" s="1492"/>
      <c r="F12" s="1491">
        <f>SUMIF(57:57,E12,58:58)-SUMIF(57:57,C12,58:58)+100</f>
        <v>100</v>
      </c>
      <c r="G12" s="1492"/>
      <c r="H12" s="1133">
        <f>SUMIF(57:57,G12,58:58)-SUMIF(57:57,C12,58:58)+100</f>
        <v>100</v>
      </c>
      <c r="I12" s="1492"/>
      <c r="J12" s="1133">
        <f>SUMIF(57:57,I12,58:58)-SUMIF(57:57,C12,58:58)+100</f>
        <v>100</v>
      </c>
      <c r="K12" s="1278"/>
      <c r="L12" s="1263"/>
      <c r="M12" s="1264"/>
      <c r="N12" s="1264"/>
      <c r="O12" s="1265"/>
      <c r="P12" s="3695"/>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318">
        <f t="shared" si="5"/>
        <v>1</v>
      </c>
    </row>
    <row r="13" spans="1:29" ht="15">
      <c r="A13" s="1134"/>
      <c r="B13" s="1138">
        <v>111</v>
      </c>
      <c r="C13" s="1142"/>
      <c r="D13" s="1143">
        <v>100</v>
      </c>
      <c r="E13" s="1492"/>
      <c r="F13" s="1491">
        <f>SUMIF(59:59,E13,60:60)-SUMIF(59:59,C13,60:60)+100</f>
        <v>100</v>
      </c>
      <c r="G13" s="1493"/>
      <c r="H13" s="1147">
        <f>SUMIF(59:59,G13,60:60)-SUMIF(59:59,C13,60:60)+100</f>
        <v>100</v>
      </c>
      <c r="I13" s="1492"/>
      <c r="J13" s="1143">
        <f>SUMIF(59:59,I13,60:60)-SUMIF(59:59,C13,60:60)+100</f>
        <v>100</v>
      </c>
      <c r="K13" s="1278"/>
      <c r="L13" s="1273"/>
      <c r="M13" s="1261"/>
      <c r="N13" s="1261"/>
      <c r="O13" s="1272"/>
      <c r="P13" s="3695"/>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29" ht="85.5">
      <c r="A14" s="1148" t="s">
        <v>1423</v>
      </c>
      <c r="B14" s="1441" t="s">
        <v>1424</v>
      </c>
      <c r="C14" s="1150" t="str">
        <f>IF(B1="工业",估价对象房地状况!G4,估价对象房地状况!C6)</f>
        <v>估价对象周边道路状况、公共交通通达情况、停车便捷程度，综合评价交通便捷度较好</v>
      </c>
      <c r="D14" s="1151">
        <v>100</v>
      </c>
      <c r="E14" s="1152"/>
      <c r="F14" s="1494">
        <f>SUMIF(61:61,E15,62:62)-SUMIF(61:61,C15,62:62)+100</f>
        <v>100</v>
      </c>
      <c r="G14" s="1274"/>
      <c r="H14" s="1151">
        <f>SUMIF(61:61,G15,62:62)-SUMIF(61:61,C15,62:62)+100</f>
        <v>100</v>
      </c>
      <c r="I14" s="1152"/>
      <c r="J14" s="1151">
        <f>SUMIF(61:61,I15,62:62)-SUMIF(61:61,C15,62:62)+100</f>
        <v>100</v>
      </c>
      <c r="K14" s="1533"/>
      <c r="L14" s="1273"/>
      <c r="M14" s="1261"/>
      <c r="N14" s="1261"/>
      <c r="O14" s="1272"/>
      <c r="P14" s="3700" t="s">
        <v>1425</v>
      </c>
      <c r="Q14" s="816" t="str">
        <f t="shared" si="6"/>
        <v>交通便捷度</v>
      </c>
      <c r="R14" s="1309" t="s">
        <v>1412</v>
      </c>
      <c r="S14" s="1310">
        <f t="shared" si="0"/>
        <v>100</v>
      </c>
      <c r="T14" s="1309" t="s">
        <v>1412</v>
      </c>
      <c r="U14" s="1310">
        <f t="shared" si="1"/>
        <v>100</v>
      </c>
      <c r="V14" s="1309" t="s">
        <v>1412</v>
      </c>
      <c r="W14" s="1310">
        <f t="shared" si="2"/>
        <v>100</v>
      </c>
      <c r="X14" s="1303"/>
      <c r="Y14" s="3700" t="s">
        <v>1425</v>
      </c>
      <c r="Z14" s="1293" t="str">
        <f t="shared" si="7"/>
        <v>交通便捷度</v>
      </c>
      <c r="AA14" s="1320">
        <f t="shared" si="3"/>
        <v>1</v>
      </c>
      <c r="AB14" s="1320">
        <f t="shared" si="4"/>
        <v>1</v>
      </c>
      <c r="AC14" s="1320">
        <f t="shared" si="5"/>
        <v>1</v>
      </c>
    </row>
    <row r="15" spans="1:29" ht="15">
      <c r="A15" s="1134"/>
      <c r="B15" s="1443"/>
      <c r="C15" s="1154"/>
      <c r="D15" s="1155"/>
      <c r="E15" s="1154"/>
      <c r="F15" s="1495"/>
      <c r="G15" s="1154"/>
      <c r="H15" s="1157"/>
      <c r="I15" s="1154"/>
      <c r="J15" s="1155"/>
      <c r="K15" s="1534"/>
      <c r="L15" s="1273"/>
      <c r="M15" s="1261"/>
      <c r="N15" s="1261"/>
      <c r="O15" s="1272"/>
      <c r="P15" s="3701"/>
      <c r="Q15" s="816"/>
      <c r="R15" s="1309"/>
      <c r="S15" s="1310"/>
      <c r="T15" s="1309"/>
      <c r="U15" s="1310"/>
      <c r="V15" s="1309"/>
      <c r="W15" s="1310"/>
      <c r="X15" s="1303"/>
      <c r="Y15" s="3701"/>
      <c r="Z15" s="1293"/>
      <c r="AA15" s="1320">
        <v>1</v>
      </c>
      <c r="AB15" s="1320">
        <v>1</v>
      </c>
      <c r="AC15" s="1320">
        <v>1</v>
      </c>
    </row>
    <row r="16" spans="1:29" ht="42.75">
      <c r="A16" s="1134"/>
      <c r="B16" s="1444" t="s">
        <v>1427</v>
      </c>
      <c r="C16" s="1159" t="str">
        <f>IF(B1="工业",估价对象房地状况!G5,估价对象房地状况!C7)</f>
        <v>估价对象所在区域公共配套设施齐备情况</v>
      </c>
      <c r="D16" s="1161">
        <v>100</v>
      </c>
      <c r="E16" s="1447"/>
      <c r="F16" s="1496">
        <f>SUMIF(63:63,E17,64:64)-SUMIF(63:63,C17,64:64)+100</f>
        <v>100</v>
      </c>
      <c r="G16" s="1455"/>
      <c r="H16" s="1161">
        <f>SUMIF(63:63,G17,64:64)-SUMIF(63:63,C17,64:64)+100</f>
        <v>100</v>
      </c>
      <c r="I16" s="1447"/>
      <c r="J16" s="1161">
        <f>SUMIF(63:63,I17,64:64)-SUMIF(63:63,C17,64:64)+100</f>
        <v>100</v>
      </c>
      <c r="K16" s="1533"/>
      <c r="L16" s="1273"/>
      <c r="M16" s="1261"/>
      <c r="N16" s="1261"/>
      <c r="O16" s="1272"/>
      <c r="P16" s="3701"/>
      <c r="Q16" s="816" t="str">
        <f>B16</f>
        <v>公共配套设施</v>
      </c>
      <c r="R16" s="1309" t="s">
        <v>1412</v>
      </c>
      <c r="S16" s="1310">
        <f>F16</f>
        <v>100</v>
      </c>
      <c r="T16" s="1309" t="s">
        <v>1412</v>
      </c>
      <c r="U16" s="1310">
        <f>H16</f>
        <v>100</v>
      </c>
      <c r="V16" s="1309" t="s">
        <v>1412</v>
      </c>
      <c r="W16" s="1310">
        <f>J16</f>
        <v>100</v>
      </c>
      <c r="X16" s="1303"/>
      <c r="Y16" s="3701"/>
      <c r="Z16" s="1293" t="str">
        <f>Q16</f>
        <v>公共配套设施</v>
      </c>
      <c r="AA16" s="1320">
        <f t="shared" si="3"/>
        <v>1</v>
      </c>
      <c r="AB16" s="1320">
        <f t="shared" si="4"/>
        <v>1</v>
      </c>
      <c r="AC16" s="1320">
        <f t="shared" si="5"/>
        <v>1</v>
      </c>
    </row>
    <row r="17" spans="1:29" ht="15">
      <c r="A17" s="1134"/>
      <c r="B17" s="1182"/>
      <c r="C17" s="1445"/>
      <c r="D17" s="1155"/>
      <c r="E17" s="1154"/>
      <c r="F17" s="1495"/>
      <c r="G17" s="1154"/>
      <c r="H17" s="1155"/>
      <c r="I17" s="1154"/>
      <c r="J17" s="1155"/>
      <c r="K17" s="1534"/>
      <c r="L17" s="1273"/>
      <c r="M17" s="1261"/>
      <c r="N17" s="1261"/>
      <c r="O17" s="1272"/>
      <c r="P17" s="3701"/>
      <c r="Q17" s="816"/>
      <c r="R17" s="1309"/>
      <c r="S17" s="1310"/>
      <c r="T17" s="1309"/>
      <c r="U17" s="1310"/>
      <c r="V17" s="1309"/>
      <c r="W17" s="1310"/>
      <c r="X17" s="1303"/>
      <c r="Y17" s="3701"/>
      <c r="Z17" s="1293"/>
      <c r="AA17" s="1320">
        <v>1</v>
      </c>
      <c r="AB17" s="1320">
        <v>1</v>
      </c>
      <c r="AC17" s="1320">
        <v>1</v>
      </c>
    </row>
    <row r="18" spans="1:29" ht="28.5">
      <c r="A18" s="1134"/>
      <c r="B18" s="1448" t="s">
        <v>1429</v>
      </c>
      <c r="C18" s="1159" t="str">
        <f>IF(B1="工业",估价对象房地状况!G6,估价对象房地状况!C8)</f>
        <v>估价对象所在区域基础设施水平</v>
      </c>
      <c r="D18" s="1161">
        <v>100</v>
      </c>
      <c r="E18" s="1160"/>
      <c r="F18" s="1496">
        <f>SUMIF(65:65,E19,66:66)-SUMIF(65:65,C19,66:66)+100</f>
        <v>100</v>
      </c>
      <c r="G18" s="1275"/>
      <c r="H18" s="1161">
        <f>SUMIF(65:65,G19,66:66)-SUMIF(65:65,C19,66:66)+100</f>
        <v>100</v>
      </c>
      <c r="I18" s="1447"/>
      <c r="J18" s="1161">
        <f>SUMIF(65:65,I19,66:66)-SUMIF(65:65,C19,66:66)+100</f>
        <v>100</v>
      </c>
      <c r="K18" s="1533"/>
      <c r="L18" s="1273"/>
      <c r="M18" s="1261"/>
      <c r="N18" s="1261"/>
      <c r="O18" s="1272"/>
      <c r="P18" s="3701"/>
      <c r="Q18" s="816" t="str">
        <f>B18</f>
        <v>基础设施水平</v>
      </c>
      <c r="R18" s="1309" t="s">
        <v>1412</v>
      </c>
      <c r="S18" s="1310">
        <f>F18</f>
        <v>100</v>
      </c>
      <c r="T18" s="1309" t="s">
        <v>1412</v>
      </c>
      <c r="U18" s="1310">
        <f>H18</f>
        <v>100</v>
      </c>
      <c r="V18" s="1309" t="s">
        <v>1412</v>
      </c>
      <c r="W18" s="1310">
        <f>J18</f>
        <v>100</v>
      </c>
      <c r="X18" s="1303"/>
      <c r="Y18" s="3701"/>
      <c r="Z18" s="1293" t="str">
        <f>Q18</f>
        <v>基础设施水平</v>
      </c>
      <c r="AA18" s="1320">
        <f t="shared" ref="AA18" si="8">D18/F18</f>
        <v>1</v>
      </c>
      <c r="AB18" s="1320">
        <f t="shared" ref="AB18" si="9">D18/H18</f>
        <v>1</v>
      </c>
      <c r="AC18" s="1320">
        <f t="shared" ref="AC18" si="10">D18/J18</f>
        <v>1</v>
      </c>
    </row>
    <row r="19" spans="1:29" ht="15">
      <c r="A19" s="1134"/>
      <c r="B19" s="1448"/>
      <c r="C19" s="1445"/>
      <c r="D19" s="1157"/>
      <c r="E19" s="1445"/>
      <c r="F19" s="1497"/>
      <c r="G19" s="1445"/>
      <c r="H19" s="1155"/>
      <c r="I19" s="1154"/>
      <c r="J19" s="1155"/>
      <c r="K19" s="1535"/>
      <c r="L19" s="1273"/>
      <c r="M19" s="1261"/>
      <c r="N19" s="1261"/>
      <c r="O19" s="1272"/>
      <c r="P19" s="3701"/>
      <c r="Q19" s="816"/>
      <c r="R19" s="1309"/>
      <c r="S19" s="1310"/>
      <c r="T19" s="1309"/>
      <c r="U19" s="1310"/>
      <c r="V19" s="1309"/>
      <c r="W19" s="1310"/>
      <c r="X19" s="1303"/>
      <c r="Y19" s="3701"/>
      <c r="Z19" s="1293"/>
      <c r="AA19" s="1320">
        <v>1</v>
      </c>
      <c r="AB19" s="1320">
        <v>1</v>
      </c>
      <c r="AC19" s="1320">
        <v>1</v>
      </c>
    </row>
    <row r="20" spans="1:29" ht="57">
      <c r="A20" s="1134"/>
      <c r="B20" s="1444" t="s">
        <v>1430</v>
      </c>
      <c r="C20" s="1159" t="str">
        <f>IF(B1="工业",估价对象房地状况!G7,估价对象房地状况!C9)</f>
        <v>区域自然环境：；人文环境；综合评价环境状况一般</v>
      </c>
      <c r="D20" s="1161">
        <v>100</v>
      </c>
      <c r="E20" s="1447"/>
      <c r="F20" s="1496">
        <f>SUMIF(67:67,E21,68:68)-SUMIF(67:67,C21,68:68)+100</f>
        <v>100</v>
      </c>
      <c r="G20" s="1455"/>
      <c r="H20" s="1157">
        <f>SUMIF(67:67,G21,68:68)-SUMIF(67:67,C21,68:68)+100</f>
        <v>100</v>
      </c>
      <c r="I20" s="1160"/>
      <c r="J20" s="1157">
        <f>SUMIF(67:67,I21,68:68)-SUMIF(67:67,C21,68:68)+100</f>
        <v>100</v>
      </c>
      <c r="K20" s="1533"/>
      <c r="L20" s="1273"/>
      <c r="M20" s="1261"/>
      <c r="N20" s="1261"/>
      <c r="O20" s="1272"/>
      <c r="P20" s="3701"/>
      <c r="Q20" s="816" t="str">
        <f>B20</f>
        <v>自然及人文环境</v>
      </c>
      <c r="R20" s="1309" t="s">
        <v>1412</v>
      </c>
      <c r="S20" s="1310">
        <f>F20</f>
        <v>100</v>
      </c>
      <c r="T20" s="1309" t="s">
        <v>1412</v>
      </c>
      <c r="U20" s="1310">
        <f>H20</f>
        <v>100</v>
      </c>
      <c r="V20" s="1309" t="s">
        <v>1412</v>
      </c>
      <c r="W20" s="1310">
        <f>J20</f>
        <v>100</v>
      </c>
      <c r="X20" s="1303"/>
      <c r="Y20" s="3701"/>
      <c r="Z20" s="1293" t="str">
        <f>Q20</f>
        <v>自然及人文环境</v>
      </c>
      <c r="AA20" s="1320">
        <f t="shared" si="3"/>
        <v>1</v>
      </c>
      <c r="AB20" s="1320">
        <f t="shared" si="4"/>
        <v>1</v>
      </c>
      <c r="AC20" s="1320">
        <f t="shared" si="5"/>
        <v>1</v>
      </c>
    </row>
    <row r="21" spans="1:29" ht="15">
      <c r="A21" s="1134"/>
      <c r="B21" s="1182"/>
      <c r="C21" s="1154"/>
      <c r="D21" s="1155"/>
      <c r="E21" s="1154"/>
      <c r="F21" s="1495"/>
      <c r="G21" s="1154"/>
      <c r="H21" s="1155"/>
      <c r="I21" s="1154"/>
      <c r="J21" s="1155"/>
      <c r="K21" s="1534"/>
      <c r="L21" s="1273"/>
      <c r="M21" s="1261"/>
      <c r="N21" s="1261"/>
      <c r="O21" s="1272"/>
      <c r="P21" s="3701"/>
      <c r="Q21" s="816"/>
      <c r="R21" s="1309"/>
      <c r="S21" s="1310"/>
      <c r="T21" s="1309"/>
      <c r="U21" s="1310"/>
      <c r="V21" s="1309"/>
      <c r="W21" s="1310"/>
      <c r="X21" s="1303"/>
      <c r="Y21" s="3701"/>
      <c r="Z21" s="1293"/>
      <c r="AA21" s="1320">
        <v>1</v>
      </c>
      <c r="AB21" s="1320">
        <v>1</v>
      </c>
      <c r="AC21" s="1320">
        <v>1</v>
      </c>
    </row>
    <row r="22" spans="1:29" ht="15">
      <c r="A22" s="1134"/>
      <c r="B22" s="1444" t="s">
        <v>1431</v>
      </c>
      <c r="C22" s="1168"/>
      <c r="D22" s="1157">
        <v>100</v>
      </c>
      <c r="E22" s="1168"/>
      <c r="F22" s="1498">
        <f>SUMIF(69:69,E22,70:70)-SUMIF(69:69,C22,70:70)+100</f>
        <v>100</v>
      </c>
      <c r="G22" s="1168"/>
      <c r="H22" s="1143">
        <f>SUMIF(69:69,G22,70:70)-SUMIF(69:69,C22,70:70)+100</f>
        <v>100</v>
      </c>
      <c r="I22" s="1168"/>
      <c r="J22" s="1143">
        <f>SUMIF(69:69,I22,70:70)-SUMIF(69:69,C22,70:70)+100</f>
        <v>100</v>
      </c>
      <c r="K22" s="1279"/>
      <c r="L22" s="1273"/>
      <c r="M22" s="1261"/>
      <c r="N22" s="1261"/>
      <c r="O22" s="1272"/>
      <c r="P22" s="3701"/>
      <c r="Q22" s="816" t="str">
        <f>B22</f>
        <v>楼层</v>
      </c>
      <c r="R22" s="1309" t="s">
        <v>1412</v>
      </c>
      <c r="S22" s="1310">
        <f>F22</f>
        <v>100</v>
      </c>
      <c r="T22" s="1309" t="s">
        <v>1412</v>
      </c>
      <c r="U22" s="1310">
        <f>H22</f>
        <v>100</v>
      </c>
      <c r="V22" s="1309" t="s">
        <v>1412</v>
      </c>
      <c r="W22" s="1310">
        <f>J22</f>
        <v>100</v>
      </c>
      <c r="X22" s="1303"/>
      <c r="Y22" s="3701"/>
      <c r="Z22" s="1293" t="str">
        <f>Q22</f>
        <v>楼层</v>
      </c>
      <c r="AA22" s="1320">
        <f t="shared" si="3"/>
        <v>1</v>
      </c>
      <c r="AB22" s="1320">
        <f t="shared" si="4"/>
        <v>1</v>
      </c>
      <c r="AC22" s="1320">
        <f t="shared" si="5"/>
        <v>1</v>
      </c>
    </row>
    <row r="23" spans="1:29" ht="15">
      <c r="A23" s="1114"/>
      <c r="B23" s="1138">
        <v>111</v>
      </c>
      <c r="C23" s="1132"/>
      <c r="D23" s="1143">
        <v>100</v>
      </c>
      <c r="E23" s="1142"/>
      <c r="F23" s="1498">
        <f>SUMIF(71:71,E23,72:72)-SUMIF(71:71,C23,72:72)+100</f>
        <v>100</v>
      </c>
      <c r="G23" s="1142"/>
      <c r="H23" s="1143">
        <f>SUMIF(71:71,G23,72:72)-SUMIF(71:71,C23,72:72)+100</f>
        <v>100</v>
      </c>
      <c r="I23" s="1142"/>
      <c r="J23" s="1143">
        <f>SUMIF(71:71,I23,72:72)-SUMIF(71:71,C23,72:72)+100</f>
        <v>100</v>
      </c>
      <c r="K23" s="1278"/>
      <c r="L23" s="1273"/>
      <c r="M23" s="1261"/>
      <c r="N23" s="1261"/>
      <c r="O23" s="1272"/>
      <c r="P23" s="3701"/>
      <c r="Q23" s="816">
        <f>B23</f>
        <v>111</v>
      </c>
      <c r="R23" s="1309" t="s">
        <v>1412</v>
      </c>
      <c r="S23" s="1310">
        <f>F23</f>
        <v>100</v>
      </c>
      <c r="T23" s="1309" t="s">
        <v>1412</v>
      </c>
      <c r="U23" s="1310">
        <f>H23</f>
        <v>100</v>
      </c>
      <c r="V23" s="1309" t="s">
        <v>1412</v>
      </c>
      <c r="W23" s="1310">
        <f>J23</f>
        <v>100</v>
      </c>
      <c r="X23" s="1303"/>
      <c r="Y23" s="3701"/>
      <c r="Z23" s="1293">
        <f>Q23</f>
        <v>111</v>
      </c>
      <c r="AA23" s="1320">
        <f t="shared" si="3"/>
        <v>1</v>
      </c>
      <c r="AB23" s="1320">
        <f t="shared" si="4"/>
        <v>1</v>
      </c>
      <c r="AC23" s="1320">
        <f t="shared" si="5"/>
        <v>1</v>
      </c>
    </row>
    <row r="24" spans="1:29" ht="15">
      <c r="A24" s="1134"/>
      <c r="B24" s="1138">
        <v>111</v>
      </c>
      <c r="C24" s="1132"/>
      <c r="D24" s="1143">
        <v>100</v>
      </c>
      <c r="E24" s="1142"/>
      <c r="F24" s="1498">
        <f>SUMIF(73:73,E24,74:74)-SUMIF(73:73,C24,74:74)+100</f>
        <v>100</v>
      </c>
      <c r="G24" s="1142"/>
      <c r="H24" s="1143">
        <f>SUMIF(73:73,G24,74:74)-SUMIF(73:73,C24,74:74)+100</f>
        <v>100</v>
      </c>
      <c r="I24" s="1142"/>
      <c r="J24" s="1143">
        <f>SUMIF(73:73,I24,74:74)-SUMIF(73:73,C24,74:74)+100</f>
        <v>100</v>
      </c>
      <c r="K24" s="1278"/>
      <c r="L24" s="1273"/>
      <c r="M24" s="1261"/>
      <c r="N24" s="1261"/>
      <c r="O24" s="1272"/>
      <c r="P24" s="3701"/>
      <c r="Q24" s="816">
        <f t="shared" ref="Q24:Q34" si="11">B24</f>
        <v>111</v>
      </c>
      <c r="R24" s="1309" t="s">
        <v>1412</v>
      </c>
      <c r="S24" s="1310">
        <f>F24</f>
        <v>100</v>
      </c>
      <c r="T24" s="1309" t="s">
        <v>1412</v>
      </c>
      <c r="U24" s="1310">
        <f>H24</f>
        <v>100</v>
      </c>
      <c r="V24" s="1309" t="s">
        <v>1412</v>
      </c>
      <c r="W24" s="1310">
        <f>J24</f>
        <v>100</v>
      </c>
      <c r="X24" s="1303"/>
      <c r="Y24" s="3701"/>
      <c r="Z24" s="1293">
        <f>Q24</f>
        <v>111</v>
      </c>
      <c r="AA24" s="1320">
        <f t="shared" si="3"/>
        <v>1</v>
      </c>
      <c r="AB24" s="1320">
        <f t="shared" si="4"/>
        <v>1</v>
      </c>
      <c r="AC24" s="1320">
        <f t="shared" si="5"/>
        <v>1</v>
      </c>
    </row>
    <row r="25" spans="1:29" s="1093" customFormat="1" ht="15">
      <c r="A25" s="1137"/>
      <c r="B25" s="1138">
        <v>111</v>
      </c>
      <c r="C25" s="1499"/>
      <c r="D25" s="1500">
        <v>100</v>
      </c>
      <c r="E25" s="1499"/>
      <c r="F25" s="1501">
        <f>SUMIF(75:75,E25,76:76)-SUMIF(75:75,C25,76:76)+100</f>
        <v>100</v>
      </c>
      <c r="G25" s="1499"/>
      <c r="H25" s="1500">
        <f>SUMIF(75:75,G25,76:76)-SUMIF(75:75,C25,76:76)+100</f>
        <v>100</v>
      </c>
      <c r="I25" s="1499"/>
      <c r="J25" s="1500">
        <f>SUMIF(75:75,I25,76:76)-SUMIF(75:75,C25,76:76)+100</f>
        <v>100</v>
      </c>
      <c r="K25" s="1278"/>
      <c r="L25" s="1263"/>
      <c r="M25" s="1264"/>
      <c r="N25" s="1264"/>
      <c r="O25" s="1265"/>
      <c r="P25" s="3701"/>
      <c r="Q25" s="1308">
        <f t="shared" si="11"/>
        <v>111</v>
      </c>
      <c r="R25" s="1304" t="s">
        <v>1412</v>
      </c>
      <c r="S25" s="1305">
        <f>F25</f>
        <v>100</v>
      </c>
      <c r="T25" s="1304" t="s">
        <v>1412</v>
      </c>
      <c r="U25" s="1305">
        <f>H25</f>
        <v>100</v>
      </c>
      <c r="V25" s="1304" t="s">
        <v>1412</v>
      </c>
      <c r="W25" s="1305">
        <f>J25</f>
        <v>100</v>
      </c>
      <c r="X25" s="1306"/>
      <c r="Y25" s="3701"/>
      <c r="Z25" s="1319">
        <f>Q25</f>
        <v>111</v>
      </c>
      <c r="AA25" s="1320">
        <f t="shared" si="3"/>
        <v>1</v>
      </c>
      <c r="AB25" s="1320">
        <f t="shared" si="4"/>
        <v>1</v>
      </c>
      <c r="AC25" s="1320">
        <f t="shared" si="5"/>
        <v>1</v>
      </c>
    </row>
    <row r="26" spans="1:29" ht="28.5">
      <c r="A26" s="1502" t="s">
        <v>1434</v>
      </c>
      <c r="B26" s="1127" t="s">
        <v>1441</v>
      </c>
      <c r="C26" s="1503"/>
      <c r="D26" s="1184">
        <v>100</v>
      </c>
      <c r="E26" s="1503"/>
      <c r="F26" s="1504">
        <f>SUMIF(77:77,E26,78:78)-SUMIF(77:77,C26,78:78)+100</f>
        <v>100</v>
      </c>
      <c r="G26" s="1503"/>
      <c r="H26" s="1184">
        <f>SUMIF(77:77,G26,78:78)-SUMIF(77:77,C26,78:78)+100</f>
        <v>100</v>
      </c>
      <c r="I26" s="1503"/>
      <c r="J26" s="1184">
        <f>SUMIF(77:77,I26,78:78)-SUMIF(77:77,C26,78:78)+100</f>
        <v>100</v>
      </c>
      <c r="K26" s="1279"/>
      <c r="L26" s="1273"/>
      <c r="M26" s="1261"/>
      <c r="N26" s="1261"/>
      <c r="O26" s="1272"/>
      <c r="P26" s="3702" t="s">
        <v>1436</v>
      </c>
      <c r="Q26" s="816" t="str">
        <f t="shared" si="11"/>
        <v>公共部分装修</v>
      </c>
      <c r="R26" s="1309" t="s">
        <v>1412</v>
      </c>
      <c r="S26" s="1310">
        <f t="shared" ref="S26:S34" si="12">F26</f>
        <v>100</v>
      </c>
      <c r="T26" s="1309" t="s">
        <v>1412</v>
      </c>
      <c r="U26" s="1310">
        <f t="shared" ref="U26:U34" si="13">H26</f>
        <v>100</v>
      </c>
      <c r="V26" s="1309" t="s">
        <v>1412</v>
      </c>
      <c r="W26" s="1310">
        <f t="shared" ref="W26:W34" si="14">J26</f>
        <v>100</v>
      </c>
      <c r="X26" s="1303"/>
      <c r="Y26" s="3703" t="s">
        <v>1436</v>
      </c>
      <c r="Z26" s="1293" t="str">
        <f t="shared" ref="Z26:Z34" si="15">Q26</f>
        <v>公共部分装修</v>
      </c>
      <c r="AA26" s="1320">
        <f t="shared" si="3"/>
        <v>1</v>
      </c>
      <c r="AB26" s="1320">
        <f t="shared" si="4"/>
        <v>1</v>
      </c>
      <c r="AC26" s="1320">
        <f t="shared" si="5"/>
        <v>1</v>
      </c>
    </row>
    <row r="27" spans="1:29" s="1095" customFormat="1" ht="15">
      <c r="A27" s="1190"/>
      <c r="B27" s="1131" t="s">
        <v>1443</v>
      </c>
      <c r="C27" s="1505"/>
      <c r="D27" s="1133">
        <v>100</v>
      </c>
      <c r="E27" s="1506"/>
      <c r="F27" s="1498" t="e">
        <f>LOOKUP(E27,80:80,81:81)-LOOKUP(C27,80:80,81:81)+100</f>
        <v>#N/A</v>
      </c>
      <c r="G27" s="1507"/>
      <c r="H27" s="1143" t="e">
        <f>LOOKUP(G27,80:80,81:81)-LOOKUP(C27,80:80,81:81)+100</f>
        <v>#N/A</v>
      </c>
      <c r="I27" s="1507"/>
      <c r="J27" s="1143" t="e">
        <f>LOOKUP(I27,80:80,81:81)-LOOKUP(C27,80:80,81:81)+100</f>
        <v>#N/A</v>
      </c>
      <c r="K27" s="1279"/>
      <c r="L27" s="1271"/>
      <c r="M27" s="1280"/>
      <c r="N27" s="1280"/>
      <c r="O27" s="1281"/>
      <c r="P27" s="3703"/>
      <c r="Q27" s="1537" t="str">
        <f t="shared" si="11"/>
        <v>成新率</v>
      </c>
      <c r="R27" s="1311" t="s">
        <v>1412</v>
      </c>
      <c r="S27" s="1312" t="e">
        <f t="shared" si="12"/>
        <v>#N/A</v>
      </c>
      <c r="T27" s="1311" t="s">
        <v>1412</v>
      </c>
      <c r="U27" s="1312" t="e">
        <f t="shared" si="13"/>
        <v>#N/A</v>
      </c>
      <c r="V27" s="1311" t="s">
        <v>1412</v>
      </c>
      <c r="W27" s="1312" t="e">
        <f t="shared" si="14"/>
        <v>#N/A</v>
      </c>
      <c r="X27" s="1313"/>
      <c r="Y27" s="3703"/>
      <c r="Z27" s="1321" t="str">
        <f t="shared" si="15"/>
        <v>成新率</v>
      </c>
      <c r="AA27" s="1320" t="e">
        <f t="shared" si="3"/>
        <v>#N/A</v>
      </c>
      <c r="AB27" s="1320" t="e">
        <f t="shared" si="4"/>
        <v>#N/A</v>
      </c>
      <c r="AC27" s="1320" t="e">
        <f t="shared" si="5"/>
        <v>#N/A</v>
      </c>
    </row>
    <row r="28" spans="1:29" ht="15">
      <c r="A28" s="1185"/>
      <c r="B28" s="1131" t="s">
        <v>1444</v>
      </c>
      <c r="C28" s="1508"/>
      <c r="D28" s="1143">
        <v>100</v>
      </c>
      <c r="E28" s="1508"/>
      <c r="F28" s="1498">
        <f>SUMIF(82:82,E28,83:83)-SUMIF(82:82,C28,83:83)+100</f>
        <v>100</v>
      </c>
      <c r="G28" s="1508"/>
      <c r="H28" s="1143">
        <f>SUMIF(82:82,G28,83:83)-SUMIF(82:82,C28,83:83)+100</f>
        <v>100</v>
      </c>
      <c r="I28" s="1508"/>
      <c r="J28" s="1143">
        <f>SUMIF(82:82,I28,83:83)-SUMIF(82:82,C28,83:83)+100</f>
        <v>100</v>
      </c>
      <c r="K28" s="1279"/>
      <c r="L28" s="1273"/>
      <c r="M28" s="1261"/>
      <c r="N28" s="1261"/>
      <c r="O28" s="1272"/>
      <c r="P28" s="3703"/>
      <c r="Q28" s="816" t="str">
        <f t="shared" si="11"/>
        <v>物业等级</v>
      </c>
      <c r="R28" s="1309" t="s">
        <v>1412</v>
      </c>
      <c r="S28" s="1310">
        <f t="shared" si="12"/>
        <v>100</v>
      </c>
      <c r="T28" s="1309" t="s">
        <v>1412</v>
      </c>
      <c r="U28" s="1310">
        <f t="shared" si="13"/>
        <v>100</v>
      </c>
      <c r="V28" s="1309" t="s">
        <v>1412</v>
      </c>
      <c r="W28" s="1310">
        <f t="shared" si="14"/>
        <v>100</v>
      </c>
      <c r="X28" s="1303"/>
      <c r="Y28" s="3703"/>
      <c r="Z28" s="1293" t="str">
        <f t="shared" si="15"/>
        <v>物业等级</v>
      </c>
      <c r="AA28" s="1320">
        <f t="shared" si="3"/>
        <v>1</v>
      </c>
      <c r="AB28" s="1320">
        <f t="shared" si="4"/>
        <v>1</v>
      </c>
      <c r="AC28" s="1320">
        <f t="shared" si="5"/>
        <v>1</v>
      </c>
    </row>
    <row r="29" spans="1:29" ht="15">
      <c r="A29" s="1185"/>
      <c r="B29" s="1131" t="s">
        <v>2019</v>
      </c>
      <c r="C29" s="1509"/>
      <c r="D29" s="1143">
        <v>100</v>
      </c>
      <c r="E29" s="1509"/>
      <c r="F29" s="1498">
        <f>SUMIF(84:84,E29,85:85)-SUMIF(84:84,C29,85:85)+100</f>
        <v>100</v>
      </c>
      <c r="G29" s="1509"/>
      <c r="H29" s="1143">
        <f>SUMIF(84:84,G29,85:85)-SUMIF(84:84,C29,85:85)+100</f>
        <v>100</v>
      </c>
      <c r="I29" s="1509"/>
      <c r="J29" s="1143">
        <f>SUMIF(84:84,I29,85:85)-SUMIF(84:84,C29,85:85)+100</f>
        <v>100</v>
      </c>
      <c r="K29" s="1279"/>
      <c r="L29" s="1273"/>
      <c r="M29" s="1261"/>
      <c r="N29" s="1261"/>
      <c r="O29" s="1272"/>
      <c r="P29" s="3703"/>
      <c r="Q29" s="816" t="str">
        <f t="shared" si="11"/>
        <v>有无电梯</v>
      </c>
      <c r="R29" s="1309" t="s">
        <v>1412</v>
      </c>
      <c r="S29" s="1310">
        <f t="shared" si="12"/>
        <v>100</v>
      </c>
      <c r="T29" s="1309" t="s">
        <v>1412</v>
      </c>
      <c r="U29" s="1310">
        <f t="shared" si="13"/>
        <v>100</v>
      </c>
      <c r="V29" s="1309" t="s">
        <v>1412</v>
      </c>
      <c r="W29" s="1310">
        <f t="shared" si="14"/>
        <v>100</v>
      </c>
      <c r="X29" s="1303"/>
      <c r="Y29" s="3703"/>
      <c r="Z29" s="1293" t="str">
        <f t="shared" si="15"/>
        <v>有无电梯</v>
      </c>
      <c r="AA29" s="1320">
        <f t="shared" si="3"/>
        <v>1</v>
      </c>
      <c r="AB29" s="1320">
        <f t="shared" si="4"/>
        <v>1</v>
      </c>
      <c r="AC29" s="1320">
        <f t="shared" si="5"/>
        <v>1</v>
      </c>
    </row>
    <row r="30" spans="1:29" ht="15">
      <c r="A30" s="1185"/>
      <c r="B30" s="1131" t="s">
        <v>643</v>
      </c>
      <c r="C30" s="1492"/>
      <c r="D30" s="1143">
        <v>100</v>
      </c>
      <c r="E30" s="1492"/>
      <c r="F30" s="1498" t="e">
        <f>LOOKUP(E30,87:87,88:88)-LOOKUP(C30,87:87,88:88)+100</f>
        <v>#N/A</v>
      </c>
      <c r="G30" s="1492"/>
      <c r="H30" s="1143" t="e">
        <f>LOOKUP(G30,87:87,88:88)-LOOKUP(C30,87:87,88:88)+100</f>
        <v>#N/A</v>
      </c>
      <c r="I30" s="1492"/>
      <c r="J30" s="1143" t="e">
        <f>LOOKUP(I30,87:87,88:88)-LOOKUP(C30,87:87,88:88)+100</f>
        <v>#N/A</v>
      </c>
      <c r="K30" s="1278"/>
      <c r="L30" s="1273"/>
      <c r="M30" s="1261"/>
      <c r="N30" s="1261"/>
      <c r="O30" s="1272"/>
      <c r="P30" s="3703"/>
      <c r="Q30" s="816" t="str">
        <f t="shared" si="11"/>
        <v>建筑面积</v>
      </c>
      <c r="R30" s="1309" t="s">
        <v>1412</v>
      </c>
      <c r="S30" s="1310" t="e">
        <f t="shared" si="12"/>
        <v>#N/A</v>
      </c>
      <c r="T30" s="1309" t="s">
        <v>1412</v>
      </c>
      <c r="U30" s="1310" t="e">
        <f t="shared" si="13"/>
        <v>#N/A</v>
      </c>
      <c r="V30" s="1309" t="s">
        <v>1412</v>
      </c>
      <c r="W30" s="1310" t="e">
        <f t="shared" si="14"/>
        <v>#N/A</v>
      </c>
      <c r="X30" s="1303"/>
      <c r="Y30" s="3703"/>
      <c r="Z30" s="1293" t="str">
        <f t="shared" si="15"/>
        <v>建筑面积</v>
      </c>
      <c r="AA30" s="1320" t="e">
        <f t="shared" si="3"/>
        <v>#N/A</v>
      </c>
      <c r="AB30" s="1320" t="e">
        <f t="shared" si="4"/>
        <v>#N/A</v>
      </c>
      <c r="AC30" s="1320" t="e">
        <f t="shared" si="5"/>
        <v>#N/A</v>
      </c>
    </row>
    <row r="31" spans="1:29" s="1093" customFormat="1" ht="15">
      <c r="A31" s="1187"/>
      <c r="B31" s="1131" t="s">
        <v>2020</v>
      </c>
      <c r="C31" s="1509"/>
      <c r="D31" s="1133">
        <v>100</v>
      </c>
      <c r="E31" s="1509"/>
      <c r="F31" s="1498">
        <f>SUMIF(89:89,E31,90:90)-SUMIF(89:89,C31,90:90)+100</f>
        <v>100</v>
      </c>
      <c r="G31" s="1509"/>
      <c r="H31" s="1143">
        <f>SUMIF(89:89,G31,90:90)-SUMIF(89:89,C31,90:90)+100</f>
        <v>100</v>
      </c>
      <c r="I31" s="1509"/>
      <c r="J31" s="1143">
        <f>SUMIF(89:89,I31,90:90)-SUMIF(89:89,C31,90:90)+100</f>
        <v>100</v>
      </c>
      <c r="K31" s="1279"/>
      <c r="L31" s="1263"/>
      <c r="M31" s="1264"/>
      <c r="N31" s="1264"/>
      <c r="O31" s="1265"/>
      <c r="P31" s="3703"/>
      <c r="Q31" s="1308" t="str">
        <f t="shared" si="11"/>
        <v>是否封闭</v>
      </c>
      <c r="R31" s="1304" t="s">
        <v>1412</v>
      </c>
      <c r="S31" s="1305">
        <f t="shared" si="12"/>
        <v>100</v>
      </c>
      <c r="T31" s="1304" t="s">
        <v>1412</v>
      </c>
      <c r="U31" s="1305">
        <f t="shared" si="13"/>
        <v>100</v>
      </c>
      <c r="V31" s="1304" t="s">
        <v>1412</v>
      </c>
      <c r="W31" s="1305">
        <f t="shared" si="14"/>
        <v>100</v>
      </c>
      <c r="X31" s="1306"/>
      <c r="Y31" s="3703"/>
      <c r="Z31" s="1319" t="str">
        <f t="shared" si="15"/>
        <v>是否封闭</v>
      </c>
      <c r="AA31" s="1318">
        <f t="shared" si="3"/>
        <v>1</v>
      </c>
      <c r="AB31" s="1318">
        <f t="shared" si="4"/>
        <v>1</v>
      </c>
      <c r="AC31" s="1318">
        <f t="shared" si="5"/>
        <v>1</v>
      </c>
    </row>
    <row r="32" spans="1:29" ht="15">
      <c r="A32" s="1185"/>
      <c r="B32" s="1138">
        <v>111</v>
      </c>
      <c r="C32" s="1132"/>
      <c r="D32" s="1143">
        <v>100</v>
      </c>
      <c r="E32" s="1492"/>
      <c r="F32" s="1498">
        <f>SUMIF(91:91,E32,92:92)-SUMIF(91:91,C32,92:92)+100</f>
        <v>100</v>
      </c>
      <c r="G32" s="1492"/>
      <c r="H32" s="1143">
        <f>SUMIF(91:91,G32,92:92)-SUMIF(91:91,C32,92:92)+100</f>
        <v>100</v>
      </c>
      <c r="I32" s="1492"/>
      <c r="J32" s="1143">
        <f>SUMIF(91:91,I32,92:92)-SUMIF(91:91,C32,92:92)+100</f>
        <v>100</v>
      </c>
      <c r="K32" s="1278"/>
      <c r="L32" s="1273"/>
      <c r="M32" s="1261"/>
      <c r="N32" s="1261"/>
      <c r="O32" s="1272"/>
      <c r="P32" s="3703" t="s">
        <v>1436</v>
      </c>
      <c r="Q32" s="816">
        <f t="shared" si="11"/>
        <v>111</v>
      </c>
      <c r="R32" s="1309" t="s">
        <v>1412</v>
      </c>
      <c r="S32" s="1310">
        <f t="shared" si="12"/>
        <v>100</v>
      </c>
      <c r="T32" s="1309" t="s">
        <v>1412</v>
      </c>
      <c r="U32" s="1310">
        <f t="shared" si="13"/>
        <v>100</v>
      </c>
      <c r="V32" s="1309" t="s">
        <v>1412</v>
      </c>
      <c r="W32" s="1310">
        <f t="shared" si="14"/>
        <v>100</v>
      </c>
      <c r="X32" s="1303"/>
      <c r="Y32" s="3703" t="s">
        <v>1436</v>
      </c>
      <c r="Z32" s="1293">
        <f t="shared" si="15"/>
        <v>111</v>
      </c>
      <c r="AA32" s="1320">
        <f t="shared" si="3"/>
        <v>1</v>
      </c>
      <c r="AB32" s="1320">
        <f t="shared" si="4"/>
        <v>1</v>
      </c>
      <c r="AC32" s="1320">
        <f t="shared" si="5"/>
        <v>1</v>
      </c>
    </row>
    <row r="33" spans="1:30" ht="15">
      <c r="A33" s="1185"/>
      <c r="B33" s="1138">
        <v>111</v>
      </c>
      <c r="C33" s="1132"/>
      <c r="D33" s="1143">
        <v>100</v>
      </c>
      <c r="E33" s="1492"/>
      <c r="F33" s="1498">
        <f>SUMIF(93:93,E33,94:94)-SUMIF(93:93,C33,94:94)+100</f>
        <v>100</v>
      </c>
      <c r="G33" s="1492"/>
      <c r="H33" s="1143">
        <f>SUMIF(93:93,G33,94:94)-SUMIF(93:93,C33,94:94)+100</f>
        <v>100</v>
      </c>
      <c r="I33" s="1492"/>
      <c r="J33" s="1143">
        <f>SUMIF(93:93,I33,94:94)-SUMIF(93:93,C33,94:94)+100</f>
        <v>100</v>
      </c>
      <c r="K33" s="1278"/>
      <c r="L33" s="1273"/>
      <c r="M33" s="1261"/>
      <c r="N33" s="1261"/>
      <c r="O33" s="1272"/>
      <c r="P33" s="3703"/>
      <c r="Q33" s="816">
        <f t="shared" si="11"/>
        <v>111</v>
      </c>
      <c r="R33" s="1309" t="s">
        <v>1412</v>
      </c>
      <c r="S33" s="1310">
        <f t="shared" si="12"/>
        <v>100</v>
      </c>
      <c r="T33" s="1309" t="s">
        <v>1412</v>
      </c>
      <c r="U33" s="1310">
        <f t="shared" si="13"/>
        <v>100</v>
      </c>
      <c r="V33" s="1309" t="s">
        <v>1412</v>
      </c>
      <c r="W33" s="1310">
        <f t="shared" si="14"/>
        <v>100</v>
      </c>
      <c r="X33" s="1303"/>
      <c r="Y33" s="3703"/>
      <c r="Z33" s="1293">
        <f t="shared" si="15"/>
        <v>111</v>
      </c>
      <c r="AA33" s="1320">
        <f t="shared" si="3"/>
        <v>1</v>
      </c>
      <c r="AB33" s="1320">
        <f t="shared" si="4"/>
        <v>1</v>
      </c>
      <c r="AC33" s="1320">
        <f t="shared" si="5"/>
        <v>1</v>
      </c>
    </row>
    <row r="34" spans="1:30" ht="15">
      <c r="A34" s="1510"/>
      <c r="B34" s="1145">
        <v>111</v>
      </c>
      <c r="C34" s="1146"/>
      <c r="D34" s="1147">
        <v>100</v>
      </c>
      <c r="E34" s="1493"/>
      <c r="F34" s="1511">
        <f>SUMIF(95:95,E34,96:96)-SUMIF(95:95,C34,96:96)+100</f>
        <v>100</v>
      </c>
      <c r="G34" s="1493"/>
      <c r="H34" s="1147">
        <f>SUMIF(95:95,G34,96:96)-SUMIF(95:95,C34,96:96)+100</f>
        <v>100</v>
      </c>
      <c r="I34" s="1493"/>
      <c r="J34" s="1147">
        <f>SUMIF(95:95,I34,96:96)-SUMIF(95:95,C34,96:96)+100</f>
        <v>100</v>
      </c>
      <c r="K34" s="1278"/>
      <c r="L34" s="1273"/>
      <c r="M34" s="1261"/>
      <c r="N34" s="1261"/>
      <c r="O34" s="1272"/>
      <c r="P34" s="3703"/>
      <c r="Q34" s="816">
        <f t="shared" si="11"/>
        <v>111</v>
      </c>
      <c r="R34" s="1309" t="s">
        <v>1412</v>
      </c>
      <c r="S34" s="1310">
        <f t="shared" si="12"/>
        <v>100</v>
      </c>
      <c r="T34" s="1309" t="s">
        <v>1412</v>
      </c>
      <c r="U34" s="1310">
        <f t="shared" si="13"/>
        <v>100</v>
      </c>
      <c r="V34" s="1309" t="s">
        <v>1412</v>
      </c>
      <c r="W34" s="1310">
        <f t="shared" si="14"/>
        <v>100</v>
      </c>
      <c r="X34" s="1303"/>
      <c r="Y34" s="3703"/>
      <c r="Z34" s="1293">
        <f t="shared" si="15"/>
        <v>111</v>
      </c>
      <c r="AA34" s="1320">
        <f t="shared" si="3"/>
        <v>1</v>
      </c>
      <c r="AB34" s="1320">
        <f t="shared" si="4"/>
        <v>1</v>
      </c>
      <c r="AC34" s="1320">
        <f t="shared" si="5"/>
        <v>1</v>
      </c>
    </row>
    <row r="35" spans="1:30" ht="15">
      <c r="A35" s="1192" t="s">
        <v>1974</v>
      </c>
      <c r="B35" s="1512"/>
      <c r="C35" s="1513" t="s">
        <v>124</v>
      </c>
      <c r="D35" s="1514"/>
      <c r="E35" s="1515"/>
      <c r="F35" s="1516"/>
      <c r="G35" s="1517"/>
      <c r="H35" s="1518"/>
      <c r="I35" s="1515"/>
      <c r="J35" s="1518"/>
      <c r="K35" s="1284"/>
      <c r="L35" s="1285"/>
      <c r="M35" s="1209"/>
      <c r="N35" s="1261"/>
      <c r="O35" s="1209"/>
      <c r="P35" s="3695" t="str">
        <f>A35</f>
        <v>成交单价（元/平方米）</v>
      </c>
      <c r="Q35" s="3695"/>
      <c r="R35" s="3696">
        <f>E35</f>
        <v>0</v>
      </c>
      <c r="S35" s="3696"/>
      <c r="T35" s="3696">
        <f>G35</f>
        <v>0</v>
      </c>
      <c r="U35" s="3696"/>
      <c r="V35" s="3696">
        <f>I35</f>
        <v>0</v>
      </c>
      <c r="W35" s="3696"/>
      <c r="X35" s="1249"/>
      <c r="Y35" s="1322"/>
      <c r="Z35" s="1249"/>
      <c r="AA35" s="1249"/>
      <c r="AB35" s="1249"/>
      <c r="AC35" s="1249"/>
    </row>
    <row r="36" spans="1:30" ht="15">
      <c r="A36" s="1200" t="s">
        <v>1451</v>
      </c>
      <c r="B36" s="1519"/>
      <c r="C36" s="1520" t="e">
        <f>R37</f>
        <v>#DIV/0!</v>
      </c>
      <c r="D36" s="1203" t="s">
        <v>1452</v>
      </c>
      <c r="E36" s="1521" t="e">
        <f>R36</f>
        <v>#DIV/0!</v>
      </c>
      <c r="F36" s="1204"/>
      <c r="G36" s="1520" t="e">
        <f>T36</f>
        <v>#DIV/0!</v>
      </c>
      <c r="H36" s="1204"/>
      <c r="I36" s="1521" t="e">
        <f>V36</f>
        <v>#DIV/0!</v>
      </c>
      <c r="J36" s="1204"/>
      <c r="K36" s="1286">
        <f>F36+H36+J36</f>
        <v>0</v>
      </c>
      <c r="L36" s="1285"/>
      <c r="M36" s="1209"/>
      <c r="N36" s="1261"/>
      <c r="O36" s="1209"/>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1249"/>
      <c r="Y36" s="1249"/>
      <c r="Z36" s="1249"/>
      <c r="AA36" s="1249"/>
      <c r="AB36" s="1249"/>
      <c r="AC36" s="1249"/>
    </row>
    <row r="37" spans="1:30" ht="15">
      <c r="A37" s="1206" t="s">
        <v>1975</v>
      </c>
      <c r="B37" s="1207"/>
      <c r="C37" s="1522" t="e">
        <f>R37</f>
        <v>#DIV/0!</v>
      </c>
      <c r="D37" s="1522"/>
      <c r="E37" s="1522"/>
      <c r="F37" s="1522"/>
      <c r="G37" s="1522"/>
      <c r="H37" s="1522"/>
      <c r="I37" s="1522"/>
      <c r="J37" s="1522"/>
      <c r="K37" s="1287"/>
      <c r="L37" s="1285"/>
      <c r="M37" s="1209"/>
      <c r="N37" s="1209"/>
      <c r="O37" s="1209"/>
      <c r="P37" s="3697" t="str">
        <f>A37</f>
        <v>估价对象XX用房的比较价值（楼面单价，元/平方米）</v>
      </c>
      <c r="Q37" s="3698"/>
      <c r="R37" s="3699" t="e">
        <f>IF(F1="售价",ROUND(IF(D36="简单平均",AVERAGE(R36:W36),R36*F36+T36*H36+V36*J36),0),ROUND(IF(D36="简单平均",AVERAGE(R36:V36),R36*F36+T36*H36+V36*J36),1))</f>
        <v>#DIV/0!</v>
      </c>
      <c r="S37" s="3699"/>
      <c r="T37" s="3699"/>
      <c r="U37" s="3699"/>
      <c r="V37" s="3699"/>
      <c r="W37" s="3699"/>
      <c r="X37" s="1249"/>
      <c r="Y37" s="1249"/>
      <c r="Z37" s="1249"/>
      <c r="AA37" s="1249"/>
      <c r="AB37" s="1249"/>
      <c r="AC37" s="1249"/>
    </row>
    <row r="38" spans="1:30">
      <c r="A38" s="1209"/>
      <c r="B38" s="1209"/>
      <c r="C38" s="1209"/>
      <c r="D38" s="1209"/>
      <c r="E38" s="1209"/>
      <c r="F38" s="1209"/>
      <c r="G38" s="1210"/>
      <c r="H38" s="1209"/>
      <c r="I38" s="1209"/>
      <c r="J38" s="1209"/>
      <c r="K38" s="1289"/>
      <c r="L38" s="1290"/>
      <c r="M38" s="1209"/>
      <c r="N38" s="1209"/>
      <c r="O38" s="1209"/>
      <c r="P38" s="1209"/>
      <c r="Q38" s="1209"/>
      <c r="R38" s="1209"/>
      <c r="S38" s="1209"/>
      <c r="T38" s="1209"/>
      <c r="U38" s="1209"/>
      <c r="V38" s="1209"/>
      <c r="W38" s="1209"/>
      <c r="X38" s="1209"/>
      <c r="Y38" s="1209"/>
      <c r="Z38" s="1209"/>
      <c r="AA38" s="1209"/>
      <c r="AB38" s="1209"/>
      <c r="AC38" s="1209"/>
      <c r="AD38" s="1209"/>
    </row>
    <row r="39" spans="1:30">
      <c r="A39" s="1209"/>
      <c r="B39" s="1209"/>
      <c r="C39" s="1209"/>
      <c r="D39" s="1209"/>
      <c r="E39" s="1209"/>
      <c r="F39" s="1209"/>
      <c r="G39" s="1209"/>
      <c r="H39" s="1209"/>
      <c r="I39" s="1209"/>
      <c r="J39" s="1209"/>
      <c r="K39" s="1289"/>
      <c r="L39" s="1290"/>
      <c r="M39" s="1209"/>
      <c r="N39" s="1209"/>
      <c r="O39" s="1209"/>
      <c r="P39" s="1209"/>
      <c r="Q39" s="1209"/>
      <c r="R39" s="1209"/>
      <c r="S39" s="1209"/>
      <c r="T39" s="1209"/>
      <c r="U39" s="1209"/>
      <c r="V39" s="1209"/>
      <c r="W39" s="1209"/>
      <c r="X39" s="1209"/>
      <c r="Y39" s="1209"/>
      <c r="Z39" s="1209"/>
      <c r="AA39" s="1209"/>
      <c r="AB39" s="1209"/>
      <c r="AC39" s="1209"/>
      <c r="AD39" s="1209"/>
    </row>
    <row r="40" spans="1:30" ht="13.5" customHeight="1">
      <c r="A40" s="1209"/>
      <c r="B40" s="1209"/>
      <c r="C40" s="1211" t="s">
        <v>1454</v>
      </c>
      <c r="D40" s="860"/>
      <c r="E40" s="1212" t="e">
        <f>IF(E35&lt;E36,E36/E35-1,E35/E36-1)</f>
        <v>#DIV/0!</v>
      </c>
      <c r="F40" s="1213" t="e">
        <f>IF(OR(E40&gt;=0.3,E40&lt;=-0.3),"超过30%","")</f>
        <v>#DIV/0!</v>
      </c>
      <c r="G40" s="1212" t="e">
        <f>IF(G35&lt;G36,G36/G35-1,G35/G36-1)</f>
        <v>#DIV/0!</v>
      </c>
      <c r="H40" s="1213" t="e">
        <f>IF(OR(G40&gt;=0.3,G40&lt;=-0.3),"超过30%","")</f>
        <v>#DIV/0!</v>
      </c>
      <c r="I40" s="1212" t="e">
        <f>IF(I35&lt;I36,I36/I35-1,I35/I36-1)</f>
        <v>#DIV/0!</v>
      </c>
      <c r="J40" s="1213" t="e">
        <f>IF(OR(I40&gt;=0.3,I40&lt;=-0.3),"超过30%","")</f>
        <v>#DIV/0!</v>
      </c>
      <c r="K40" s="1289"/>
      <c r="L40" s="1290"/>
      <c r="M40" s="1209"/>
      <c r="N40" s="1209"/>
      <c r="O40" s="1209"/>
      <c r="P40" s="1209"/>
      <c r="Q40" s="1209"/>
      <c r="R40" s="1209"/>
      <c r="S40" s="1209"/>
      <c r="T40" s="1209"/>
      <c r="U40" s="1209"/>
      <c r="V40" s="1209"/>
      <c r="W40" s="1209"/>
      <c r="X40" s="1209"/>
      <c r="Y40" s="1209"/>
      <c r="Z40" s="1209"/>
      <c r="AA40" s="1209"/>
      <c r="AB40" s="1209"/>
      <c r="AC40" s="1209"/>
      <c r="AD40" s="1209"/>
    </row>
    <row r="41" spans="1:30" ht="13.5" customHeight="1">
      <c r="A41" s="1209"/>
      <c r="B41" s="1209"/>
      <c r="C41" s="1211" t="s">
        <v>1455</v>
      </c>
      <c r="D41" s="859"/>
      <c r="E41" s="1212" t="e">
        <f>IF(E36&lt;G36,G36/E36-1,E36/G36-1)</f>
        <v>#DIV/0!</v>
      </c>
      <c r="F41" s="1213" t="e">
        <f>IF(OR(E41&gt;=0.2,E41&lt;=-0.2),"超过20%","")</f>
        <v>#DIV/0!</v>
      </c>
      <c r="G41" s="1212" t="e">
        <f>IF(G36&lt;I36,I36/G36-1,G36/I36-1)</f>
        <v>#DIV/0!</v>
      </c>
      <c r="H41" s="1213" t="e">
        <f>IF(OR(G41&gt;=0.2,G41&lt;=-0.2),"超过20%","")</f>
        <v>#DIV/0!</v>
      </c>
      <c r="I41" s="1212" t="e">
        <f>IF(I36&lt;E36,E36/I36-1,I36/E36-1)</f>
        <v>#DIV/0!</v>
      </c>
      <c r="J41" s="1213" t="e">
        <f>IF(OR(I41&gt;=0.2,I41&lt;=-0.2),"超过20%","")</f>
        <v>#DIV/0!</v>
      </c>
      <c r="K41" s="1289"/>
      <c r="L41" s="1290"/>
      <c r="M41" s="1209"/>
      <c r="N41" s="1209"/>
      <c r="O41" s="1209"/>
      <c r="P41" s="1209"/>
      <c r="Q41" s="1209"/>
      <c r="R41" s="1209"/>
      <c r="S41" s="1209"/>
      <c r="T41" s="1209"/>
      <c r="U41" s="1209"/>
      <c r="V41" s="1209"/>
      <c r="W41" s="1209"/>
      <c r="X41" s="1209"/>
      <c r="Y41" s="1209"/>
      <c r="Z41" s="1209"/>
      <c r="AA41" s="1209"/>
      <c r="AB41" s="1209"/>
      <c r="AC41" s="1209"/>
      <c r="AD41" s="1209"/>
    </row>
    <row r="42" spans="1:30" s="1096" customFormat="1" ht="13.5" customHeight="1">
      <c r="A42" s="1214"/>
      <c r="B42" s="1214"/>
      <c r="C42" s="1211" t="s">
        <v>1456</v>
      </c>
      <c r="D42" s="859"/>
      <c r="E42" s="1212" t="e">
        <f>IF(E35&lt;G35,G35/E35-1,E35/G35-1)</f>
        <v>#DIV/0!</v>
      </c>
      <c r="F42" s="1213" t="e">
        <f>IF(OR(E42&gt;=0.3,E42&lt;=-0.3),"超过30%","")</f>
        <v>#DIV/0!</v>
      </c>
      <c r="G42" s="1212" t="e">
        <f>IF(G35&lt;I35,I35/G35-1,G35/I35-1)</f>
        <v>#DIV/0!</v>
      </c>
      <c r="H42" s="1213" t="e">
        <f>IF(OR(G42&gt;=0.3,G42&lt;=-0.3),"超过30%","")</f>
        <v>#DIV/0!</v>
      </c>
      <c r="I42" s="1212" t="e">
        <f>IF(I35&lt;E35,E35/I35-1,I35/E35-1)</f>
        <v>#DIV/0!</v>
      </c>
      <c r="J42" s="1213" t="e">
        <f>IF(OR(I42&gt;=0.3,I42&lt;=-0.3),"超过30%","")</f>
        <v>#DIV/0!</v>
      </c>
      <c r="K42" s="1291"/>
      <c r="L42" s="1292"/>
      <c r="M42" s="1214"/>
      <c r="N42" s="1214"/>
      <c r="O42" s="1214"/>
      <c r="P42" s="1214"/>
      <c r="Q42" s="1214"/>
      <c r="R42" s="1214"/>
      <c r="S42" s="1214"/>
      <c r="T42" s="1214"/>
      <c r="U42" s="1214"/>
      <c r="V42" s="1214"/>
      <c r="W42" s="1214"/>
      <c r="X42" s="1214"/>
      <c r="Y42" s="1214"/>
      <c r="Z42" s="1214"/>
      <c r="AA42" s="1214"/>
      <c r="AB42" s="1214"/>
      <c r="AC42" s="1214"/>
      <c r="AD42" s="1214"/>
    </row>
    <row r="43" spans="1:30" s="1096" customFormat="1">
      <c r="A43" s="1214"/>
      <c r="B43" s="1215"/>
      <c r="C43" s="1523"/>
      <c r="D43" s="1214"/>
      <c r="E43" s="1214"/>
      <c r="F43" s="1214"/>
      <c r="G43" s="1214"/>
      <c r="H43" s="1214"/>
      <c r="I43" s="1214"/>
      <c r="J43" s="1214"/>
      <c r="K43" s="1291"/>
      <c r="L43" s="1292"/>
      <c r="M43" s="1214"/>
      <c r="N43" s="1214"/>
      <c r="O43" s="1214"/>
      <c r="P43" s="1214"/>
      <c r="Q43" s="1214"/>
      <c r="R43" s="1214"/>
      <c r="S43" s="1214"/>
      <c r="T43" s="1214"/>
      <c r="U43" s="1214"/>
      <c r="V43" s="1214"/>
      <c r="W43" s="1214"/>
      <c r="X43" s="1214"/>
      <c r="Y43" s="1214"/>
      <c r="Z43" s="1214"/>
      <c r="AA43" s="1214"/>
      <c r="AB43" s="1214"/>
      <c r="AC43" s="1214"/>
      <c r="AD43" s="1214"/>
    </row>
    <row r="44" spans="1:30">
      <c r="A44" s="1209"/>
      <c r="B44" s="1215"/>
      <c r="C44" s="1523"/>
      <c r="D44" s="1209"/>
      <c r="E44" s="1209"/>
      <c r="F44" s="1209"/>
      <c r="G44" s="1209"/>
      <c r="H44" s="1209"/>
      <c r="I44" s="1209"/>
      <c r="J44" s="1209"/>
      <c r="K44" s="1289"/>
      <c r="L44" s="1290"/>
      <c r="M44" s="1209"/>
      <c r="N44" s="1209"/>
      <c r="O44" s="1209"/>
      <c r="P44" s="1209"/>
      <c r="Q44" s="1209"/>
      <c r="R44" s="1209"/>
      <c r="S44" s="1209"/>
      <c r="T44" s="1209"/>
      <c r="U44" s="1209"/>
      <c r="V44" s="1209"/>
      <c r="W44" s="1209"/>
      <c r="X44" s="1209"/>
      <c r="Y44" s="1209"/>
      <c r="Z44" s="1209"/>
      <c r="AA44" s="1209"/>
      <c r="AB44" s="1209"/>
      <c r="AC44" s="1209"/>
      <c r="AD44" s="1209"/>
    </row>
    <row r="45" spans="1:30" ht="21">
      <c r="A45" s="1248" t="s">
        <v>1457</v>
      </c>
      <c r="B45" s="1249"/>
      <c r="C45" s="1250"/>
      <c r="D45" s="1250"/>
      <c r="E45" s="1250"/>
      <c r="F45" s="1251"/>
      <c r="G45" s="1251"/>
      <c r="H45" s="1250"/>
      <c r="I45" s="1250"/>
      <c r="J45" s="1250"/>
      <c r="K45" s="1299"/>
      <c r="L45" s="1300"/>
      <c r="M45" s="1250"/>
      <c r="N45" s="1302"/>
      <c r="O45" s="1302"/>
      <c r="P45" s="1302"/>
      <c r="Q45" s="1314"/>
      <c r="R45" s="1209"/>
      <c r="S45" s="1209"/>
      <c r="T45" s="1209"/>
      <c r="U45" s="1209"/>
      <c r="V45" s="1209"/>
      <c r="W45" s="1209"/>
      <c r="X45" s="1209"/>
      <c r="Y45" s="1209"/>
      <c r="Z45" s="1209"/>
      <c r="AA45" s="1209"/>
      <c r="AB45" s="1209"/>
      <c r="AC45" s="1209"/>
      <c r="AD45" s="1209"/>
    </row>
    <row r="46" spans="1:30" s="1098" customFormat="1" ht="15">
      <c r="A46" s="1524" t="s">
        <v>1410</v>
      </c>
      <c r="B46" s="1525"/>
      <c r="C46" s="1526" t="str">
        <f>YEAR(C7)&amp;"-"&amp;MONTH(C7)</f>
        <v>2025-9</v>
      </c>
      <c r="D46" s="1527">
        <f>EDATE(C46,-1)</f>
        <v>45870</v>
      </c>
      <c r="E46" s="1527">
        <f t="shared" ref="E46:O46" si="16">EDATE(D46,-1)</f>
        <v>45839</v>
      </c>
      <c r="F46" s="1527">
        <f t="shared" si="16"/>
        <v>45809</v>
      </c>
      <c r="G46" s="1527">
        <f t="shared" si="16"/>
        <v>45778</v>
      </c>
      <c r="H46" s="1527">
        <f t="shared" si="16"/>
        <v>45748</v>
      </c>
      <c r="I46" s="1527">
        <f t="shared" si="16"/>
        <v>45717</v>
      </c>
      <c r="J46" s="1527">
        <f t="shared" si="16"/>
        <v>45689</v>
      </c>
      <c r="K46" s="1527">
        <f t="shared" si="16"/>
        <v>45658</v>
      </c>
      <c r="L46" s="1527">
        <f t="shared" si="16"/>
        <v>45627</v>
      </c>
      <c r="M46" s="1527">
        <f t="shared" si="16"/>
        <v>45597</v>
      </c>
      <c r="N46" s="1527">
        <f t="shared" si="16"/>
        <v>45566</v>
      </c>
      <c r="O46" s="1527">
        <f t="shared" si="16"/>
        <v>45536</v>
      </c>
      <c r="P46" s="1377"/>
      <c r="Q46" s="1433"/>
      <c r="R46" s="1433"/>
      <c r="S46" s="1433"/>
      <c r="T46" s="1433"/>
      <c r="U46" s="1433"/>
      <c r="V46" s="1433"/>
      <c r="W46" s="1433"/>
      <c r="X46" s="1433"/>
      <c r="Y46" s="1433"/>
      <c r="Z46" s="1433"/>
      <c r="AA46" s="1433"/>
      <c r="AB46" s="1433"/>
      <c r="AC46" s="1433"/>
      <c r="AD46" s="1433"/>
    </row>
    <row r="47" spans="1:30" s="1093" customFormat="1" ht="15">
      <c r="A47" s="1528"/>
      <c r="B47" s="1334"/>
      <c r="C47" s="1529">
        <v>100</v>
      </c>
      <c r="D47" s="1338"/>
      <c r="E47" s="1338"/>
      <c r="F47" s="1338"/>
      <c r="G47" s="1338"/>
      <c r="H47" s="1338"/>
      <c r="I47" s="1338"/>
      <c r="J47" s="1338"/>
      <c r="K47" s="1338"/>
      <c r="L47" s="1338"/>
      <c r="M47" s="1536"/>
      <c r="N47" s="1338"/>
      <c r="O47" s="1386"/>
      <c r="P47" s="1314"/>
      <c r="Q47" s="1434"/>
      <c r="R47" s="1434"/>
      <c r="S47" s="1434"/>
      <c r="T47" s="1434"/>
      <c r="U47" s="1434"/>
      <c r="V47" s="1434"/>
      <c r="W47" s="1434"/>
      <c r="X47" s="1434"/>
      <c r="Y47" s="1434"/>
      <c r="Z47" s="1434"/>
      <c r="AA47" s="1434"/>
      <c r="AB47" s="1434"/>
      <c r="AC47" s="1434"/>
      <c r="AD47" s="1434"/>
    </row>
    <row r="48" spans="1:30" s="1093" customFormat="1" ht="15">
      <c r="A48" s="1329" t="s">
        <v>1458</v>
      </c>
      <c r="B48" s="1330"/>
      <c r="C48" s="1331"/>
      <c r="D48" s="1332"/>
      <c r="E48" s="1332"/>
      <c r="F48" s="1332"/>
      <c r="G48" s="1332"/>
      <c r="H48" s="1332"/>
      <c r="I48" s="1332"/>
      <c r="J48" s="1332"/>
      <c r="K48" s="1332"/>
      <c r="L48" s="1332"/>
      <c r="M48" s="1380"/>
      <c r="N48" s="1332"/>
      <c r="O48" s="1381"/>
      <c r="P48" s="1314"/>
      <c r="Q48" s="1314"/>
      <c r="R48" s="1434"/>
      <c r="S48" s="1434"/>
      <c r="T48" s="1434"/>
      <c r="U48" s="1434"/>
      <c r="V48" s="1434"/>
      <c r="W48" s="1434"/>
      <c r="X48" s="1434"/>
      <c r="Y48" s="1434"/>
      <c r="Z48" s="1434"/>
      <c r="AA48" s="1434"/>
      <c r="AB48" s="1434"/>
      <c r="AC48" s="1434"/>
      <c r="AD48" s="1434"/>
    </row>
    <row r="49" spans="1:30" s="1093" customFormat="1" ht="15">
      <c r="A49" s="1333" t="s">
        <v>1413</v>
      </c>
      <c r="B49" s="1334"/>
      <c r="C49" s="1335" t="s">
        <v>1459</v>
      </c>
      <c r="D49" s="1336"/>
      <c r="E49" s="1336"/>
      <c r="F49" s="1336"/>
      <c r="G49" s="1336"/>
      <c r="H49" s="1336"/>
      <c r="I49" s="1336"/>
      <c r="J49" s="1336"/>
      <c r="K49" s="1336"/>
      <c r="L49" s="1382"/>
      <c r="M49" s="1383"/>
      <c r="N49" s="1384"/>
      <c r="O49" s="1384"/>
      <c r="P49" s="1385"/>
      <c r="Q49" s="1314"/>
      <c r="R49" s="1434"/>
      <c r="S49" s="1434"/>
      <c r="T49" s="1434"/>
      <c r="U49" s="1434"/>
      <c r="V49" s="1434"/>
      <c r="W49" s="1434"/>
      <c r="X49" s="1434"/>
      <c r="Y49" s="1434"/>
      <c r="Z49" s="1434"/>
      <c r="AA49" s="1434"/>
      <c r="AB49" s="1434"/>
      <c r="AC49" s="1434"/>
      <c r="AD49" s="1434"/>
    </row>
    <row r="50" spans="1:30" s="1093" customFormat="1" ht="15">
      <c r="A50" s="1333"/>
      <c r="B50" s="1334"/>
      <c r="C50" s="1337">
        <v>100</v>
      </c>
      <c r="D50" s="1338"/>
      <c r="E50" s="1338"/>
      <c r="F50" s="1338"/>
      <c r="G50" s="1338"/>
      <c r="H50" s="1338"/>
      <c r="I50" s="1338"/>
      <c r="J50" s="1338"/>
      <c r="K50" s="1338"/>
      <c r="L50" s="1338"/>
      <c r="M50" s="1386"/>
      <c r="N50" s="1384"/>
      <c r="O50" s="1384"/>
      <c r="P50" s="1314"/>
      <c r="Q50" s="1314"/>
      <c r="R50" s="1434"/>
      <c r="S50" s="1434"/>
      <c r="T50" s="1434"/>
      <c r="U50" s="1434"/>
      <c r="V50" s="1434"/>
      <c r="W50" s="1434"/>
      <c r="X50" s="1434"/>
      <c r="Y50" s="1434"/>
      <c r="Z50" s="1434"/>
      <c r="AA50" s="1434"/>
      <c r="AB50" s="1434"/>
      <c r="AC50" s="1434"/>
      <c r="AD50" s="1434"/>
    </row>
    <row r="51" spans="1:30">
      <c r="A51" s="1339" t="s">
        <v>1460</v>
      </c>
      <c r="B51" s="1340" t="s">
        <v>1417</v>
      </c>
      <c r="C51" s="1362">
        <f>C9</f>
        <v>0</v>
      </c>
      <c r="D51" s="1282"/>
      <c r="E51" s="1282"/>
      <c r="F51" s="1282"/>
      <c r="G51" s="1282"/>
      <c r="H51" s="1282"/>
      <c r="I51" s="1282"/>
      <c r="J51" s="1282"/>
      <c r="K51" s="1387"/>
      <c r="L51" s="1388"/>
      <c r="M51" s="1389"/>
      <c r="N51" s="1390"/>
      <c r="O51" s="1390"/>
      <c r="P51" s="1391"/>
      <c r="Q51" s="1314"/>
      <c r="R51" s="1209"/>
      <c r="S51" s="1209"/>
      <c r="T51" s="1209"/>
      <c r="U51" s="1209"/>
      <c r="V51" s="1209"/>
      <c r="W51" s="1209"/>
      <c r="X51" s="1209"/>
      <c r="Y51" s="1209"/>
      <c r="Z51" s="1209"/>
      <c r="AA51" s="1209"/>
      <c r="AB51" s="1209"/>
      <c r="AC51" s="1209"/>
      <c r="AD51" s="1209"/>
    </row>
    <row r="52" spans="1:30" ht="15">
      <c r="A52" s="1341"/>
      <c r="B52" s="1342"/>
      <c r="C52" s="1343">
        <v>100</v>
      </c>
      <c r="D52" s="1343"/>
      <c r="E52" s="1343"/>
      <c r="F52" s="1343"/>
      <c r="G52" s="1343"/>
      <c r="H52" s="1343"/>
      <c r="I52" s="1343"/>
      <c r="J52" s="1343"/>
      <c r="K52" s="1343"/>
      <c r="L52" s="1343"/>
      <c r="M52" s="1392"/>
      <c r="N52" s="1393"/>
      <c r="O52" s="1393"/>
      <c r="P52" s="1391"/>
      <c r="Q52" s="1314"/>
      <c r="R52" s="1209"/>
      <c r="S52" s="1209"/>
      <c r="T52" s="1209"/>
      <c r="U52" s="1209"/>
      <c r="V52" s="1209"/>
      <c r="W52" s="1209"/>
      <c r="X52" s="1209"/>
      <c r="Y52" s="1209"/>
      <c r="Z52" s="1209"/>
      <c r="AA52" s="1209"/>
      <c r="AB52" s="1209"/>
      <c r="AC52" s="1209"/>
      <c r="AD52" s="1209"/>
    </row>
    <row r="53" spans="1:30" ht="27">
      <c r="A53" s="1341"/>
      <c r="B53" s="1344" t="s">
        <v>1420</v>
      </c>
      <c r="C53" s="1369"/>
      <c r="D53" s="1369"/>
      <c r="E53" s="1369"/>
      <c r="F53" s="1369"/>
      <c r="G53" s="1369"/>
      <c r="H53" s="1369"/>
      <c r="I53" s="1369"/>
      <c r="J53" s="1369"/>
      <c r="K53" s="1420"/>
      <c r="L53" s="1421"/>
      <c r="M53" s="1422"/>
      <c r="N53" s="1390"/>
      <c r="O53" s="1390"/>
      <c r="P53" s="1391"/>
      <c r="Q53" s="1314"/>
      <c r="R53" s="1209"/>
      <c r="S53" s="1209"/>
      <c r="T53" s="1209"/>
      <c r="U53" s="1209"/>
      <c r="V53" s="1209"/>
      <c r="W53" s="1209"/>
      <c r="X53" s="1209"/>
      <c r="Y53" s="1209"/>
      <c r="Z53" s="1209"/>
      <c r="AA53" s="1209"/>
      <c r="AB53" s="1209"/>
      <c r="AC53" s="1209"/>
      <c r="AD53" s="1209"/>
    </row>
    <row r="54" spans="1:30" ht="15">
      <c r="A54" s="1341"/>
      <c r="B54" s="1346"/>
      <c r="C54" s="1343"/>
      <c r="D54" s="1343"/>
      <c r="E54" s="1343"/>
      <c r="F54" s="1343"/>
      <c r="G54" s="1343"/>
      <c r="H54" s="1343"/>
      <c r="I54" s="1343"/>
      <c r="J54" s="1343"/>
      <c r="K54" s="1343"/>
      <c r="L54" s="1343"/>
      <c r="M54" s="1392"/>
      <c r="N54" s="1393"/>
      <c r="O54" s="1393"/>
      <c r="P54" s="1391"/>
      <c r="Q54" s="1314"/>
      <c r="R54" s="1209"/>
      <c r="S54" s="1209"/>
      <c r="T54" s="1209"/>
      <c r="U54" s="1209"/>
      <c r="V54" s="1209"/>
      <c r="W54" s="1209"/>
      <c r="X54" s="1209"/>
      <c r="Y54" s="1209"/>
      <c r="Z54" s="1209"/>
      <c r="AA54" s="1209"/>
      <c r="AB54" s="1209"/>
      <c r="AC54" s="1209"/>
      <c r="AD54" s="1209"/>
    </row>
    <row r="55" spans="1:30" ht="15">
      <c r="A55" s="1341"/>
      <c r="B55" s="1368">
        <f>B11</f>
        <v>111</v>
      </c>
      <c r="C55" s="1140"/>
      <c r="D55" s="1140"/>
      <c r="E55" s="1140"/>
      <c r="F55" s="1140"/>
      <c r="G55" s="1140"/>
      <c r="H55" s="1140"/>
      <c r="I55" s="1140"/>
      <c r="J55" s="1140"/>
      <c r="K55" s="1398"/>
      <c r="L55" s="1399"/>
      <c r="M55" s="1400"/>
      <c r="N55" s="1390"/>
      <c r="O55" s="1390"/>
      <c r="P55" s="1391"/>
      <c r="Q55" s="1314"/>
      <c r="R55" s="1209"/>
      <c r="S55" s="1209"/>
      <c r="T55" s="1209"/>
      <c r="U55" s="1209"/>
      <c r="V55" s="1209"/>
      <c r="W55" s="1209"/>
      <c r="X55" s="1209"/>
      <c r="Y55" s="1209"/>
      <c r="Z55" s="1209"/>
      <c r="AA55" s="1209"/>
      <c r="AB55" s="1209"/>
      <c r="AC55" s="1209"/>
      <c r="AD55" s="1209"/>
    </row>
    <row r="56" spans="1:30" ht="15">
      <c r="A56" s="1341"/>
      <c r="B56" s="1342"/>
      <c r="C56" s="1354"/>
      <c r="D56" s="1343"/>
      <c r="E56" s="1343"/>
      <c r="F56" s="1343"/>
      <c r="G56" s="1343"/>
      <c r="H56" s="1343"/>
      <c r="I56" s="1343"/>
      <c r="J56" s="1343"/>
      <c r="K56" s="1343"/>
      <c r="L56" s="1343"/>
      <c r="M56" s="1392"/>
      <c r="N56" s="1393"/>
      <c r="O56" s="1393"/>
      <c r="P56" s="1391"/>
      <c r="Q56" s="1314"/>
      <c r="R56" s="1209"/>
      <c r="S56" s="1209"/>
      <c r="T56" s="1209"/>
      <c r="U56" s="1209"/>
      <c r="V56" s="1209"/>
      <c r="W56" s="1209"/>
      <c r="X56" s="1209"/>
      <c r="Y56" s="1209"/>
      <c r="Z56" s="1209"/>
      <c r="AA56" s="1209"/>
      <c r="AB56" s="1209"/>
      <c r="AC56" s="1209"/>
      <c r="AD56" s="1209"/>
    </row>
    <row r="57" spans="1:30" s="1095" customFormat="1" ht="15">
      <c r="A57" s="1351"/>
      <c r="B57" s="1344">
        <f>B12</f>
        <v>111</v>
      </c>
      <c r="C57" s="1140"/>
      <c r="D57" s="1140"/>
      <c r="E57" s="1140"/>
      <c r="F57" s="1140"/>
      <c r="G57" s="1352"/>
      <c r="H57" s="1353"/>
      <c r="I57" s="1353"/>
      <c r="J57" s="1353"/>
      <c r="K57" s="1353"/>
      <c r="L57" s="1401"/>
      <c r="M57" s="1402"/>
      <c r="N57" s="1403"/>
      <c r="O57" s="1403"/>
      <c r="P57" s="1404"/>
      <c r="Q57" s="1435"/>
      <c r="R57" s="1436"/>
      <c r="S57" s="1436"/>
      <c r="T57" s="1436"/>
      <c r="U57" s="1436"/>
      <c r="V57" s="1436"/>
      <c r="W57" s="1436"/>
      <c r="X57" s="1436"/>
      <c r="Y57" s="1436"/>
      <c r="Z57" s="1436"/>
      <c r="AA57" s="1436"/>
      <c r="AB57" s="1436"/>
      <c r="AC57" s="1436"/>
      <c r="AD57" s="1436"/>
    </row>
    <row r="58" spans="1:30" s="1095" customFormat="1" ht="15">
      <c r="A58" s="1351"/>
      <c r="B58" s="1346"/>
      <c r="C58" s="1354"/>
      <c r="D58" s="1343"/>
      <c r="E58" s="1343"/>
      <c r="F58" s="1343"/>
      <c r="G58" s="1343"/>
      <c r="H58" s="1343"/>
      <c r="I58" s="1343"/>
      <c r="J58" s="1343"/>
      <c r="K58" s="1343"/>
      <c r="L58" s="1343"/>
      <c r="M58" s="1392"/>
      <c r="N58" s="1393"/>
      <c r="O58" s="1393"/>
      <c r="P58" s="1404"/>
      <c r="Q58" s="1435"/>
      <c r="R58" s="1436"/>
      <c r="S58" s="1436"/>
      <c r="T58" s="1436"/>
      <c r="U58" s="1436"/>
      <c r="V58" s="1436"/>
      <c r="W58" s="1436"/>
      <c r="X58" s="1436"/>
      <c r="Y58" s="1436"/>
      <c r="Z58" s="1436"/>
      <c r="AA58" s="1436"/>
      <c r="AB58" s="1436"/>
      <c r="AC58" s="1436"/>
      <c r="AD58" s="1436"/>
    </row>
    <row r="59" spans="1:30" s="1095" customFormat="1" ht="15">
      <c r="A59" s="1351"/>
      <c r="B59" s="1344">
        <f>B13</f>
        <v>111</v>
      </c>
      <c r="C59" s="1140"/>
      <c r="D59" s="1140"/>
      <c r="E59" s="1140"/>
      <c r="F59" s="1140"/>
      <c r="G59" s="1352"/>
      <c r="H59" s="1353"/>
      <c r="I59" s="1353"/>
      <c r="J59" s="1353"/>
      <c r="K59" s="1353"/>
      <c r="L59" s="1401"/>
      <c r="M59" s="1402"/>
      <c r="N59" s="1403"/>
      <c r="O59" s="1403"/>
      <c r="P59" s="1280"/>
      <c r="Q59" s="1437"/>
      <c r="R59" s="1436"/>
      <c r="S59" s="1436"/>
      <c r="T59" s="1436"/>
      <c r="U59" s="1436"/>
      <c r="V59" s="1436"/>
      <c r="W59" s="1436"/>
      <c r="X59" s="1436"/>
      <c r="Y59" s="1436"/>
      <c r="Z59" s="1436"/>
      <c r="AA59" s="1436"/>
      <c r="AB59" s="1436"/>
      <c r="AC59" s="1436"/>
      <c r="AD59" s="1436"/>
    </row>
    <row r="60" spans="1:30" s="1095" customFormat="1" ht="15">
      <c r="A60" s="1351"/>
      <c r="B60" s="1346"/>
      <c r="C60" s="1354"/>
      <c r="D60" s="1354"/>
      <c r="E60" s="1354"/>
      <c r="F60" s="1354"/>
      <c r="G60" s="1354"/>
      <c r="H60" s="1355"/>
      <c r="I60" s="1355"/>
      <c r="J60" s="1355"/>
      <c r="K60" s="1355"/>
      <c r="L60" s="1355"/>
      <c r="M60" s="1405"/>
      <c r="N60" s="1403"/>
      <c r="O60" s="1403"/>
      <c r="P60" s="1404"/>
      <c r="Q60" s="1435"/>
      <c r="R60" s="1436"/>
      <c r="S60" s="1436"/>
      <c r="T60" s="1436"/>
      <c r="U60" s="1436"/>
      <c r="V60" s="1436"/>
      <c r="W60" s="1436"/>
      <c r="X60" s="1436"/>
      <c r="Y60" s="1436"/>
      <c r="Z60" s="1436"/>
      <c r="AA60" s="1436"/>
      <c r="AB60" s="1436"/>
      <c r="AC60" s="1436"/>
      <c r="AD60" s="1436"/>
    </row>
    <row r="61" spans="1:30">
      <c r="A61" s="1339" t="s">
        <v>1423</v>
      </c>
      <c r="B61" s="1340" t="s">
        <v>1424</v>
      </c>
      <c r="C61" s="1361" t="s">
        <v>1463</v>
      </c>
      <c r="D61" s="1361" t="s">
        <v>1464</v>
      </c>
      <c r="E61" s="1361" t="s">
        <v>1465</v>
      </c>
      <c r="F61" s="1361" t="s">
        <v>1466</v>
      </c>
      <c r="G61" s="1361" t="s">
        <v>1467</v>
      </c>
      <c r="H61" s="1362"/>
      <c r="I61" s="1362"/>
      <c r="J61" s="1362"/>
      <c r="K61" s="1410"/>
      <c r="L61" s="1411"/>
      <c r="M61" s="1412"/>
      <c r="N61" s="1390"/>
      <c r="O61" s="1390"/>
      <c r="P61" s="1413"/>
      <c r="Q61" s="1314"/>
      <c r="R61" s="1209"/>
      <c r="S61" s="1209"/>
      <c r="T61" s="1209"/>
      <c r="U61" s="1209"/>
      <c r="V61" s="1209"/>
      <c r="W61" s="1209"/>
      <c r="X61" s="1209"/>
      <c r="Y61" s="1209"/>
      <c r="Z61" s="1209"/>
      <c r="AA61" s="1209"/>
      <c r="AB61" s="1209"/>
      <c r="AC61" s="1209"/>
      <c r="AD61" s="1209"/>
    </row>
    <row r="62" spans="1:30" ht="15">
      <c r="A62" s="1341"/>
      <c r="B62" s="1346"/>
      <c r="C62" s="1347">
        <v>100</v>
      </c>
      <c r="D62" s="1347">
        <f>C62-$K14</f>
        <v>100</v>
      </c>
      <c r="E62" s="1347">
        <f>D62-$K14</f>
        <v>100</v>
      </c>
      <c r="F62" s="1347">
        <f>E62-$K14</f>
        <v>100</v>
      </c>
      <c r="G62" s="1347">
        <f>F62-$K14</f>
        <v>100</v>
      </c>
      <c r="H62" s="1347"/>
      <c r="I62" s="1347"/>
      <c r="J62" s="1347"/>
      <c r="K62" s="1347"/>
      <c r="L62" s="1347"/>
      <c r="M62" s="1397"/>
      <c r="N62" s="1393"/>
      <c r="O62" s="1393"/>
      <c r="P62" s="1391"/>
      <c r="Q62" s="1314"/>
      <c r="R62" s="1209"/>
      <c r="S62" s="1209"/>
      <c r="T62" s="1209"/>
      <c r="U62" s="1209"/>
      <c r="V62" s="1209"/>
      <c r="W62" s="1209"/>
      <c r="X62" s="1209"/>
      <c r="Y62" s="1209"/>
      <c r="Z62" s="1209"/>
      <c r="AA62" s="1209"/>
      <c r="AB62" s="1209"/>
      <c r="AC62" s="1209"/>
      <c r="AD62" s="1209"/>
    </row>
    <row r="63" spans="1:30" ht="27">
      <c r="A63" s="1341"/>
      <c r="B63" s="1344" t="s">
        <v>2021</v>
      </c>
      <c r="C63" s="1363" t="s">
        <v>1463</v>
      </c>
      <c r="D63" s="1363" t="s">
        <v>1464</v>
      </c>
      <c r="E63" s="1363" t="s">
        <v>1465</v>
      </c>
      <c r="F63" s="1363" t="s">
        <v>1466</v>
      </c>
      <c r="G63" s="1363" t="s">
        <v>1467</v>
      </c>
      <c r="H63" s="1345"/>
      <c r="I63" s="1345"/>
      <c r="J63" s="1345"/>
      <c r="K63" s="1394"/>
      <c r="L63" s="1395"/>
      <c r="M63" s="1396"/>
      <c r="N63" s="1390"/>
      <c r="O63" s="1390"/>
      <c r="P63" s="1391"/>
      <c r="Q63" s="1314"/>
      <c r="R63" s="1209"/>
      <c r="S63" s="1209"/>
      <c r="T63" s="1209"/>
      <c r="U63" s="1209"/>
      <c r="V63" s="1209"/>
      <c r="W63" s="1209"/>
      <c r="X63" s="1209"/>
      <c r="Y63" s="1209"/>
      <c r="Z63" s="1209"/>
      <c r="AA63" s="1209"/>
      <c r="AB63" s="1209"/>
      <c r="AC63" s="1209"/>
      <c r="AD63" s="1209"/>
    </row>
    <row r="64" spans="1:30" ht="15">
      <c r="A64" s="1341"/>
      <c r="B64" s="1346"/>
      <c r="C64" s="1347">
        <v>100</v>
      </c>
      <c r="D64" s="1347">
        <f>C64-$K16</f>
        <v>100</v>
      </c>
      <c r="E64" s="1347">
        <f>D64-$K16</f>
        <v>100</v>
      </c>
      <c r="F64" s="1347">
        <f>E64-$K16</f>
        <v>100</v>
      </c>
      <c r="G64" s="1347">
        <f>F64-$K16</f>
        <v>100</v>
      </c>
      <c r="H64" s="1347"/>
      <c r="I64" s="1347"/>
      <c r="J64" s="1347"/>
      <c r="K64" s="1347"/>
      <c r="L64" s="1347"/>
      <c r="M64" s="1397"/>
      <c r="N64" s="1393"/>
      <c r="O64" s="1393"/>
      <c r="P64" s="1391"/>
      <c r="Q64" s="1314"/>
      <c r="R64" s="1209"/>
      <c r="S64" s="1209"/>
      <c r="T64" s="1209"/>
      <c r="U64" s="1209"/>
      <c r="V64" s="1209"/>
      <c r="W64" s="1209"/>
      <c r="X64" s="1209"/>
      <c r="Y64" s="1209"/>
      <c r="Z64" s="1209"/>
      <c r="AA64" s="1209"/>
      <c r="AB64" s="1209"/>
      <c r="AC64" s="1209"/>
      <c r="AD64" s="1209"/>
    </row>
    <row r="65" spans="1:30" ht="15">
      <c r="A65" s="1341"/>
      <c r="B65" s="1348" t="s">
        <v>1429</v>
      </c>
      <c r="C65" s="1368" t="s">
        <v>1468</v>
      </c>
      <c r="D65" s="1368" t="s">
        <v>1469</v>
      </c>
      <c r="E65" s="1368" t="s">
        <v>1470</v>
      </c>
      <c r="F65" s="1368" t="s">
        <v>1471</v>
      </c>
      <c r="G65" s="1368" t="s">
        <v>1472</v>
      </c>
      <c r="H65" s="1345"/>
      <c r="I65" s="1345"/>
      <c r="J65" s="1345"/>
      <c r="K65" s="1345"/>
      <c r="L65" s="1345"/>
      <c r="M65" s="1541"/>
      <c r="N65" s="1393"/>
      <c r="O65" s="1393"/>
      <c r="P65" s="1391"/>
      <c r="Q65" s="1314"/>
      <c r="R65" s="1209"/>
      <c r="S65" s="1209"/>
      <c r="T65" s="1209"/>
      <c r="U65" s="1209"/>
      <c r="V65" s="1209"/>
      <c r="W65" s="1209"/>
      <c r="X65" s="1209"/>
      <c r="Y65" s="1209"/>
      <c r="Z65" s="1209"/>
      <c r="AA65" s="1209"/>
      <c r="AB65" s="1209"/>
      <c r="AC65" s="1209"/>
      <c r="AD65" s="1209"/>
    </row>
    <row r="66" spans="1:30" ht="15">
      <c r="A66" s="1341"/>
      <c r="B66" s="1348"/>
      <c r="C66" s="1347">
        <v>100</v>
      </c>
      <c r="D66" s="1347">
        <f>C66-$K18</f>
        <v>100</v>
      </c>
      <c r="E66" s="1347">
        <f>D66-$K18</f>
        <v>100</v>
      </c>
      <c r="F66" s="1347">
        <f>E66-$K18</f>
        <v>100</v>
      </c>
      <c r="G66" s="1347">
        <f>F66-$K18</f>
        <v>100</v>
      </c>
      <c r="H66" s="1368"/>
      <c r="I66" s="1368"/>
      <c r="J66" s="1368"/>
      <c r="K66" s="1368"/>
      <c r="L66" s="1368"/>
      <c r="M66" s="1157"/>
      <c r="N66" s="1393"/>
      <c r="O66" s="1393"/>
      <c r="P66" s="1391"/>
      <c r="Q66" s="1314"/>
      <c r="R66" s="1209"/>
      <c r="S66" s="1209"/>
      <c r="T66" s="1209"/>
      <c r="U66" s="1209"/>
      <c r="V66" s="1209"/>
      <c r="W66" s="1209"/>
      <c r="X66" s="1209"/>
      <c r="Y66" s="1209"/>
      <c r="Z66" s="1209"/>
      <c r="AA66" s="1209"/>
      <c r="AB66" s="1209"/>
      <c r="AC66" s="1209"/>
      <c r="AD66" s="1209"/>
    </row>
    <row r="67" spans="1:30" ht="15">
      <c r="A67" s="1341"/>
      <c r="B67" s="1344" t="s">
        <v>1430</v>
      </c>
      <c r="C67" s="1363" t="s">
        <v>1463</v>
      </c>
      <c r="D67" s="1363" t="s">
        <v>1464</v>
      </c>
      <c r="E67" s="1363" t="s">
        <v>1465</v>
      </c>
      <c r="F67" s="1363" t="s">
        <v>1466</v>
      </c>
      <c r="G67" s="1363" t="s">
        <v>1467</v>
      </c>
      <c r="H67" s="1345"/>
      <c r="I67" s="1345"/>
      <c r="J67" s="1345"/>
      <c r="K67" s="1394"/>
      <c r="L67" s="1395"/>
      <c r="M67" s="1396"/>
      <c r="N67" s="1390"/>
      <c r="O67" s="1390"/>
      <c r="P67" s="1391"/>
      <c r="Q67" s="1314"/>
      <c r="R67" s="1209"/>
      <c r="S67" s="1209"/>
      <c r="T67" s="1209"/>
      <c r="U67" s="1209"/>
      <c r="V67" s="1209"/>
      <c r="W67" s="1209"/>
      <c r="X67" s="1209"/>
      <c r="Y67" s="1209"/>
      <c r="Z67" s="1209"/>
      <c r="AA67" s="1209"/>
      <c r="AB67" s="1209"/>
      <c r="AC67" s="1209"/>
      <c r="AD67" s="1209"/>
    </row>
    <row r="68" spans="1:30" ht="15">
      <c r="A68" s="1341"/>
      <c r="B68" s="1346"/>
      <c r="C68" s="1347">
        <v>100</v>
      </c>
      <c r="D68" s="1347">
        <f>C68-$K20</f>
        <v>100</v>
      </c>
      <c r="E68" s="1347">
        <f>D68-$K20</f>
        <v>100</v>
      </c>
      <c r="F68" s="1347">
        <f>E68-$K20</f>
        <v>100</v>
      </c>
      <c r="G68" s="1347">
        <f>F68-$K20</f>
        <v>100</v>
      </c>
      <c r="H68" s="1347"/>
      <c r="I68" s="1347"/>
      <c r="J68" s="1347"/>
      <c r="K68" s="1347"/>
      <c r="L68" s="1347"/>
      <c r="M68" s="1397"/>
      <c r="N68" s="1393"/>
      <c r="O68" s="1393"/>
      <c r="P68" s="1391"/>
      <c r="Q68" s="1314"/>
      <c r="R68" s="1209"/>
      <c r="S68" s="1209"/>
      <c r="T68" s="1209"/>
      <c r="U68" s="1209"/>
      <c r="V68" s="1209"/>
      <c r="W68" s="1209"/>
      <c r="X68" s="1209"/>
      <c r="Y68" s="1209"/>
      <c r="Z68" s="1209"/>
      <c r="AA68" s="1209"/>
      <c r="AB68" s="1209"/>
      <c r="AC68" s="1209"/>
      <c r="AD68" s="1209"/>
    </row>
    <row r="69" spans="1:30" ht="15">
      <c r="A69" s="1341"/>
      <c r="B69" s="1344" t="s">
        <v>1431</v>
      </c>
      <c r="C69" s="1352"/>
      <c r="D69" s="1352"/>
      <c r="E69" s="1352"/>
      <c r="F69" s="1352"/>
      <c r="G69" s="1352"/>
      <c r="H69" s="1369"/>
      <c r="I69" s="1369"/>
      <c r="J69" s="1369"/>
      <c r="K69" s="1420"/>
      <c r="L69" s="1421"/>
      <c r="M69" s="1422"/>
      <c r="N69" s="1390"/>
      <c r="O69" s="1390"/>
      <c r="P69" s="1391"/>
      <c r="Q69" s="1314"/>
      <c r="R69" s="1209"/>
      <c r="S69" s="1209"/>
      <c r="T69" s="1209"/>
      <c r="U69" s="1209"/>
      <c r="V69" s="1209"/>
      <c r="W69" s="1209"/>
      <c r="X69" s="1209"/>
      <c r="Y69" s="1209"/>
      <c r="Z69" s="1209"/>
      <c r="AA69" s="1209"/>
      <c r="AB69" s="1209"/>
      <c r="AC69" s="1209"/>
      <c r="AD69" s="1209"/>
    </row>
    <row r="70" spans="1:30" ht="15">
      <c r="A70" s="1341"/>
      <c r="B70" s="1346"/>
      <c r="C70" s="1347">
        <v>100</v>
      </c>
      <c r="D70" s="1347">
        <f>C70-$K22</f>
        <v>100</v>
      </c>
      <c r="E70" s="1347"/>
      <c r="F70" s="1347"/>
      <c r="G70" s="1347"/>
      <c r="H70" s="1347"/>
      <c r="I70" s="1347"/>
      <c r="J70" s="1347"/>
      <c r="K70" s="1347"/>
      <c r="L70" s="1347"/>
      <c r="M70" s="1397"/>
      <c r="N70" s="1393"/>
      <c r="O70" s="1393"/>
      <c r="P70" s="1391"/>
      <c r="Q70" s="1314"/>
      <c r="R70" s="1209"/>
      <c r="S70" s="1209"/>
      <c r="T70" s="1209"/>
      <c r="U70" s="1209"/>
      <c r="V70" s="1209"/>
      <c r="W70" s="1209"/>
      <c r="X70" s="1209"/>
      <c r="Y70" s="1209"/>
      <c r="Z70" s="1209"/>
      <c r="AA70" s="1209"/>
      <c r="AB70" s="1209"/>
      <c r="AC70" s="1209"/>
      <c r="AD70" s="1209"/>
    </row>
    <row r="71" spans="1:30" s="1093" customFormat="1" ht="15">
      <c r="A71" s="1364"/>
      <c r="B71" s="1344">
        <f>B23</f>
        <v>111</v>
      </c>
      <c r="C71" s="1140"/>
      <c r="D71" s="1140"/>
      <c r="E71" s="1140"/>
      <c r="F71" s="1140"/>
      <c r="G71" s="1352"/>
      <c r="H71" s="1352"/>
      <c r="I71" s="1352"/>
      <c r="J71" s="1352"/>
      <c r="K71" s="1352"/>
      <c r="L71" s="1542"/>
      <c r="M71" s="1543"/>
      <c r="N71" s="1384"/>
      <c r="O71" s="1384"/>
      <c r="P71" s="1391"/>
      <c r="Q71" s="1314"/>
      <c r="R71" s="1434"/>
      <c r="S71" s="1434"/>
      <c r="T71" s="1434"/>
      <c r="U71" s="1434"/>
      <c r="V71" s="1434"/>
      <c r="W71" s="1434"/>
      <c r="X71" s="1434"/>
      <c r="Y71" s="1434"/>
      <c r="Z71" s="1434"/>
      <c r="AA71" s="1434"/>
      <c r="AB71" s="1434"/>
      <c r="AC71" s="1434"/>
      <c r="AD71" s="1434"/>
    </row>
    <row r="72" spans="1:30" s="1093" customFormat="1" ht="15">
      <c r="A72" s="1364"/>
      <c r="B72" s="1346"/>
      <c r="C72" s="1354"/>
      <c r="D72" s="1343"/>
      <c r="E72" s="1343"/>
      <c r="F72" s="1343"/>
      <c r="G72" s="1343"/>
      <c r="H72" s="1343"/>
      <c r="I72" s="1343"/>
      <c r="J72" s="1343"/>
      <c r="K72" s="1343"/>
      <c r="L72" s="1343"/>
      <c r="M72" s="1392"/>
      <c r="N72" s="1393"/>
      <c r="O72" s="1393"/>
      <c r="P72" s="1391"/>
      <c r="Q72" s="1314"/>
      <c r="R72" s="1434"/>
      <c r="S72" s="1434"/>
      <c r="T72" s="1434"/>
      <c r="U72" s="1434"/>
      <c r="V72" s="1434"/>
      <c r="W72" s="1434"/>
      <c r="X72" s="1434"/>
      <c r="Y72" s="1434"/>
      <c r="Z72" s="1434"/>
      <c r="AA72" s="1434"/>
      <c r="AB72" s="1434"/>
      <c r="AC72" s="1434"/>
      <c r="AD72" s="1434"/>
    </row>
    <row r="73" spans="1:30" s="1093" customFormat="1" ht="15">
      <c r="A73" s="1364"/>
      <c r="B73" s="1344">
        <f>B24</f>
        <v>111</v>
      </c>
      <c r="C73" s="1140"/>
      <c r="D73" s="1140"/>
      <c r="E73" s="1140"/>
      <c r="F73" s="1140"/>
      <c r="G73" s="1352"/>
      <c r="H73" s="1352"/>
      <c r="I73" s="1352"/>
      <c r="J73" s="1352"/>
      <c r="K73" s="1352"/>
      <c r="L73" s="1352"/>
      <c r="M73" s="1543"/>
      <c r="N73" s="1384"/>
      <c r="O73" s="1384"/>
      <c r="P73" s="1391"/>
      <c r="Q73" s="1314"/>
      <c r="R73" s="1434"/>
      <c r="S73" s="1434"/>
      <c r="T73" s="1434"/>
      <c r="U73" s="1434"/>
      <c r="V73" s="1434"/>
      <c r="W73" s="1434"/>
      <c r="X73" s="1434"/>
      <c r="Y73" s="1434"/>
      <c r="Z73" s="1434"/>
      <c r="AA73" s="1434"/>
      <c r="AB73" s="1434"/>
      <c r="AC73" s="1434"/>
      <c r="AD73" s="1434"/>
    </row>
    <row r="74" spans="1:30" s="1093" customFormat="1" ht="15">
      <c r="A74" s="1364"/>
      <c r="B74" s="1346"/>
      <c r="C74" s="1354"/>
      <c r="D74" s="1343"/>
      <c r="E74" s="1343"/>
      <c r="F74" s="1343"/>
      <c r="G74" s="1343"/>
      <c r="H74" s="1343"/>
      <c r="I74" s="1343"/>
      <c r="J74" s="1343"/>
      <c r="K74" s="1343"/>
      <c r="L74" s="1343"/>
      <c r="M74" s="1392"/>
      <c r="N74" s="1393"/>
      <c r="O74" s="1393"/>
      <c r="P74" s="1391"/>
      <c r="Q74" s="1314"/>
      <c r="R74" s="1434"/>
      <c r="S74" s="1434"/>
      <c r="T74" s="1434"/>
      <c r="U74" s="1434"/>
      <c r="V74" s="1434"/>
      <c r="W74" s="1434"/>
      <c r="X74" s="1434"/>
      <c r="Y74" s="1434"/>
      <c r="Z74" s="1434"/>
      <c r="AA74" s="1434"/>
      <c r="AB74" s="1434"/>
      <c r="AC74" s="1434"/>
      <c r="AD74" s="1434"/>
    </row>
    <row r="75" spans="1:30" s="1095" customFormat="1" ht="15">
      <c r="A75" s="1351"/>
      <c r="B75" s="1344">
        <f>B25</f>
        <v>111</v>
      </c>
      <c r="C75" s="1140"/>
      <c r="D75" s="1140"/>
      <c r="E75" s="1140"/>
      <c r="F75" s="1140"/>
      <c r="G75" s="1352"/>
      <c r="H75" s="1353"/>
      <c r="I75" s="1353"/>
      <c r="J75" s="1353"/>
      <c r="K75" s="1353"/>
      <c r="L75" s="1401"/>
      <c r="M75" s="1402"/>
      <c r="N75" s="1403"/>
      <c r="O75" s="1403"/>
      <c r="P75" s="1404"/>
      <c r="Q75" s="1435"/>
      <c r="R75" s="1436"/>
      <c r="S75" s="1436"/>
      <c r="T75" s="1436"/>
      <c r="U75" s="1436"/>
      <c r="V75" s="1436"/>
      <c r="W75" s="1436"/>
      <c r="X75" s="1436"/>
      <c r="Y75" s="1436"/>
      <c r="Z75" s="1436"/>
      <c r="AA75" s="1436"/>
      <c r="AB75" s="1436"/>
      <c r="AC75" s="1436"/>
      <c r="AD75" s="1436"/>
    </row>
    <row r="76" spans="1:30" s="1095" customFormat="1" ht="15">
      <c r="A76" s="1351"/>
      <c r="B76" s="1346"/>
      <c r="C76" s="1354"/>
      <c r="D76" s="1354"/>
      <c r="E76" s="1354"/>
      <c r="F76" s="1354"/>
      <c r="G76" s="1343"/>
      <c r="H76" s="1343"/>
      <c r="I76" s="1343"/>
      <c r="J76" s="1343"/>
      <c r="K76" s="1343"/>
      <c r="L76" s="1343"/>
      <c r="M76" s="1392"/>
      <c r="N76" s="1403"/>
      <c r="O76" s="1403"/>
      <c r="P76" s="1404"/>
      <c r="Q76" s="1435"/>
      <c r="R76" s="1436"/>
      <c r="S76" s="1436"/>
      <c r="T76" s="1436"/>
      <c r="U76" s="1436"/>
      <c r="V76" s="1436"/>
      <c r="W76" s="1436"/>
      <c r="X76" s="1436"/>
      <c r="Y76" s="1436"/>
      <c r="Z76" s="1436"/>
      <c r="AA76" s="1436"/>
      <c r="AB76" s="1436"/>
      <c r="AC76" s="1436"/>
      <c r="AD76" s="1436"/>
    </row>
    <row r="77" spans="1:30">
      <c r="A77" s="1339" t="s">
        <v>1434</v>
      </c>
      <c r="B77" s="1340" t="s">
        <v>1441</v>
      </c>
      <c r="C77" s="1352"/>
      <c r="D77" s="1352"/>
      <c r="E77" s="1282"/>
      <c r="F77" s="1282"/>
      <c r="G77" s="1282"/>
      <c r="H77" s="1282"/>
      <c r="I77" s="1282"/>
      <c r="J77" s="1282"/>
      <c r="K77" s="1387"/>
      <c r="L77" s="1388"/>
      <c r="M77" s="1389"/>
      <c r="N77" s="1390"/>
      <c r="O77" s="1390"/>
      <c r="P77" s="1391"/>
      <c r="Q77" s="1314"/>
      <c r="R77" s="1209"/>
      <c r="S77" s="1209"/>
      <c r="T77" s="1209"/>
      <c r="U77" s="1209"/>
      <c r="V77" s="1209"/>
      <c r="W77" s="1209"/>
      <c r="X77" s="1209"/>
      <c r="Y77" s="1209"/>
      <c r="Z77" s="1209"/>
      <c r="AA77" s="1209"/>
      <c r="AB77" s="1209"/>
      <c r="AC77" s="1209"/>
      <c r="AD77" s="1209"/>
    </row>
    <row r="78" spans="1:30" ht="15">
      <c r="A78" s="1341"/>
      <c r="B78" s="1346"/>
      <c r="C78" s="1347">
        <v>100</v>
      </c>
      <c r="D78" s="1347">
        <f t="shared" ref="D78:M78" si="17">C78-$K26</f>
        <v>100</v>
      </c>
      <c r="E78" s="1347">
        <f t="shared" si="17"/>
        <v>100</v>
      </c>
      <c r="F78" s="1347">
        <f t="shared" si="17"/>
        <v>100</v>
      </c>
      <c r="G78" s="1347">
        <f t="shared" si="17"/>
        <v>100</v>
      </c>
      <c r="H78" s="1347">
        <f t="shared" si="17"/>
        <v>100</v>
      </c>
      <c r="I78" s="1347">
        <f t="shared" si="17"/>
        <v>100</v>
      </c>
      <c r="J78" s="1347">
        <f t="shared" si="17"/>
        <v>100</v>
      </c>
      <c r="K78" s="1347">
        <f t="shared" si="17"/>
        <v>100</v>
      </c>
      <c r="L78" s="1347">
        <f t="shared" si="17"/>
        <v>100</v>
      </c>
      <c r="M78" s="1397">
        <f t="shared" si="17"/>
        <v>100</v>
      </c>
      <c r="N78" s="1393"/>
      <c r="O78" s="1393"/>
      <c r="P78" s="1391"/>
      <c r="Q78" s="1314"/>
      <c r="R78" s="1209"/>
      <c r="S78" s="1209"/>
      <c r="T78" s="1209"/>
      <c r="U78" s="1209"/>
      <c r="V78" s="1209"/>
      <c r="W78" s="1209"/>
      <c r="X78" s="1209"/>
      <c r="Y78" s="1209"/>
      <c r="Z78" s="1209"/>
      <c r="AA78" s="1209"/>
      <c r="AB78" s="1209"/>
      <c r="AC78" s="1209"/>
      <c r="AD78" s="1209"/>
    </row>
    <row r="79" spans="1:30" ht="15">
      <c r="A79" s="1341"/>
      <c r="B79" s="1344" t="s">
        <v>1443</v>
      </c>
      <c r="C79" s="1363" t="str">
        <f>C80&amp;"(含)"&amp;"-"&amp;D80</f>
        <v>0.5(含)-0.6</v>
      </c>
      <c r="D79" s="1363" t="str">
        <f>D80&amp;"(含)"&amp;"-"&amp;E80</f>
        <v>0.6(含)-0.7</v>
      </c>
      <c r="E79" s="1363" t="str">
        <f>E80&amp;"(含)"&amp;"-"&amp;F80</f>
        <v>0.7(含)-0.8</v>
      </c>
      <c r="F79" s="1363" t="str">
        <f>F80&amp;"(含)"&amp;"-"&amp;G80</f>
        <v>0.8(含)-0.9</v>
      </c>
      <c r="G79" s="1363" t="str">
        <f>G80&amp;"(含)"&amp;"-"&amp;ROUND(H80,0)&amp;"(含)"</f>
        <v>0.9(含)-1(含)</v>
      </c>
      <c r="H79" s="1363"/>
      <c r="I79" s="1345"/>
      <c r="J79" s="1345"/>
      <c r="K79" s="1394"/>
      <c r="L79" s="1395"/>
      <c r="M79" s="1396"/>
      <c r="N79" s="1384"/>
      <c r="O79" s="1384"/>
      <c r="P79" s="1391"/>
      <c r="Q79" s="1314"/>
      <c r="R79" s="1209"/>
      <c r="S79" s="1209"/>
      <c r="T79" s="1209"/>
      <c r="U79" s="1209"/>
      <c r="V79" s="1209"/>
      <c r="W79" s="1209"/>
      <c r="X79" s="1209"/>
      <c r="Y79" s="1209"/>
      <c r="Z79" s="1209"/>
      <c r="AA79" s="1209"/>
      <c r="AB79" s="1209"/>
      <c r="AC79" s="1209"/>
      <c r="AD79" s="1209"/>
    </row>
    <row r="80" spans="1:30" ht="15">
      <c r="A80" s="1341"/>
      <c r="B80" s="1348"/>
      <c r="C80" s="992">
        <v>0.5</v>
      </c>
      <c r="D80" s="992">
        <v>0.6</v>
      </c>
      <c r="E80" s="992">
        <v>0.7</v>
      </c>
      <c r="F80" s="992">
        <v>0.8</v>
      </c>
      <c r="G80" s="992">
        <v>0.9</v>
      </c>
      <c r="H80" s="992">
        <v>1.0001</v>
      </c>
      <c r="I80" s="1368"/>
      <c r="J80" s="1368"/>
      <c r="K80" s="1544"/>
      <c r="L80" s="1545"/>
      <c r="M80" s="1546"/>
      <c r="N80" s="1384"/>
      <c r="O80" s="1384"/>
      <c r="P80" s="1391"/>
      <c r="Q80" s="1314"/>
      <c r="R80" s="1209"/>
      <c r="S80" s="1209"/>
      <c r="T80" s="1209"/>
      <c r="U80" s="1209"/>
      <c r="V80" s="1209"/>
      <c r="W80" s="1209"/>
      <c r="X80" s="1209"/>
      <c r="Y80" s="1209"/>
      <c r="Z80" s="1209"/>
      <c r="AA80" s="1209"/>
      <c r="AB80" s="1209"/>
      <c r="AC80" s="1209"/>
      <c r="AD80" s="1209"/>
    </row>
    <row r="81" spans="1:30" s="1095" customFormat="1" ht="15">
      <c r="A81" s="1351"/>
      <c r="B81" s="1346"/>
      <c r="C81" s="1365">
        <v>100</v>
      </c>
      <c r="D81" s="1347">
        <f t="shared" ref="D81:M81" si="18">C81+$K27</f>
        <v>100</v>
      </c>
      <c r="E81" s="1347">
        <f t="shared" si="18"/>
        <v>100</v>
      </c>
      <c r="F81" s="1347">
        <f t="shared" si="18"/>
        <v>100</v>
      </c>
      <c r="G81" s="1347">
        <f t="shared" si="18"/>
        <v>100</v>
      </c>
      <c r="H81" s="1347">
        <f t="shared" si="18"/>
        <v>100</v>
      </c>
      <c r="I81" s="1347">
        <f t="shared" si="18"/>
        <v>100</v>
      </c>
      <c r="J81" s="1347">
        <f t="shared" si="18"/>
        <v>100</v>
      </c>
      <c r="K81" s="1347">
        <f t="shared" si="18"/>
        <v>100</v>
      </c>
      <c r="L81" s="1347">
        <f t="shared" si="18"/>
        <v>100</v>
      </c>
      <c r="M81" s="1347">
        <f t="shared" si="18"/>
        <v>100</v>
      </c>
      <c r="N81" s="1393"/>
      <c r="O81" s="1393"/>
      <c r="P81" s="1404"/>
      <c r="Q81" s="1435"/>
      <c r="R81" s="1436"/>
      <c r="S81" s="1436"/>
      <c r="T81" s="1436"/>
      <c r="U81" s="1436"/>
      <c r="V81" s="1436"/>
      <c r="W81" s="1436"/>
      <c r="X81" s="1436"/>
      <c r="Y81" s="1436"/>
      <c r="Z81" s="1436"/>
      <c r="AA81" s="1436"/>
      <c r="AB81" s="1436"/>
      <c r="AC81" s="1436"/>
      <c r="AD81" s="1436"/>
    </row>
    <row r="82" spans="1:30">
      <c r="A82" s="1375"/>
      <c r="B82" s="1348" t="s">
        <v>1444</v>
      </c>
      <c r="C82" s="1352"/>
      <c r="D82" s="1352"/>
      <c r="E82" s="1369"/>
      <c r="F82" s="1369"/>
      <c r="G82" s="1369"/>
      <c r="H82" s="1369"/>
      <c r="I82" s="1369"/>
      <c r="J82" s="1369"/>
      <c r="K82" s="1420"/>
      <c r="L82" s="1421"/>
      <c r="M82" s="1422"/>
      <c r="N82" s="1390"/>
      <c r="O82" s="1390"/>
      <c r="P82" s="1391"/>
      <c r="Q82" s="1314"/>
      <c r="R82" s="1209"/>
      <c r="S82" s="1209"/>
      <c r="T82" s="1209"/>
      <c r="U82" s="1209"/>
      <c r="V82" s="1209"/>
      <c r="W82" s="1209"/>
      <c r="X82" s="1209"/>
      <c r="Y82" s="1209"/>
      <c r="Z82" s="1209"/>
      <c r="AA82" s="1209"/>
      <c r="AB82" s="1209"/>
      <c r="AC82" s="1209"/>
      <c r="AD82" s="1209"/>
    </row>
    <row r="83" spans="1:30" ht="15">
      <c r="A83" s="1341"/>
      <c r="B83" s="1346"/>
      <c r="C83" s="1347">
        <v>100</v>
      </c>
      <c r="D83" s="1347">
        <f t="shared" ref="D83:M83" si="19">C83-$K28</f>
        <v>100</v>
      </c>
      <c r="E83" s="1347">
        <f t="shared" si="19"/>
        <v>100</v>
      </c>
      <c r="F83" s="1347">
        <f t="shared" si="19"/>
        <v>100</v>
      </c>
      <c r="G83" s="1347">
        <f t="shared" si="19"/>
        <v>100</v>
      </c>
      <c r="H83" s="1347">
        <f t="shared" si="19"/>
        <v>100</v>
      </c>
      <c r="I83" s="1347">
        <f t="shared" si="19"/>
        <v>100</v>
      </c>
      <c r="J83" s="1347">
        <f t="shared" si="19"/>
        <v>100</v>
      </c>
      <c r="K83" s="1347">
        <f t="shared" si="19"/>
        <v>100</v>
      </c>
      <c r="L83" s="1347">
        <f t="shared" si="19"/>
        <v>100</v>
      </c>
      <c r="M83" s="1397">
        <f t="shared" si="19"/>
        <v>100</v>
      </c>
      <c r="N83" s="1393"/>
      <c r="O83" s="1393"/>
      <c r="P83" s="1391"/>
      <c r="Q83" s="1314"/>
      <c r="R83" s="1209"/>
      <c r="S83" s="1209"/>
      <c r="T83" s="1209"/>
      <c r="U83" s="1209"/>
      <c r="V83" s="1209"/>
      <c r="W83" s="1209"/>
      <c r="X83" s="1209"/>
      <c r="Y83" s="1209"/>
      <c r="Z83" s="1209"/>
      <c r="AA83" s="1209"/>
      <c r="AB83" s="1209"/>
      <c r="AC83" s="1209"/>
      <c r="AD83" s="1209"/>
    </row>
    <row r="84" spans="1:30">
      <c r="A84" s="1375"/>
      <c r="B84" s="1344" t="s">
        <v>2019</v>
      </c>
      <c r="C84" s="1352"/>
      <c r="D84" s="1352"/>
      <c r="E84" s="1352"/>
      <c r="F84" s="1352"/>
      <c r="G84" s="1352"/>
      <c r="H84" s="1352"/>
      <c r="I84" s="1369"/>
      <c r="J84" s="1369"/>
      <c r="K84" s="1420"/>
      <c r="L84" s="1421"/>
      <c r="M84" s="1422"/>
      <c r="N84" s="1390"/>
      <c r="O84" s="1390"/>
      <c r="P84" s="1391"/>
      <c r="Q84" s="1314"/>
      <c r="R84" s="1209"/>
      <c r="S84" s="1209"/>
      <c r="T84" s="1209"/>
      <c r="U84" s="1209"/>
      <c r="V84" s="1209"/>
      <c r="W84" s="1209"/>
      <c r="X84" s="1209"/>
      <c r="Y84" s="1209"/>
      <c r="Z84" s="1209"/>
      <c r="AA84" s="1209"/>
      <c r="AB84" s="1209"/>
      <c r="AC84" s="1209"/>
      <c r="AD84" s="1209"/>
    </row>
    <row r="85" spans="1:30" ht="15">
      <c r="A85" s="1341"/>
      <c r="B85" s="1346"/>
      <c r="C85" s="1365">
        <v>100</v>
      </c>
      <c r="D85" s="1347">
        <f t="shared" ref="D85:M85" si="20">C85+$K29</f>
        <v>100</v>
      </c>
      <c r="E85" s="1347">
        <f t="shared" si="20"/>
        <v>100</v>
      </c>
      <c r="F85" s="1347">
        <f t="shared" si="20"/>
        <v>100</v>
      </c>
      <c r="G85" s="1347">
        <f t="shared" si="20"/>
        <v>100</v>
      </c>
      <c r="H85" s="1347">
        <f t="shared" si="20"/>
        <v>100</v>
      </c>
      <c r="I85" s="1347">
        <f t="shared" si="20"/>
        <v>100</v>
      </c>
      <c r="J85" s="1347">
        <f t="shared" si="20"/>
        <v>100</v>
      </c>
      <c r="K85" s="1347">
        <f t="shared" si="20"/>
        <v>100</v>
      </c>
      <c r="L85" s="1347">
        <f t="shared" si="20"/>
        <v>100</v>
      </c>
      <c r="M85" s="1347">
        <f t="shared" si="20"/>
        <v>100</v>
      </c>
      <c r="N85" s="1393"/>
      <c r="O85" s="1393"/>
      <c r="P85" s="1391"/>
      <c r="Q85" s="1314"/>
      <c r="R85" s="1209"/>
      <c r="S85" s="1209"/>
      <c r="T85" s="1209"/>
      <c r="U85" s="1209"/>
      <c r="V85" s="1209"/>
      <c r="W85" s="1209"/>
      <c r="X85" s="1209"/>
      <c r="Y85" s="1209"/>
      <c r="Z85" s="1209"/>
      <c r="AA85" s="1209"/>
      <c r="AB85" s="1209"/>
      <c r="AC85" s="1209"/>
      <c r="AD85" s="1209"/>
    </row>
    <row r="86" spans="1:30">
      <c r="A86" s="1375"/>
      <c r="B86" s="1348" t="s">
        <v>643</v>
      </c>
      <c r="C86" s="1363" t="str">
        <f t="shared" ref="C86:L86" si="21">C87&amp;"(含)"&amp;"-"&amp;D87</f>
        <v>(含)-</v>
      </c>
      <c r="D86" s="1363" t="str">
        <f t="shared" si="21"/>
        <v>(含)-</v>
      </c>
      <c r="E86" s="1363" t="str">
        <f t="shared" si="21"/>
        <v>(含)-</v>
      </c>
      <c r="F86" s="1363" t="str">
        <f t="shared" si="21"/>
        <v>(含)-</v>
      </c>
      <c r="G86" s="1363" t="str">
        <f t="shared" si="21"/>
        <v>(含)-</v>
      </c>
      <c r="H86" s="1363" t="str">
        <f t="shared" si="21"/>
        <v>(含)-</v>
      </c>
      <c r="I86" s="1363" t="str">
        <f t="shared" si="21"/>
        <v>(含)-</v>
      </c>
      <c r="J86" s="1363" t="str">
        <f t="shared" si="21"/>
        <v>(含)-</v>
      </c>
      <c r="K86" s="1363" t="str">
        <f t="shared" si="21"/>
        <v>(含)-</v>
      </c>
      <c r="L86" s="1363" t="str">
        <f t="shared" si="21"/>
        <v>(含)-</v>
      </c>
      <c r="M86" s="1415" t="str">
        <f>M87&amp;"(含)"&amp;"-"&amp;P87</f>
        <v>(含)-</v>
      </c>
      <c r="N86" s="1390"/>
      <c r="O86" s="1390"/>
      <c r="P86" s="1391"/>
      <c r="Q86" s="1314"/>
      <c r="R86" s="1209"/>
      <c r="S86" s="1209"/>
      <c r="T86" s="1209"/>
      <c r="U86" s="1209"/>
      <c r="V86" s="1209"/>
      <c r="W86" s="1209"/>
      <c r="X86" s="1209"/>
      <c r="Y86" s="1209"/>
      <c r="Z86" s="1209"/>
      <c r="AA86" s="1209"/>
      <c r="AB86" s="1209"/>
      <c r="AC86" s="1209"/>
      <c r="AD86" s="1209"/>
    </row>
    <row r="87" spans="1:30">
      <c r="A87" s="1375"/>
      <c r="B87" s="1348"/>
      <c r="C87" s="1328"/>
      <c r="D87" s="1328"/>
      <c r="E87" s="1328"/>
      <c r="F87" s="1328"/>
      <c r="G87" s="1328"/>
      <c r="H87" s="1328"/>
      <c r="I87" s="1328"/>
      <c r="J87" s="1427"/>
      <c r="K87" s="1427"/>
      <c r="L87" s="1428"/>
      <c r="M87" s="1429"/>
      <c r="N87" s="1390"/>
      <c r="O87" s="1390"/>
      <c r="P87" s="1391"/>
      <c r="Q87" s="1314"/>
      <c r="R87" s="1209"/>
      <c r="S87" s="1209"/>
      <c r="T87" s="1209"/>
      <c r="U87" s="1209"/>
      <c r="V87" s="1209"/>
      <c r="W87" s="1209"/>
      <c r="X87" s="1209"/>
      <c r="Y87" s="1209"/>
      <c r="Z87" s="1209"/>
      <c r="AA87" s="1209"/>
      <c r="AB87" s="1209"/>
      <c r="AC87" s="1209"/>
      <c r="AD87" s="1209"/>
    </row>
    <row r="88" spans="1:30" ht="15">
      <c r="A88" s="1341"/>
      <c r="B88" s="1346"/>
      <c r="C88" s="1354"/>
      <c r="D88" s="1343"/>
      <c r="E88" s="1343"/>
      <c r="F88" s="1343"/>
      <c r="G88" s="1343"/>
      <c r="H88" s="1343"/>
      <c r="I88" s="1343"/>
      <c r="J88" s="1343"/>
      <c r="K88" s="1343"/>
      <c r="L88" s="1343"/>
      <c r="M88" s="1343"/>
      <c r="N88" s="1393"/>
      <c r="O88" s="1393"/>
      <c r="P88" s="1391"/>
      <c r="Q88" s="1314"/>
      <c r="R88" s="1209"/>
      <c r="S88" s="1209"/>
      <c r="T88" s="1209"/>
      <c r="U88" s="1209"/>
      <c r="V88" s="1209"/>
      <c r="W88" s="1209"/>
      <c r="X88" s="1209"/>
      <c r="Y88" s="1209"/>
      <c r="Z88" s="1209"/>
      <c r="AA88" s="1209"/>
      <c r="AB88" s="1209"/>
      <c r="AC88" s="1209"/>
      <c r="AD88" s="1209"/>
    </row>
    <row r="89" spans="1:30" s="1095" customFormat="1">
      <c r="A89" s="1372"/>
      <c r="B89" s="1344" t="s">
        <v>2020</v>
      </c>
      <c r="C89" s="1352"/>
      <c r="D89" s="1352"/>
      <c r="E89" s="1352"/>
      <c r="F89" s="1352"/>
      <c r="G89" s="1352"/>
      <c r="H89" s="1352"/>
      <c r="I89" s="1352"/>
      <c r="J89" s="1352"/>
      <c r="K89" s="1352"/>
      <c r="L89" s="1352"/>
      <c r="M89" s="1543"/>
      <c r="N89" s="1403"/>
      <c r="O89" s="1403"/>
      <c r="P89" s="1404"/>
      <c r="Q89" s="1435"/>
      <c r="R89" s="1436"/>
      <c r="S89" s="1436"/>
      <c r="T89" s="1436"/>
      <c r="U89" s="1436"/>
      <c r="V89" s="1436"/>
      <c r="W89" s="1436"/>
      <c r="X89" s="1436"/>
      <c r="Y89" s="1436"/>
      <c r="Z89" s="1436"/>
      <c r="AA89" s="1436"/>
      <c r="AB89" s="1436"/>
      <c r="AC89" s="1436"/>
      <c r="AD89" s="1436"/>
    </row>
    <row r="90" spans="1:30" s="1095" customFormat="1" ht="15">
      <c r="A90" s="1351"/>
      <c r="B90" s="1346"/>
      <c r="C90" s="1354"/>
      <c r="D90" s="1343"/>
      <c r="E90" s="1343"/>
      <c r="F90" s="1343"/>
      <c r="G90" s="1343"/>
      <c r="H90" s="1343"/>
      <c r="I90" s="1343"/>
      <c r="J90" s="1343"/>
      <c r="K90" s="1343"/>
      <c r="L90" s="1343"/>
      <c r="M90" s="1392"/>
      <c r="N90" s="1403"/>
      <c r="O90" s="1403"/>
      <c r="P90" s="1404"/>
      <c r="Q90" s="1435"/>
      <c r="R90" s="1436"/>
      <c r="S90" s="1436"/>
      <c r="T90" s="1436"/>
      <c r="U90" s="1436"/>
      <c r="V90" s="1436"/>
      <c r="W90" s="1436"/>
      <c r="X90" s="1436"/>
      <c r="Y90" s="1436"/>
      <c r="Z90" s="1436"/>
      <c r="AA90" s="1436"/>
      <c r="AB90" s="1436"/>
      <c r="AC90" s="1436"/>
      <c r="AD90" s="1436"/>
    </row>
    <row r="91" spans="1:30">
      <c r="A91" s="1375"/>
      <c r="B91" s="1344">
        <f>B32</f>
        <v>111</v>
      </c>
      <c r="C91" s="1140"/>
      <c r="D91" s="1140"/>
      <c r="E91" s="1140"/>
      <c r="F91" s="1140"/>
      <c r="G91" s="1352"/>
      <c r="H91" s="1353"/>
      <c r="I91" s="1353"/>
      <c r="J91" s="1353"/>
      <c r="K91" s="1353"/>
      <c r="L91" s="1401"/>
      <c r="M91" s="1402"/>
      <c r="N91" s="1390"/>
      <c r="O91" s="1390"/>
      <c r="P91" s="1391"/>
      <c r="Q91" s="1314"/>
      <c r="R91" s="1209"/>
      <c r="S91" s="1209"/>
      <c r="T91" s="1209"/>
      <c r="U91" s="1209"/>
      <c r="V91" s="1209"/>
      <c r="W91" s="1209"/>
      <c r="X91" s="1209"/>
      <c r="Y91" s="1209"/>
      <c r="Z91" s="1209"/>
      <c r="AA91" s="1209"/>
      <c r="AB91" s="1209"/>
      <c r="AC91" s="1209"/>
      <c r="AD91" s="1209"/>
    </row>
    <row r="92" spans="1:30" ht="15">
      <c r="A92" s="1341"/>
      <c r="B92" s="1346"/>
      <c r="C92" s="1354"/>
      <c r="D92" s="1343"/>
      <c r="E92" s="1343"/>
      <c r="F92" s="1343"/>
      <c r="G92" s="1354"/>
      <c r="H92" s="1355"/>
      <c r="I92" s="1355"/>
      <c r="J92" s="1355"/>
      <c r="K92" s="1355"/>
      <c r="L92" s="1355"/>
      <c r="M92" s="1405"/>
      <c r="N92" s="1393"/>
      <c r="O92" s="1393"/>
      <c r="P92" s="1391"/>
      <c r="Q92" s="1314"/>
      <c r="R92" s="1209"/>
      <c r="S92" s="1209"/>
      <c r="T92" s="1209"/>
      <c r="U92" s="1209"/>
      <c r="V92" s="1209"/>
      <c r="W92" s="1209"/>
      <c r="X92" s="1209"/>
      <c r="Y92" s="1209"/>
      <c r="Z92" s="1209"/>
      <c r="AA92" s="1209"/>
      <c r="AB92" s="1209"/>
      <c r="AC92" s="1209"/>
      <c r="AD92" s="1209"/>
    </row>
    <row r="93" spans="1:30">
      <c r="A93" s="1375"/>
      <c r="B93" s="1344">
        <f>B33</f>
        <v>111</v>
      </c>
      <c r="C93" s="1140"/>
      <c r="D93" s="1140"/>
      <c r="E93" s="1140"/>
      <c r="F93" s="1140"/>
      <c r="G93" s="1352"/>
      <c r="H93" s="1353"/>
      <c r="I93" s="1353"/>
      <c r="J93" s="1353"/>
      <c r="K93" s="1353"/>
      <c r="L93" s="1401"/>
      <c r="M93" s="1402"/>
      <c r="N93" s="1390"/>
      <c r="O93" s="1390"/>
      <c r="P93" s="1391"/>
      <c r="Q93" s="1314"/>
      <c r="R93" s="1209"/>
      <c r="S93" s="1209"/>
      <c r="T93" s="1209"/>
      <c r="U93" s="1209"/>
      <c r="V93" s="1209"/>
      <c r="W93" s="1209"/>
      <c r="X93" s="1209"/>
      <c r="Y93" s="1209"/>
      <c r="Z93" s="1209"/>
      <c r="AA93" s="1209"/>
      <c r="AB93" s="1209"/>
      <c r="AC93" s="1209"/>
      <c r="AD93" s="1209"/>
    </row>
    <row r="94" spans="1:30" ht="15">
      <c r="A94" s="1341"/>
      <c r="B94" s="1346"/>
      <c r="C94" s="1354"/>
      <c r="D94" s="1343"/>
      <c r="E94" s="1343"/>
      <c r="F94" s="1343"/>
      <c r="G94" s="1354"/>
      <c r="H94" s="1355"/>
      <c r="I94" s="1355"/>
      <c r="J94" s="1355"/>
      <c r="K94" s="1355"/>
      <c r="L94" s="1355"/>
      <c r="M94" s="1405"/>
      <c r="N94" s="1393"/>
      <c r="O94" s="1393"/>
      <c r="P94" s="1391"/>
      <c r="Q94" s="1314"/>
      <c r="R94" s="1209"/>
      <c r="S94" s="1209"/>
      <c r="T94" s="1209"/>
      <c r="U94" s="1209"/>
      <c r="V94" s="1209"/>
      <c r="W94" s="1209"/>
      <c r="X94" s="1209"/>
      <c r="Y94" s="1209"/>
      <c r="Z94" s="1209"/>
      <c r="AA94" s="1209"/>
      <c r="AB94" s="1209"/>
      <c r="AC94" s="1209"/>
      <c r="AD94" s="1209"/>
    </row>
    <row r="95" spans="1:30">
      <c r="A95" s="1375"/>
      <c r="B95" s="1539">
        <f>B34</f>
        <v>111</v>
      </c>
      <c r="C95" s="1140"/>
      <c r="D95" s="1140"/>
      <c r="E95" s="1140"/>
      <c r="F95" s="1140"/>
      <c r="G95" s="1352"/>
      <c r="H95" s="1353"/>
      <c r="I95" s="1353"/>
      <c r="J95" s="1353"/>
      <c r="K95" s="1353"/>
      <c r="L95" s="1401"/>
      <c r="M95" s="1402"/>
      <c r="N95" s="1393"/>
      <c r="O95" s="1393"/>
      <c r="P95" s="1547"/>
      <c r="Q95" s="1550"/>
      <c r="R95" s="1209"/>
      <c r="S95" s="1209"/>
      <c r="T95" s="1209"/>
      <c r="U95" s="1209"/>
      <c r="V95" s="1209"/>
      <c r="W95" s="1209"/>
      <c r="X95" s="1209"/>
      <c r="Y95" s="1209"/>
      <c r="Z95" s="1209"/>
      <c r="AA95" s="1209"/>
      <c r="AB95" s="1209"/>
      <c r="AC95" s="1209"/>
      <c r="AD95" s="1209"/>
    </row>
    <row r="96" spans="1:30" ht="15">
      <c r="A96" s="1341"/>
      <c r="B96" s="1346"/>
      <c r="C96" s="1354"/>
      <c r="D96" s="1354"/>
      <c r="E96" s="1354"/>
      <c r="F96" s="1354"/>
      <c r="G96" s="1354"/>
      <c r="H96" s="1355"/>
      <c r="I96" s="1355"/>
      <c r="J96" s="1355"/>
      <c r="K96" s="1355"/>
      <c r="L96" s="1355"/>
      <c r="M96" s="1405"/>
      <c r="N96" s="1393"/>
      <c r="O96" s="1393"/>
      <c r="P96" s="1391"/>
      <c r="Q96" s="1314"/>
      <c r="R96" s="1209"/>
      <c r="S96" s="1209"/>
      <c r="T96" s="1209"/>
      <c r="U96" s="1209"/>
      <c r="V96" s="1209"/>
      <c r="W96" s="1209"/>
      <c r="X96" s="1209"/>
      <c r="Y96" s="1209"/>
      <c r="Z96" s="1209"/>
      <c r="AA96" s="1209"/>
      <c r="AB96" s="1209"/>
      <c r="AC96" s="1209"/>
      <c r="AD96" s="1209"/>
    </row>
    <row r="97" spans="1:30">
      <c r="N97" s="1209"/>
      <c r="O97" s="1209"/>
      <c r="P97" s="1209"/>
      <c r="Q97" s="1209"/>
      <c r="R97" s="1209"/>
      <c r="S97" s="1209"/>
      <c r="T97" s="1209"/>
      <c r="U97" s="1209"/>
      <c r="V97" s="1209"/>
      <c r="W97" s="1209"/>
      <c r="X97" s="1209"/>
      <c r="Y97" s="1209"/>
      <c r="Z97" s="1209"/>
      <c r="AA97" s="1209"/>
      <c r="AB97" s="1209"/>
      <c r="AC97" s="1209"/>
      <c r="AD97" s="1209"/>
    </row>
    <row r="98" spans="1:30">
      <c r="A98" s="1540"/>
      <c r="B98" s="1540"/>
      <c r="C98" s="1540"/>
      <c r="D98" s="1540"/>
      <c r="E98" s="1540"/>
      <c r="F98" s="1540"/>
      <c r="G98" s="1540"/>
      <c r="H98" s="1540"/>
      <c r="I98" s="1540"/>
      <c r="J98" s="1540"/>
      <c r="K98" s="1548"/>
      <c r="L98" s="1549"/>
      <c r="M98" s="1540"/>
      <c r="N98" s="1209"/>
      <c r="O98" s="1209"/>
      <c r="P98" s="1209"/>
      <c r="Q98" s="1209"/>
      <c r="R98" s="1209"/>
      <c r="S98" s="1209"/>
      <c r="T98" s="1209"/>
      <c r="U98" s="1209"/>
      <c r="V98" s="1209"/>
      <c r="W98" s="1209"/>
      <c r="X98" s="1209"/>
      <c r="Y98" s="1209"/>
      <c r="Z98" s="1209"/>
      <c r="AA98" s="1209"/>
      <c r="AB98" s="1209"/>
      <c r="AC98" s="1209"/>
      <c r="AD98" s="1209"/>
    </row>
    <row r="99" spans="1:30">
      <c r="A99" s="1540"/>
      <c r="B99" s="1540"/>
      <c r="C99" s="1540"/>
      <c r="D99" s="1540"/>
      <c r="E99" s="1540"/>
      <c r="F99" s="1540"/>
      <c r="G99" s="1540"/>
      <c r="H99" s="1540"/>
      <c r="I99" s="1540"/>
      <c r="J99" s="1540"/>
      <c r="K99" s="1548"/>
      <c r="L99" s="1549"/>
      <c r="M99" s="1540"/>
      <c r="N99" s="1209"/>
      <c r="O99" s="1209"/>
      <c r="P99" s="1209"/>
      <c r="Q99" s="1209"/>
      <c r="R99" s="1209"/>
      <c r="S99" s="1209"/>
      <c r="T99" s="1209"/>
      <c r="U99" s="1209"/>
      <c r="V99" s="1209"/>
      <c r="W99" s="1209"/>
      <c r="X99" s="1209"/>
      <c r="Y99" s="1209"/>
      <c r="Z99" s="1209"/>
      <c r="AA99" s="1209"/>
      <c r="AB99" s="1209"/>
      <c r="AC99" s="1209"/>
      <c r="AD99" s="1209"/>
    </row>
    <row r="100" spans="1:30">
      <c r="A100" s="1540"/>
      <c r="B100" s="1540"/>
      <c r="C100" s="1540"/>
      <c r="D100" s="1540"/>
      <c r="E100" s="1540"/>
      <c r="F100" s="1540"/>
      <c r="G100" s="1540"/>
      <c r="H100" s="1540"/>
      <c r="I100" s="1540"/>
      <c r="J100" s="1540"/>
      <c r="K100" s="1548"/>
      <c r="L100" s="1549"/>
      <c r="M100" s="1540"/>
      <c r="N100" s="1209"/>
      <c r="O100" s="1209"/>
      <c r="P100" s="1209"/>
      <c r="Q100" s="1209"/>
      <c r="R100" s="1209"/>
      <c r="S100" s="1209"/>
      <c r="T100" s="1209"/>
      <c r="U100" s="1209"/>
      <c r="V100" s="1209"/>
      <c r="W100" s="1209"/>
      <c r="X100" s="1209"/>
      <c r="Y100" s="1209"/>
      <c r="Z100" s="1209"/>
      <c r="AA100" s="1209"/>
      <c r="AB100" s="1209"/>
      <c r="AC100" s="1209"/>
      <c r="AD100" s="1209"/>
    </row>
    <row r="101" spans="1:30">
      <c r="A101" s="1540"/>
      <c r="B101" s="1540"/>
      <c r="C101" s="1540"/>
      <c r="D101" s="1540"/>
      <c r="E101" s="1540"/>
      <c r="F101" s="1540"/>
      <c r="G101" s="1540"/>
      <c r="H101" s="1540"/>
      <c r="I101" s="1540"/>
      <c r="J101" s="1540"/>
      <c r="K101" s="1548"/>
      <c r="L101" s="1549"/>
      <c r="M101" s="1540"/>
      <c r="N101" s="1209"/>
      <c r="O101" s="1209"/>
      <c r="P101" s="1209"/>
      <c r="Q101" s="1209"/>
      <c r="R101" s="1209"/>
      <c r="S101" s="1209"/>
      <c r="T101" s="1209"/>
      <c r="U101" s="1209"/>
      <c r="V101" s="1209"/>
      <c r="W101" s="1209"/>
      <c r="X101" s="1209"/>
      <c r="Y101" s="1209"/>
      <c r="Z101" s="1209"/>
      <c r="AA101" s="1209"/>
      <c r="AB101" s="1209"/>
      <c r="AC101" s="1209"/>
      <c r="AD101" s="1209"/>
    </row>
    <row r="102" spans="1:30">
      <c r="A102" s="1540"/>
      <c r="B102" s="1540"/>
      <c r="C102" s="1540"/>
      <c r="D102" s="1540"/>
      <c r="E102" s="1540"/>
      <c r="F102" s="1540"/>
      <c r="G102" s="1540"/>
      <c r="H102" s="1540"/>
      <c r="I102" s="1540"/>
      <c r="J102" s="1540"/>
      <c r="K102" s="1548"/>
      <c r="L102" s="1549"/>
      <c r="M102" s="1540"/>
      <c r="N102" s="1209"/>
      <c r="O102" s="1209"/>
      <c r="P102" s="1209"/>
      <c r="Q102" s="1209"/>
      <c r="R102" s="1209"/>
      <c r="S102" s="1209"/>
      <c r="T102" s="1209"/>
      <c r="U102" s="1209"/>
      <c r="V102" s="1209"/>
      <c r="W102" s="1209"/>
      <c r="X102" s="1209"/>
      <c r="Y102" s="1209"/>
      <c r="Z102" s="1209"/>
      <c r="AA102" s="1209"/>
      <c r="AB102" s="1209"/>
      <c r="AC102" s="1209"/>
      <c r="AD102" s="1209"/>
    </row>
    <row r="103" spans="1:30">
      <c r="A103" s="1540"/>
      <c r="B103" s="1540"/>
      <c r="C103" s="1540"/>
      <c r="D103" s="1540"/>
      <c r="E103" s="1540"/>
      <c r="F103" s="1540"/>
      <c r="G103" s="1540"/>
      <c r="H103" s="1540"/>
      <c r="I103" s="1540"/>
      <c r="J103" s="1540"/>
      <c r="K103" s="1548"/>
      <c r="L103" s="1549"/>
      <c r="M103" s="1540"/>
      <c r="N103" s="1540"/>
      <c r="O103" s="1540"/>
      <c r="P103" s="1209"/>
      <c r="Q103" s="1209"/>
      <c r="R103" s="1209"/>
      <c r="S103" s="1209"/>
      <c r="T103" s="1209"/>
      <c r="U103" s="1209"/>
      <c r="V103" s="1209"/>
      <c r="W103" s="1209"/>
      <c r="X103" s="1209"/>
      <c r="Y103" s="1209"/>
      <c r="Z103" s="1209"/>
      <c r="AA103" s="1209"/>
      <c r="AB103" s="1209"/>
      <c r="AC103" s="1209"/>
      <c r="AD103" s="1209"/>
    </row>
    <row r="104" spans="1:30">
      <c r="A104" s="1540"/>
      <c r="B104" s="1540"/>
      <c r="C104" s="1540"/>
      <c r="D104" s="1540"/>
      <c r="E104" s="1540"/>
      <c r="F104" s="1540"/>
      <c r="G104" s="1540"/>
      <c r="H104" s="1540"/>
      <c r="I104" s="1540"/>
      <c r="J104" s="1540"/>
      <c r="K104" s="1548"/>
      <c r="L104" s="1549"/>
      <c r="M104" s="1540"/>
      <c r="N104" s="1540"/>
      <c r="O104" s="1540"/>
      <c r="P104" s="1540"/>
      <c r="Q104" s="1540"/>
      <c r="R104" s="1540"/>
      <c r="S104" s="1540"/>
      <c r="T104" s="1540"/>
    </row>
    <row r="105" spans="1:30">
      <c r="A105" s="1540"/>
      <c r="B105" s="1540"/>
      <c r="C105" s="1540"/>
      <c r="D105" s="1540"/>
      <c r="E105" s="1540"/>
      <c r="F105" s="1540"/>
      <c r="G105" s="1540"/>
      <c r="H105" s="1540"/>
      <c r="I105" s="1540"/>
      <c r="J105" s="1540"/>
      <c r="K105" s="1548"/>
      <c r="L105" s="1549"/>
      <c r="M105" s="1540"/>
      <c r="N105" s="1540"/>
      <c r="O105" s="1540"/>
      <c r="P105" s="1540"/>
      <c r="Q105" s="1540"/>
      <c r="R105" s="1540"/>
      <c r="S105" s="1540"/>
      <c r="T105" s="1540"/>
    </row>
    <row r="106" spans="1:30">
      <c r="A106" s="1540"/>
      <c r="B106" s="1540"/>
      <c r="C106" s="1540"/>
      <c r="D106" s="1540"/>
      <c r="E106" s="1540"/>
      <c r="F106" s="1540"/>
      <c r="G106" s="1540"/>
      <c r="H106" s="1540"/>
      <c r="I106" s="1540"/>
      <c r="J106" s="1540"/>
      <c r="K106" s="1548"/>
      <c r="L106" s="1549"/>
      <c r="M106" s="1540"/>
      <c r="N106" s="1540"/>
      <c r="O106" s="1540"/>
      <c r="P106" s="1540"/>
      <c r="Q106" s="1540"/>
      <c r="R106" s="1540"/>
      <c r="S106" s="1540"/>
      <c r="T106" s="1540"/>
    </row>
    <row r="107" spans="1:30">
      <c r="A107" s="1540"/>
      <c r="B107" s="1540"/>
      <c r="C107" s="1540"/>
      <c r="D107" s="1540"/>
      <c r="E107" s="1540"/>
      <c r="F107" s="1540"/>
      <c r="G107" s="1540"/>
      <c r="H107" s="1540"/>
      <c r="I107" s="1540"/>
      <c r="J107" s="1540"/>
      <c r="K107" s="1548"/>
      <c r="L107" s="1549"/>
      <c r="M107" s="1540"/>
      <c r="N107" s="1540"/>
      <c r="O107" s="1540"/>
      <c r="P107" s="1540"/>
      <c r="Q107" s="1540"/>
      <c r="R107" s="1540"/>
      <c r="S107" s="1540"/>
      <c r="T107" s="1540"/>
    </row>
    <row r="108" spans="1:30">
      <c r="A108" s="1540"/>
      <c r="B108" s="1540"/>
      <c r="C108" s="1540"/>
      <c r="D108" s="1540"/>
      <c r="E108" s="1540"/>
      <c r="F108" s="1540"/>
      <c r="G108" s="1540"/>
      <c r="H108" s="1540"/>
      <c r="I108" s="1540"/>
      <c r="J108" s="1540"/>
      <c r="K108" s="1548"/>
      <c r="L108" s="1549"/>
      <c r="M108" s="1540"/>
      <c r="N108" s="1540"/>
      <c r="O108" s="1540"/>
      <c r="P108" s="1540"/>
      <c r="Q108" s="1540"/>
      <c r="R108" s="1540"/>
      <c r="S108" s="1540"/>
      <c r="T108" s="1540"/>
    </row>
    <row r="109" spans="1:30">
      <c r="A109" s="1540"/>
      <c r="B109" s="1540"/>
      <c r="C109" s="1540"/>
      <c r="D109" s="1540"/>
      <c r="E109" s="1540"/>
      <c r="F109" s="1540"/>
      <c r="G109" s="1540"/>
      <c r="H109" s="1540"/>
      <c r="I109" s="1540"/>
      <c r="J109" s="1540"/>
      <c r="K109" s="1548"/>
      <c r="L109" s="1549"/>
      <c r="M109" s="1540"/>
      <c r="N109" s="1540"/>
      <c r="O109" s="1540"/>
      <c r="P109" s="1540"/>
      <c r="Q109" s="1540"/>
      <c r="R109" s="1540"/>
      <c r="S109" s="1540"/>
      <c r="T109" s="1540"/>
    </row>
    <row r="110" spans="1:30">
      <c r="A110" s="1540"/>
      <c r="B110" s="1540"/>
      <c r="C110" s="1540"/>
      <c r="D110" s="1540"/>
      <c r="E110" s="1540"/>
      <c r="F110" s="1540"/>
      <c r="G110" s="1540"/>
      <c r="H110" s="1540"/>
      <c r="I110" s="1540"/>
      <c r="J110" s="1540"/>
      <c r="K110" s="1548"/>
      <c r="L110" s="1549"/>
      <c r="M110" s="1540"/>
      <c r="N110" s="1540"/>
      <c r="O110" s="1540"/>
      <c r="P110" s="1540"/>
      <c r="Q110" s="1540"/>
      <c r="R110" s="1540"/>
      <c r="S110" s="1540"/>
      <c r="T110" s="1540"/>
    </row>
    <row r="111" spans="1:30">
      <c r="A111" s="1540"/>
      <c r="B111" s="1540"/>
      <c r="C111" s="1540"/>
      <c r="D111" s="1540"/>
      <c r="E111" s="1540"/>
      <c r="F111" s="1540"/>
      <c r="G111" s="1540"/>
      <c r="H111" s="1540"/>
      <c r="I111" s="1540"/>
      <c r="J111" s="1540"/>
      <c r="K111" s="1548"/>
      <c r="L111" s="1549"/>
      <c r="M111" s="1540"/>
      <c r="N111" s="1540"/>
      <c r="O111" s="1540"/>
      <c r="P111" s="1540"/>
      <c r="Q111" s="1540"/>
      <c r="R111" s="1540"/>
      <c r="S111" s="1540"/>
      <c r="T111" s="1540"/>
    </row>
    <row r="112" spans="1:30">
      <c r="A112" s="1540"/>
      <c r="B112" s="1540"/>
      <c r="C112" s="1540"/>
      <c r="D112" s="1540"/>
      <c r="E112" s="1540"/>
      <c r="F112" s="1540"/>
      <c r="G112" s="1540"/>
      <c r="H112" s="1540"/>
      <c r="I112" s="1540"/>
      <c r="J112" s="1540"/>
      <c r="K112" s="1548"/>
      <c r="L112" s="1549"/>
      <c r="M112" s="1540"/>
      <c r="N112" s="1540"/>
      <c r="O112" s="1540"/>
      <c r="P112" s="1540"/>
      <c r="Q112" s="1540"/>
      <c r="R112" s="1540"/>
      <c r="S112" s="1540"/>
      <c r="T112" s="1540"/>
    </row>
    <row r="113" spans="1:20">
      <c r="A113" s="1540"/>
      <c r="B113" s="1540"/>
      <c r="C113" s="1540"/>
      <c r="D113" s="1540"/>
      <c r="E113" s="1540"/>
      <c r="F113" s="1540"/>
      <c r="G113" s="1540"/>
      <c r="H113" s="1540"/>
      <c r="I113" s="1540"/>
      <c r="J113" s="1540"/>
      <c r="K113" s="1548"/>
      <c r="L113" s="1549"/>
      <c r="M113" s="1540"/>
      <c r="N113" s="1540"/>
      <c r="O113" s="1540"/>
      <c r="P113" s="1540"/>
      <c r="Q113" s="1540"/>
      <c r="R113" s="1540"/>
      <c r="S113" s="1540"/>
      <c r="T113" s="1540"/>
    </row>
    <row r="114" spans="1:20">
      <c r="A114" s="1540"/>
      <c r="B114" s="1540"/>
      <c r="C114" s="1540"/>
      <c r="D114" s="1540"/>
      <c r="E114" s="1540"/>
      <c r="F114" s="1540"/>
      <c r="G114" s="1540"/>
      <c r="H114" s="1540"/>
      <c r="I114" s="1540"/>
      <c r="J114" s="1540"/>
      <c r="K114" s="1548"/>
      <c r="L114" s="1549"/>
      <c r="M114" s="1540"/>
      <c r="N114" s="1540"/>
      <c r="O114" s="1540"/>
      <c r="P114" s="1540"/>
      <c r="Q114" s="1540"/>
      <c r="R114" s="1540"/>
      <c r="S114" s="1540"/>
      <c r="T114" s="1540"/>
    </row>
    <row r="115" spans="1:20">
      <c r="A115" s="1540"/>
      <c r="B115" s="1540"/>
      <c r="C115" s="1540"/>
      <c r="D115" s="1540"/>
      <c r="E115" s="1540"/>
      <c r="F115" s="1540"/>
      <c r="G115" s="1540"/>
      <c r="H115" s="1540"/>
      <c r="I115" s="1540"/>
      <c r="J115" s="1540"/>
      <c r="K115" s="1548"/>
      <c r="L115" s="1549"/>
      <c r="M115" s="1540"/>
      <c r="N115" s="1540"/>
      <c r="O115" s="1540"/>
      <c r="P115" s="1540"/>
      <c r="Q115" s="1540"/>
      <c r="R115" s="1540"/>
      <c r="S115" s="1540"/>
      <c r="T115" s="1540"/>
    </row>
    <row r="116" spans="1:20">
      <c r="A116" s="1540"/>
      <c r="B116" s="1540"/>
      <c r="C116" s="1540"/>
      <c r="D116" s="1540"/>
      <c r="E116" s="1540"/>
      <c r="F116" s="1540"/>
      <c r="G116" s="1540"/>
      <c r="H116" s="1540"/>
      <c r="I116" s="1540"/>
      <c r="J116" s="1540"/>
      <c r="K116" s="1548"/>
      <c r="L116" s="1549"/>
      <c r="M116" s="1540"/>
      <c r="N116" s="1540"/>
      <c r="O116" s="1540"/>
      <c r="P116" s="1540"/>
      <c r="Q116" s="1540"/>
      <c r="R116" s="1540"/>
      <c r="S116" s="1540"/>
      <c r="T116" s="1540"/>
    </row>
    <row r="117" spans="1:20">
      <c r="A117" s="1540"/>
      <c r="B117" s="1540"/>
      <c r="C117" s="1540"/>
      <c r="D117" s="1540"/>
      <c r="E117" s="1540"/>
      <c r="F117" s="1540"/>
      <c r="G117" s="1540"/>
      <c r="H117" s="1540"/>
      <c r="I117" s="1540"/>
      <c r="J117" s="1540"/>
      <c r="K117" s="1548"/>
      <c r="L117" s="1549"/>
      <c r="M117" s="1540"/>
      <c r="N117" s="1540"/>
      <c r="O117" s="1540"/>
      <c r="P117" s="1540"/>
      <c r="Q117" s="1540"/>
      <c r="R117" s="1540"/>
      <c r="S117" s="1540"/>
      <c r="T117" s="1540"/>
    </row>
    <row r="118" spans="1:20">
      <c r="A118" s="1540"/>
      <c r="B118" s="1540"/>
      <c r="C118" s="1540"/>
      <c r="D118" s="1540"/>
      <c r="E118" s="1540"/>
      <c r="F118" s="1540"/>
      <c r="G118" s="1540"/>
      <c r="H118" s="1540"/>
      <c r="I118" s="1540"/>
      <c r="J118" s="1540"/>
      <c r="K118" s="1548"/>
      <c r="L118" s="1549"/>
      <c r="M118" s="1540"/>
      <c r="N118" s="1540"/>
      <c r="O118" s="1540"/>
      <c r="P118" s="1540"/>
      <c r="Q118" s="1540"/>
      <c r="R118" s="1540"/>
      <c r="S118" s="1540"/>
      <c r="T118" s="1540"/>
    </row>
    <row r="119" spans="1:20">
      <c r="A119" s="1540"/>
      <c r="B119" s="1540"/>
      <c r="C119" s="1540"/>
      <c r="D119" s="1540"/>
      <c r="E119" s="1540"/>
      <c r="F119" s="1540"/>
      <c r="G119" s="1540"/>
      <c r="H119" s="1540"/>
      <c r="I119" s="1540"/>
      <c r="J119" s="1540"/>
      <c r="K119" s="1548"/>
      <c r="L119" s="1549"/>
      <c r="M119" s="1540"/>
      <c r="N119" s="1540"/>
      <c r="O119" s="1540"/>
      <c r="P119" s="1540"/>
      <c r="Q119" s="1540"/>
      <c r="R119" s="1540"/>
      <c r="S119" s="1540"/>
      <c r="T119" s="1540"/>
    </row>
    <row r="120" spans="1:20">
      <c r="A120" s="1540"/>
      <c r="B120" s="1540"/>
      <c r="C120" s="1540"/>
      <c r="D120" s="1540"/>
      <c r="E120" s="1540"/>
      <c r="F120" s="1540"/>
      <c r="G120" s="1540"/>
      <c r="H120" s="1540"/>
      <c r="I120" s="1540"/>
      <c r="J120" s="1540"/>
      <c r="K120" s="1548"/>
      <c r="L120" s="1549"/>
      <c r="M120" s="1540"/>
      <c r="N120" s="1540"/>
      <c r="O120" s="1540"/>
      <c r="P120" s="1540"/>
      <c r="Q120" s="1540"/>
      <c r="R120" s="1540"/>
      <c r="S120" s="1540"/>
      <c r="T120" s="1540"/>
    </row>
    <row r="121" spans="1:20">
      <c r="A121" s="1540"/>
      <c r="B121" s="1540"/>
      <c r="C121" s="1540"/>
      <c r="D121" s="1540"/>
      <c r="E121" s="1540"/>
      <c r="F121" s="1540"/>
      <c r="G121" s="1540"/>
      <c r="H121" s="1540"/>
      <c r="I121" s="1540"/>
      <c r="J121" s="1540"/>
      <c r="K121" s="1548"/>
      <c r="L121" s="1549"/>
      <c r="M121" s="1540"/>
      <c r="N121" s="1540"/>
      <c r="O121" s="1540"/>
      <c r="P121" s="1540"/>
      <c r="Q121" s="1540"/>
      <c r="R121" s="1540"/>
      <c r="S121" s="1540"/>
      <c r="T121" s="1540"/>
    </row>
    <row r="122" spans="1:20">
      <c r="A122" s="1540"/>
      <c r="B122" s="1540"/>
      <c r="C122" s="1540"/>
      <c r="D122" s="1540"/>
      <c r="E122" s="1540"/>
      <c r="F122" s="1540"/>
      <c r="G122" s="1540"/>
      <c r="H122" s="1540"/>
      <c r="I122" s="1540"/>
      <c r="J122" s="1540"/>
      <c r="K122" s="1548"/>
      <c r="L122" s="1549"/>
      <c r="M122" s="1540"/>
      <c r="N122" s="1540"/>
      <c r="O122" s="1540"/>
      <c r="P122" s="1540"/>
      <c r="Q122" s="1540"/>
      <c r="R122" s="1540"/>
      <c r="S122" s="1540"/>
      <c r="T122" s="1540"/>
    </row>
    <row r="123" spans="1:20">
      <c r="A123" s="1540"/>
      <c r="B123" s="1540"/>
      <c r="C123" s="1540"/>
      <c r="D123" s="1540"/>
      <c r="E123" s="1540"/>
      <c r="F123" s="1540"/>
      <c r="G123" s="1540"/>
      <c r="H123" s="1540"/>
      <c r="I123" s="1540"/>
      <c r="J123" s="1540"/>
      <c r="K123" s="1548"/>
      <c r="L123" s="1549"/>
      <c r="M123" s="1540"/>
      <c r="N123" s="1540"/>
      <c r="O123" s="1540"/>
      <c r="P123" s="1540"/>
      <c r="Q123" s="1540"/>
      <c r="R123" s="1540"/>
      <c r="S123" s="1540"/>
      <c r="T123" s="1540"/>
    </row>
    <row r="124" spans="1:20">
      <c r="A124" s="1540"/>
      <c r="B124" s="1540"/>
      <c r="C124" s="1540"/>
      <c r="D124" s="1540"/>
      <c r="E124" s="1540"/>
      <c r="F124" s="1540"/>
      <c r="G124" s="1540"/>
      <c r="H124" s="1540"/>
      <c r="I124" s="1540"/>
      <c r="J124" s="1540"/>
      <c r="K124" s="1548"/>
      <c r="L124" s="1549"/>
      <c r="M124" s="1540"/>
      <c r="N124" s="1540"/>
      <c r="O124" s="1540"/>
      <c r="P124" s="1540"/>
      <c r="Q124" s="1540"/>
      <c r="R124" s="1540"/>
      <c r="S124" s="1540"/>
      <c r="T124" s="1540"/>
    </row>
    <row r="125" spans="1:20">
      <c r="A125" s="1540"/>
      <c r="B125" s="1540"/>
      <c r="C125" s="1540"/>
      <c r="D125" s="1540"/>
      <c r="E125" s="1540"/>
      <c r="F125" s="1540"/>
      <c r="G125" s="1540"/>
      <c r="H125" s="1540"/>
      <c r="I125" s="1540"/>
      <c r="J125" s="1540"/>
      <c r="K125" s="1548"/>
      <c r="L125" s="1549"/>
      <c r="M125" s="1540"/>
      <c r="N125" s="1540"/>
      <c r="O125" s="1540"/>
      <c r="P125" s="1540"/>
      <c r="Q125" s="1540"/>
      <c r="R125" s="1540"/>
      <c r="S125" s="1540"/>
      <c r="T125" s="1540"/>
    </row>
    <row r="126" spans="1:20">
      <c r="A126" s="1540"/>
      <c r="B126" s="1540"/>
      <c r="C126" s="1540"/>
      <c r="D126" s="1540"/>
      <c r="E126" s="1540"/>
      <c r="F126" s="1540"/>
      <c r="G126" s="1540"/>
      <c r="H126" s="1540"/>
      <c r="I126" s="1540"/>
      <c r="J126" s="1540"/>
      <c r="K126" s="1548"/>
      <c r="L126" s="1549"/>
      <c r="M126" s="1540"/>
      <c r="N126" s="1540"/>
      <c r="O126" s="1540"/>
      <c r="P126" s="1540"/>
      <c r="Q126" s="1540"/>
      <c r="R126" s="1540"/>
      <c r="S126" s="1540"/>
      <c r="T126" s="1540"/>
    </row>
    <row r="127" spans="1:20">
      <c r="A127" s="1540"/>
      <c r="B127" s="1540"/>
      <c r="C127" s="1540"/>
      <c r="D127" s="1540"/>
      <c r="E127" s="1540"/>
      <c r="F127" s="1540"/>
      <c r="G127" s="1540"/>
      <c r="H127" s="1540"/>
      <c r="I127" s="1540"/>
      <c r="J127" s="1540"/>
      <c r="K127" s="1548"/>
      <c r="L127" s="1549"/>
      <c r="M127" s="1540"/>
      <c r="N127" s="1540"/>
      <c r="O127" s="1540"/>
      <c r="P127" s="1540"/>
      <c r="Q127" s="1540"/>
      <c r="R127" s="1540"/>
      <c r="S127" s="1540"/>
      <c r="T127" s="1540"/>
    </row>
    <row r="128" spans="1:20">
      <c r="A128" s="1540"/>
      <c r="B128" s="1540"/>
      <c r="C128" s="1540"/>
      <c r="D128" s="1540"/>
      <c r="E128" s="1540"/>
      <c r="F128" s="1540"/>
      <c r="G128" s="1540"/>
      <c r="H128" s="1540"/>
      <c r="I128" s="1540"/>
      <c r="J128" s="1540"/>
      <c r="K128" s="1548"/>
      <c r="L128" s="1549"/>
      <c r="M128" s="1540"/>
      <c r="N128" s="1540"/>
      <c r="O128" s="1540"/>
      <c r="P128" s="1540"/>
      <c r="Q128" s="1540"/>
      <c r="R128" s="1540"/>
      <c r="S128" s="1540"/>
      <c r="T128" s="1540"/>
    </row>
    <row r="129" spans="1:20">
      <c r="A129" s="1540"/>
      <c r="B129" s="1540"/>
      <c r="C129" s="1540"/>
      <c r="D129" s="1540"/>
      <c r="E129" s="1540"/>
      <c r="F129" s="1540"/>
      <c r="G129" s="1540"/>
      <c r="H129" s="1540"/>
      <c r="I129" s="1540"/>
      <c r="J129" s="1540"/>
      <c r="K129" s="1548"/>
      <c r="L129" s="1549"/>
      <c r="M129" s="1540"/>
      <c r="N129" s="1540"/>
      <c r="O129" s="1540"/>
      <c r="P129" s="1540"/>
      <c r="Q129" s="1540"/>
      <c r="R129" s="1540"/>
      <c r="S129" s="1540"/>
      <c r="T129" s="1540"/>
    </row>
    <row r="130" spans="1:20">
      <c r="A130" s="1540"/>
      <c r="B130" s="1540"/>
      <c r="C130" s="1540"/>
      <c r="D130" s="1540"/>
      <c r="E130" s="1540"/>
      <c r="F130" s="1540"/>
      <c r="G130" s="1540"/>
      <c r="H130" s="1540"/>
      <c r="I130" s="1540"/>
      <c r="J130" s="1540"/>
      <c r="K130" s="1548"/>
      <c r="L130" s="1549"/>
      <c r="M130" s="1540"/>
      <c r="N130" s="1540"/>
      <c r="O130" s="1540"/>
      <c r="P130" s="1540"/>
      <c r="Q130" s="1540"/>
      <c r="R130" s="1540"/>
      <c r="S130" s="1540"/>
      <c r="T130" s="1540"/>
    </row>
    <row r="131" spans="1:20">
      <c r="A131" s="1540"/>
      <c r="B131" s="1540"/>
      <c r="C131" s="1540"/>
      <c r="D131" s="1540"/>
      <c r="E131" s="1540"/>
      <c r="F131" s="1540"/>
      <c r="G131" s="1540"/>
      <c r="H131" s="1540"/>
      <c r="I131" s="1540"/>
      <c r="J131" s="1540"/>
      <c r="K131" s="1548"/>
      <c r="L131" s="1549"/>
      <c r="M131" s="1540"/>
      <c r="N131" s="1540"/>
      <c r="O131" s="1540"/>
      <c r="P131" s="1540"/>
      <c r="Q131" s="1540"/>
      <c r="R131" s="1540"/>
      <c r="S131" s="1540"/>
      <c r="T131" s="1540"/>
    </row>
    <row r="132" spans="1:20">
      <c r="A132" s="1540"/>
      <c r="B132" s="1540"/>
      <c r="C132" s="1540"/>
      <c r="D132" s="1540"/>
      <c r="E132" s="1540"/>
      <c r="F132" s="1540"/>
      <c r="G132" s="1540"/>
      <c r="H132" s="1540"/>
      <c r="I132" s="1540"/>
      <c r="J132" s="1540"/>
      <c r="K132" s="1548"/>
      <c r="L132" s="1549"/>
      <c r="M132" s="1540"/>
      <c r="N132" s="1540"/>
      <c r="O132" s="1540"/>
      <c r="P132" s="1540"/>
      <c r="Q132" s="1540"/>
      <c r="R132" s="1540"/>
      <c r="S132" s="1540"/>
      <c r="T132" s="1540"/>
    </row>
    <row r="133" spans="1:20">
      <c r="A133" s="1540"/>
      <c r="B133" s="1540"/>
      <c r="C133" s="1540"/>
      <c r="D133" s="1540"/>
      <c r="E133" s="1540"/>
      <c r="F133" s="1540"/>
      <c r="G133" s="1540"/>
      <c r="H133" s="1540"/>
      <c r="I133" s="1540"/>
      <c r="J133" s="1540"/>
      <c r="K133" s="1548"/>
      <c r="L133" s="1549"/>
      <c r="M133" s="1540"/>
      <c r="N133" s="1540"/>
      <c r="O133" s="1540"/>
      <c r="P133" s="1540"/>
      <c r="Q133" s="1540"/>
      <c r="R133" s="1540"/>
      <c r="S133" s="1540"/>
      <c r="T133" s="1540"/>
    </row>
    <row r="134" spans="1:20">
      <c r="A134" s="1540"/>
      <c r="B134" s="1540"/>
      <c r="C134" s="1540"/>
      <c r="D134" s="1540"/>
      <c r="E134" s="1540"/>
      <c r="F134" s="1540"/>
      <c r="G134" s="1540"/>
      <c r="H134" s="1540"/>
      <c r="I134" s="1540"/>
      <c r="J134" s="1540"/>
      <c r="K134" s="1548"/>
      <c r="L134" s="1549"/>
      <c r="M134" s="1540"/>
      <c r="N134" s="1540"/>
      <c r="O134" s="1540"/>
      <c r="P134" s="1540"/>
      <c r="Q134" s="1540"/>
      <c r="R134" s="1540"/>
      <c r="S134" s="1540"/>
      <c r="T134" s="1540"/>
    </row>
    <row r="135" spans="1:20">
      <c r="A135" s="1540"/>
      <c r="B135" s="1540"/>
      <c r="C135" s="1540"/>
      <c r="D135" s="1540"/>
      <c r="E135" s="1540"/>
      <c r="F135" s="1540"/>
      <c r="G135" s="1540"/>
      <c r="H135" s="1540"/>
      <c r="I135" s="1540"/>
      <c r="J135" s="1540"/>
      <c r="K135" s="1548"/>
      <c r="L135" s="1549"/>
      <c r="M135" s="1540"/>
      <c r="N135" s="1540"/>
      <c r="O135" s="1540"/>
      <c r="P135" s="1540"/>
      <c r="Q135" s="1540"/>
      <c r="R135" s="1540"/>
      <c r="S135" s="1540"/>
      <c r="T135" s="1540"/>
    </row>
    <row r="136" spans="1:20">
      <c r="A136" s="1540"/>
      <c r="B136" s="1540"/>
      <c r="C136" s="1540"/>
      <c r="D136" s="1540"/>
      <c r="E136" s="1540"/>
      <c r="F136" s="1540"/>
      <c r="G136" s="1540"/>
      <c r="H136" s="1540"/>
      <c r="I136" s="1540"/>
      <c r="J136" s="1540"/>
      <c r="K136" s="1548"/>
      <c r="L136" s="1549"/>
      <c r="M136" s="1540"/>
      <c r="N136" s="1540"/>
      <c r="O136" s="1540"/>
      <c r="P136" s="1540"/>
      <c r="Q136" s="1540"/>
      <c r="R136" s="1540"/>
      <c r="S136" s="1540"/>
      <c r="T136" s="1540"/>
    </row>
    <row r="137" spans="1:20">
      <c r="A137" s="1540"/>
      <c r="B137" s="1540"/>
      <c r="C137" s="1540"/>
      <c r="D137" s="1540"/>
      <c r="E137" s="1540"/>
      <c r="F137" s="1540"/>
      <c r="G137" s="1540"/>
      <c r="H137" s="1540"/>
      <c r="I137" s="1540"/>
      <c r="J137" s="1540"/>
      <c r="K137" s="1548"/>
      <c r="L137" s="1549"/>
      <c r="M137" s="1540"/>
      <c r="N137" s="1540"/>
      <c r="O137" s="1540"/>
      <c r="P137" s="1540"/>
      <c r="Q137" s="1540"/>
      <c r="R137" s="1540"/>
      <c r="S137" s="1540"/>
      <c r="T137" s="1540"/>
    </row>
    <row r="138" spans="1:20">
      <c r="A138" s="1540"/>
      <c r="B138" s="1540"/>
      <c r="C138" s="1540"/>
      <c r="D138" s="1540"/>
      <c r="E138" s="1540"/>
      <c r="F138" s="1540"/>
      <c r="G138" s="1540"/>
      <c r="H138" s="1540"/>
      <c r="I138" s="1540"/>
      <c r="J138" s="1540"/>
      <c r="K138" s="1548"/>
      <c r="L138" s="1549"/>
      <c r="M138" s="1540"/>
      <c r="N138" s="1540"/>
      <c r="O138" s="1540"/>
      <c r="P138" s="1540"/>
      <c r="Q138" s="1540"/>
      <c r="R138" s="1540"/>
      <c r="S138" s="1540"/>
      <c r="T138" s="1540"/>
    </row>
    <row r="139" spans="1:20">
      <c r="A139" s="1540"/>
      <c r="B139" s="1540"/>
      <c r="C139" s="1540"/>
      <c r="D139" s="1540"/>
      <c r="E139" s="1540"/>
      <c r="F139" s="1540"/>
      <c r="G139" s="1540"/>
      <c r="H139" s="1540"/>
      <c r="I139" s="1540"/>
      <c r="J139" s="1540"/>
      <c r="K139" s="1548"/>
      <c r="L139" s="1549"/>
      <c r="M139" s="1540"/>
      <c r="N139" s="1540"/>
      <c r="O139" s="1540"/>
      <c r="P139" s="1540"/>
      <c r="Q139" s="1540"/>
      <c r="R139" s="1540"/>
      <c r="S139" s="1540"/>
      <c r="T139" s="1540"/>
    </row>
    <row r="140" spans="1:20">
      <c r="A140" s="1540"/>
      <c r="B140" s="1540"/>
      <c r="C140" s="1540"/>
      <c r="D140" s="1540"/>
      <c r="E140" s="1540"/>
      <c r="F140" s="1540"/>
      <c r="G140" s="1540"/>
      <c r="H140" s="1540"/>
      <c r="I140" s="1540"/>
      <c r="J140" s="1540"/>
      <c r="K140" s="1548"/>
      <c r="L140" s="1549"/>
      <c r="M140" s="1540"/>
      <c r="N140" s="1540"/>
      <c r="O140" s="1540"/>
      <c r="P140" s="1540"/>
      <c r="Q140" s="1540"/>
      <c r="R140" s="1540"/>
      <c r="S140" s="1540"/>
      <c r="T140" s="1540"/>
    </row>
    <row r="141" spans="1:20">
      <c r="A141" s="1540"/>
      <c r="B141" s="1540"/>
      <c r="C141" s="1540"/>
      <c r="D141" s="1540"/>
      <c r="E141" s="1540"/>
      <c r="F141" s="1540"/>
      <c r="G141" s="1540"/>
      <c r="H141" s="1540"/>
      <c r="I141" s="1540"/>
      <c r="J141" s="1540"/>
      <c r="K141" s="1548"/>
      <c r="L141" s="1549"/>
      <c r="M141" s="1540"/>
      <c r="N141" s="1540"/>
      <c r="O141" s="1540"/>
      <c r="P141" s="1540"/>
      <c r="Q141" s="1540"/>
      <c r="R141" s="1540"/>
      <c r="S141" s="1540"/>
      <c r="T141" s="1540"/>
    </row>
    <row r="142" spans="1:20">
      <c r="A142" s="1540"/>
      <c r="B142" s="1540"/>
      <c r="C142" s="1540"/>
      <c r="D142" s="1540"/>
      <c r="E142" s="1540"/>
      <c r="F142" s="1540"/>
      <c r="G142" s="1540"/>
      <c r="H142" s="1540"/>
      <c r="I142" s="1540"/>
      <c r="J142" s="1540"/>
      <c r="K142" s="1548"/>
      <c r="L142" s="1549"/>
      <c r="M142" s="1540"/>
      <c r="N142" s="1540"/>
      <c r="O142" s="1540"/>
      <c r="P142" s="1540"/>
      <c r="Q142" s="1540"/>
      <c r="R142" s="1540"/>
      <c r="S142" s="1540"/>
      <c r="T142" s="1540"/>
    </row>
    <row r="143" spans="1:20">
      <c r="A143" s="1540"/>
      <c r="B143" s="1540"/>
      <c r="C143" s="1540"/>
      <c r="D143" s="1540"/>
      <c r="E143" s="1540"/>
      <c r="F143" s="1540"/>
      <c r="G143" s="1540"/>
      <c r="H143" s="1540"/>
      <c r="I143" s="1540"/>
      <c r="J143" s="1540"/>
      <c r="K143" s="1548"/>
      <c r="L143" s="1549"/>
      <c r="M143" s="1540"/>
      <c r="N143" s="1540"/>
      <c r="O143" s="1540"/>
      <c r="P143" s="1540"/>
      <c r="Q143" s="1540"/>
      <c r="R143" s="1540"/>
      <c r="S143" s="1540"/>
      <c r="T143" s="1540"/>
    </row>
    <row r="144" spans="1:20">
      <c r="A144" s="1540"/>
      <c r="B144" s="1540"/>
      <c r="C144" s="1540"/>
      <c r="D144" s="1540"/>
      <c r="E144" s="1540"/>
      <c r="F144" s="1540"/>
      <c r="G144" s="1540"/>
      <c r="H144" s="1540"/>
      <c r="I144" s="1540"/>
      <c r="J144" s="1540"/>
      <c r="K144" s="1548"/>
      <c r="L144" s="1549"/>
      <c r="M144" s="1540"/>
      <c r="N144" s="1540"/>
      <c r="O144" s="1540"/>
      <c r="P144" s="1540"/>
      <c r="Q144" s="1540"/>
      <c r="R144" s="1540"/>
      <c r="S144" s="1540"/>
      <c r="T144" s="1540"/>
    </row>
    <row r="145" spans="1:20">
      <c r="A145" s="1540"/>
      <c r="B145" s="1540"/>
      <c r="C145" s="1540"/>
      <c r="D145" s="1540"/>
      <c r="E145" s="1540"/>
      <c r="F145" s="1540"/>
      <c r="G145" s="1540"/>
      <c r="H145" s="1540"/>
      <c r="I145" s="1540"/>
      <c r="J145" s="1540"/>
      <c r="K145" s="1548"/>
      <c r="L145" s="1549"/>
      <c r="M145" s="1540"/>
      <c r="N145" s="1540"/>
      <c r="O145" s="1540"/>
      <c r="P145" s="1540"/>
      <c r="Q145" s="1540"/>
      <c r="R145" s="1540"/>
      <c r="S145" s="1540"/>
      <c r="T145" s="1540"/>
    </row>
    <row r="146" spans="1:20">
      <c r="A146" s="1540"/>
      <c r="B146" s="1540"/>
      <c r="C146" s="1540"/>
      <c r="D146" s="1540"/>
      <c r="E146" s="1540"/>
      <c r="F146" s="1540"/>
      <c r="G146" s="1540"/>
      <c r="H146" s="1540"/>
      <c r="I146" s="1540"/>
      <c r="J146" s="1540"/>
      <c r="K146" s="1548"/>
      <c r="L146" s="1549"/>
      <c r="M146" s="1540"/>
      <c r="N146" s="1540"/>
      <c r="O146" s="1540"/>
      <c r="P146" s="1540"/>
      <c r="Q146" s="1540"/>
      <c r="R146" s="1540"/>
      <c r="S146" s="1540"/>
      <c r="T146" s="1540"/>
    </row>
    <row r="147" spans="1:20">
      <c r="A147" s="1540"/>
      <c r="B147" s="1540"/>
      <c r="C147" s="1540"/>
      <c r="D147" s="1540"/>
      <c r="E147" s="1540"/>
      <c r="F147" s="1540"/>
      <c r="G147" s="1540"/>
      <c r="H147" s="1540"/>
      <c r="I147" s="1540"/>
      <c r="J147" s="1540"/>
      <c r="K147" s="1548"/>
      <c r="L147" s="1549"/>
      <c r="M147" s="1540"/>
      <c r="N147" s="1540"/>
      <c r="O147" s="1540"/>
      <c r="P147" s="1540"/>
      <c r="Q147" s="1540"/>
      <c r="R147" s="1540"/>
      <c r="S147" s="1540"/>
      <c r="T147" s="1540"/>
    </row>
    <row r="148" spans="1:20">
      <c r="A148" s="1540"/>
      <c r="B148" s="1540"/>
      <c r="C148" s="1540"/>
      <c r="D148" s="1540"/>
      <c r="E148" s="1540"/>
      <c r="F148" s="1540"/>
      <c r="G148" s="1540"/>
      <c r="H148" s="1540"/>
      <c r="I148" s="1540"/>
      <c r="J148" s="1540"/>
      <c r="K148" s="1548"/>
      <c r="L148" s="1549"/>
      <c r="M148" s="1540"/>
      <c r="N148" s="1540"/>
      <c r="O148" s="1540"/>
      <c r="P148" s="1540"/>
      <c r="Q148" s="1540"/>
      <c r="R148" s="1540"/>
      <c r="S148" s="1540"/>
      <c r="T148" s="1540"/>
    </row>
    <row r="149" spans="1:20">
      <c r="A149" s="1540"/>
      <c r="B149" s="1540"/>
      <c r="C149" s="1540"/>
      <c r="D149" s="1540"/>
      <c r="E149" s="1540"/>
      <c r="F149" s="1540"/>
      <c r="G149" s="1540"/>
      <c r="H149" s="1540"/>
      <c r="I149" s="1540"/>
      <c r="J149" s="1540"/>
      <c r="K149" s="1548"/>
      <c r="L149" s="1549"/>
      <c r="M149" s="1540"/>
      <c r="N149" s="1540"/>
      <c r="O149" s="1540"/>
      <c r="P149" s="1540"/>
      <c r="Q149" s="1540"/>
      <c r="R149" s="1540"/>
      <c r="S149" s="1540"/>
      <c r="T149" s="1540"/>
    </row>
    <row r="150" spans="1:20">
      <c r="A150" s="1540"/>
      <c r="B150" s="1540"/>
      <c r="C150" s="1540"/>
      <c r="D150" s="1540"/>
      <c r="E150" s="1540"/>
      <c r="F150" s="1540"/>
      <c r="G150" s="1540"/>
      <c r="H150" s="1540"/>
      <c r="I150" s="1540"/>
      <c r="J150" s="1540"/>
      <c r="K150" s="1548"/>
      <c r="L150" s="1549"/>
      <c r="M150" s="1540"/>
      <c r="N150" s="1540"/>
      <c r="O150" s="1540"/>
      <c r="P150" s="1540"/>
      <c r="Q150" s="1540"/>
      <c r="R150" s="1540"/>
      <c r="S150" s="1540"/>
      <c r="T150" s="1540"/>
    </row>
    <row r="151" spans="1:20">
      <c r="A151" s="1540"/>
      <c r="B151" s="1540"/>
      <c r="C151" s="1540"/>
      <c r="D151" s="1540"/>
      <c r="E151" s="1540"/>
      <c r="F151" s="1540"/>
      <c r="G151" s="1540"/>
      <c r="H151" s="1540"/>
      <c r="I151" s="1540"/>
      <c r="J151" s="1540"/>
      <c r="K151" s="1548"/>
      <c r="L151" s="1549"/>
      <c r="M151" s="1540"/>
      <c r="N151" s="1540"/>
      <c r="O151" s="1540"/>
      <c r="P151" s="1540"/>
      <c r="Q151" s="1540"/>
      <c r="R151" s="1540"/>
      <c r="S151" s="1540"/>
      <c r="T151" s="1540"/>
    </row>
    <row r="152" spans="1:20">
      <c r="A152" s="1540"/>
      <c r="B152" s="1540"/>
      <c r="C152" s="1540"/>
      <c r="D152" s="1540"/>
      <c r="E152" s="1540"/>
      <c r="F152" s="1540"/>
      <c r="G152" s="1540"/>
      <c r="H152" s="1540"/>
      <c r="I152" s="1540"/>
      <c r="J152" s="1540"/>
      <c r="K152" s="1548"/>
      <c r="L152" s="1549"/>
      <c r="M152" s="1540"/>
      <c r="N152" s="1540"/>
      <c r="O152" s="1540"/>
      <c r="P152" s="1540"/>
      <c r="Q152" s="1540"/>
      <c r="R152" s="1540"/>
      <c r="S152" s="1540"/>
      <c r="T152" s="1540"/>
    </row>
    <row r="153" spans="1:20">
      <c r="A153" s="1540"/>
      <c r="B153" s="1540"/>
      <c r="C153" s="1540"/>
      <c r="D153" s="1540"/>
      <c r="E153" s="1540"/>
      <c r="F153" s="1540"/>
      <c r="G153" s="1540"/>
      <c r="H153" s="1540"/>
      <c r="I153" s="1540"/>
      <c r="J153" s="1540"/>
      <c r="K153" s="1548"/>
      <c r="L153" s="1549"/>
      <c r="M153" s="1540"/>
      <c r="N153" s="1540"/>
      <c r="O153" s="1540"/>
      <c r="P153" s="1540"/>
      <c r="Q153" s="1540"/>
      <c r="R153" s="1540"/>
      <c r="S153" s="1540"/>
      <c r="T153" s="1540"/>
    </row>
    <row r="154" spans="1:20">
      <c r="A154" s="1540"/>
      <c r="B154" s="1540"/>
      <c r="C154" s="1540"/>
      <c r="D154" s="1540"/>
      <c r="E154" s="1540"/>
      <c r="F154" s="1540"/>
      <c r="G154" s="1540"/>
      <c r="H154" s="1540"/>
      <c r="I154" s="1540"/>
      <c r="J154" s="1540"/>
      <c r="K154" s="1548"/>
      <c r="L154" s="1549"/>
      <c r="M154" s="1540"/>
      <c r="N154" s="1540"/>
      <c r="O154" s="1540"/>
      <c r="P154" s="1540"/>
      <c r="Q154" s="1540"/>
      <c r="R154" s="1540"/>
      <c r="S154" s="1540"/>
      <c r="T154" s="1540"/>
    </row>
    <row r="155" spans="1:20">
      <c r="A155" s="1540"/>
      <c r="B155" s="1540"/>
      <c r="C155" s="1540"/>
      <c r="D155" s="1540"/>
      <c r="E155" s="1540"/>
      <c r="F155" s="1540"/>
      <c r="G155" s="1540"/>
      <c r="H155" s="1540"/>
      <c r="I155" s="1540"/>
      <c r="J155" s="1540"/>
      <c r="K155" s="1548"/>
      <c r="L155" s="1549"/>
      <c r="M155" s="1540"/>
      <c r="N155" s="1540"/>
      <c r="O155" s="1540"/>
      <c r="P155" s="1540"/>
      <c r="Q155" s="1540"/>
      <c r="R155" s="1540"/>
      <c r="S155" s="1540"/>
      <c r="T155" s="1540"/>
    </row>
    <row r="156" spans="1:20">
      <c r="A156" s="1540"/>
      <c r="B156" s="1540"/>
      <c r="C156" s="1540"/>
      <c r="D156" s="1540"/>
      <c r="E156" s="1540"/>
      <c r="F156" s="1540"/>
      <c r="G156" s="1540"/>
      <c r="H156" s="1540"/>
      <c r="I156" s="1540"/>
      <c r="J156" s="1540"/>
      <c r="K156" s="1548"/>
      <c r="L156" s="1549"/>
      <c r="M156" s="1540"/>
      <c r="N156" s="1540"/>
      <c r="O156" s="1540"/>
      <c r="P156" s="1540"/>
      <c r="Q156" s="1540"/>
      <c r="R156" s="1540"/>
      <c r="S156" s="1540"/>
      <c r="T156" s="1540"/>
    </row>
    <row r="157" spans="1:20">
      <c r="A157" s="1540"/>
      <c r="B157" s="1540"/>
      <c r="C157" s="1540"/>
      <c r="D157" s="1540"/>
      <c r="E157" s="1540"/>
      <c r="F157" s="1540"/>
      <c r="G157" s="1540"/>
      <c r="H157" s="1540"/>
      <c r="I157" s="1540"/>
      <c r="J157" s="1540"/>
      <c r="K157" s="1548"/>
      <c r="L157" s="1549"/>
      <c r="M157" s="1540"/>
      <c r="N157" s="1540"/>
      <c r="O157" s="1540"/>
      <c r="P157" s="1540"/>
      <c r="Q157" s="1540"/>
      <c r="R157" s="1540"/>
      <c r="S157" s="1540"/>
      <c r="T157" s="1540"/>
    </row>
    <row r="158" spans="1:20">
      <c r="A158" s="1540"/>
      <c r="B158" s="1540"/>
      <c r="C158" s="1540"/>
      <c r="D158" s="1540"/>
      <c r="E158" s="1540"/>
      <c r="F158" s="1540"/>
      <c r="G158" s="1540"/>
      <c r="H158" s="1540"/>
      <c r="I158" s="1540"/>
      <c r="J158" s="1540"/>
      <c r="K158" s="1548"/>
      <c r="L158" s="1549"/>
      <c r="M158" s="1540"/>
      <c r="N158" s="1540"/>
      <c r="O158" s="1540"/>
      <c r="P158" s="1540"/>
      <c r="Q158" s="1540"/>
      <c r="R158" s="1540"/>
      <c r="S158" s="1540"/>
      <c r="T158" s="1540"/>
    </row>
    <row r="159" spans="1:20">
      <c r="A159" s="1540"/>
      <c r="B159" s="1540"/>
      <c r="C159" s="1540"/>
      <c r="D159" s="1540"/>
      <c r="E159" s="1540"/>
      <c r="F159" s="1540"/>
      <c r="G159" s="1540"/>
      <c r="H159" s="1540"/>
      <c r="I159" s="1540"/>
      <c r="J159" s="1540"/>
      <c r="K159" s="1548"/>
      <c r="L159" s="1549"/>
      <c r="M159" s="1540"/>
      <c r="N159" s="1540"/>
      <c r="O159" s="1540"/>
      <c r="P159" s="1540"/>
      <c r="Q159" s="1540"/>
      <c r="R159" s="1540"/>
      <c r="S159" s="1540"/>
      <c r="T159" s="1540"/>
    </row>
    <row r="160" spans="1:20">
      <c r="A160" s="1540"/>
      <c r="B160" s="1540"/>
      <c r="C160" s="1540"/>
      <c r="D160" s="1540"/>
      <c r="E160" s="1540"/>
      <c r="F160" s="1540"/>
      <c r="G160" s="1540"/>
      <c r="H160" s="1540"/>
      <c r="I160" s="1540"/>
      <c r="J160" s="1540"/>
      <c r="K160" s="1548"/>
      <c r="L160" s="1549"/>
      <c r="M160" s="1540"/>
      <c r="N160" s="1540"/>
      <c r="O160" s="1540"/>
      <c r="P160" s="1540"/>
      <c r="Q160" s="1540"/>
      <c r="R160" s="1540"/>
      <c r="S160" s="1540"/>
      <c r="T160" s="1540"/>
    </row>
    <row r="161" spans="1:20">
      <c r="A161" s="1540"/>
      <c r="B161" s="1540"/>
      <c r="C161" s="1540"/>
      <c r="D161" s="1540"/>
      <c r="E161" s="1540"/>
      <c r="F161" s="1540"/>
      <c r="G161" s="1540"/>
      <c r="H161" s="1540"/>
      <c r="I161" s="1540"/>
      <c r="J161" s="1540"/>
      <c r="K161" s="1548"/>
      <c r="L161" s="1549"/>
      <c r="M161" s="1540"/>
      <c r="N161" s="1540"/>
      <c r="O161" s="1540"/>
      <c r="P161" s="1540"/>
      <c r="Q161" s="1540"/>
      <c r="R161" s="1540"/>
      <c r="S161" s="1540"/>
      <c r="T161" s="1540"/>
    </row>
    <row r="162" spans="1:20">
      <c r="A162" s="1540"/>
      <c r="B162" s="1540"/>
      <c r="C162" s="1540"/>
      <c r="D162" s="1540"/>
      <c r="E162" s="1540"/>
      <c r="F162" s="1540"/>
      <c r="G162" s="1540"/>
      <c r="H162" s="1540"/>
      <c r="I162" s="1540"/>
      <c r="J162" s="1540"/>
      <c r="K162" s="1548"/>
      <c r="L162" s="1549"/>
      <c r="M162" s="1540"/>
      <c r="N162" s="1540"/>
      <c r="O162" s="1540"/>
      <c r="P162" s="1540"/>
      <c r="Q162" s="1540"/>
      <c r="R162" s="1540"/>
      <c r="S162" s="1540"/>
      <c r="T162" s="1540"/>
    </row>
    <row r="163" spans="1:20">
      <c r="A163" s="1540"/>
      <c r="B163" s="1540"/>
      <c r="C163" s="1540"/>
      <c r="D163" s="1540"/>
      <c r="E163" s="1540"/>
      <c r="F163" s="1540"/>
      <c r="G163" s="1540"/>
      <c r="H163" s="1540"/>
      <c r="I163" s="1540"/>
      <c r="J163" s="1540"/>
      <c r="K163" s="1548"/>
      <c r="L163" s="1549"/>
      <c r="M163" s="1540"/>
      <c r="N163" s="1540"/>
      <c r="O163" s="1540"/>
      <c r="P163" s="1540"/>
      <c r="Q163" s="1540"/>
      <c r="R163" s="1540"/>
      <c r="S163" s="1540"/>
      <c r="T163" s="1540"/>
    </row>
    <row r="164" spans="1:20">
      <c r="A164" s="1540"/>
      <c r="B164" s="1540"/>
      <c r="C164" s="1540"/>
      <c r="D164" s="1540"/>
      <c r="E164" s="1540"/>
      <c r="F164" s="1540"/>
      <c r="G164" s="1540"/>
      <c r="H164" s="1540"/>
      <c r="I164" s="1540"/>
      <c r="J164" s="1540"/>
      <c r="K164" s="1548"/>
      <c r="L164" s="1549"/>
      <c r="M164" s="1540"/>
      <c r="N164" s="1540"/>
      <c r="O164" s="1540"/>
      <c r="P164" s="1540"/>
      <c r="Q164" s="1540"/>
      <c r="R164" s="1540"/>
      <c r="S164" s="1540"/>
      <c r="T164" s="1540"/>
    </row>
    <row r="165" spans="1:20">
      <c r="A165" s="1540"/>
      <c r="B165" s="1540"/>
      <c r="C165" s="1540"/>
      <c r="D165" s="1540"/>
      <c r="E165" s="1540"/>
      <c r="F165" s="1540"/>
      <c r="G165" s="1540"/>
      <c r="H165" s="1540"/>
      <c r="I165" s="1540"/>
      <c r="J165" s="1540"/>
      <c r="K165" s="1548"/>
      <c r="L165" s="1549"/>
      <c r="M165" s="1540"/>
      <c r="N165" s="1540"/>
      <c r="O165" s="1540"/>
      <c r="P165" s="1540"/>
      <c r="Q165" s="1540"/>
      <c r="R165" s="1540"/>
      <c r="S165" s="1540"/>
      <c r="T165" s="1540"/>
    </row>
    <row r="166" spans="1:20">
      <c r="A166" s="1540"/>
      <c r="B166" s="1540"/>
      <c r="C166" s="1540"/>
      <c r="D166" s="1540"/>
      <c r="E166" s="1540"/>
      <c r="F166" s="1540"/>
      <c r="G166" s="1540"/>
      <c r="H166" s="1540"/>
      <c r="I166" s="1540"/>
      <c r="J166" s="1540"/>
      <c r="K166" s="1548"/>
      <c r="L166" s="1549"/>
      <c r="M166" s="1540"/>
      <c r="N166" s="1540"/>
      <c r="O166" s="1540"/>
      <c r="P166" s="1540"/>
      <c r="Q166" s="1540"/>
      <c r="R166" s="1540"/>
      <c r="S166" s="1540"/>
      <c r="T166" s="1540"/>
    </row>
    <row r="167" spans="1:20">
      <c r="A167" s="1540"/>
      <c r="B167" s="1540"/>
      <c r="C167" s="1540"/>
      <c r="D167" s="1540"/>
      <c r="E167" s="1540"/>
      <c r="F167" s="1540"/>
      <c r="G167" s="1540"/>
      <c r="H167" s="1540"/>
      <c r="I167" s="1540"/>
      <c r="J167" s="1540"/>
      <c r="K167" s="1548"/>
      <c r="L167" s="1549"/>
      <c r="M167" s="1540"/>
      <c r="N167" s="1540"/>
      <c r="O167" s="1540"/>
      <c r="P167" s="1540"/>
      <c r="Q167" s="1540"/>
      <c r="R167" s="1540"/>
      <c r="S167" s="1540"/>
      <c r="T167" s="1540"/>
    </row>
    <row r="168" spans="1:20">
      <c r="A168" s="1540"/>
      <c r="B168" s="1540"/>
      <c r="C168" s="1540"/>
      <c r="D168" s="1540"/>
      <c r="E168" s="1540"/>
      <c r="F168" s="1540"/>
      <c r="G168" s="1540"/>
      <c r="H168" s="1540"/>
      <c r="I168" s="1540"/>
      <c r="J168" s="1540"/>
      <c r="K168" s="1548"/>
      <c r="L168" s="1549"/>
      <c r="M168" s="1540"/>
      <c r="N168" s="1540"/>
      <c r="O168" s="1540"/>
      <c r="P168" s="1540"/>
      <c r="Q168" s="1540"/>
      <c r="R168" s="1540"/>
      <c r="S168" s="1540"/>
      <c r="T168" s="1540"/>
    </row>
    <row r="169" spans="1:20">
      <c r="A169" s="1540"/>
      <c r="B169" s="1540"/>
      <c r="C169" s="1540"/>
      <c r="D169" s="1540"/>
      <c r="E169" s="1540"/>
      <c r="F169" s="1540"/>
      <c r="G169" s="1540"/>
      <c r="H169" s="1540"/>
      <c r="I169" s="1540"/>
      <c r="J169" s="1540"/>
      <c r="K169" s="1548"/>
      <c r="L169" s="1549"/>
      <c r="M169" s="1540"/>
      <c r="N169" s="1540"/>
      <c r="O169" s="1540"/>
      <c r="P169" s="1540"/>
      <c r="Q169" s="1540"/>
      <c r="R169" s="1540"/>
      <c r="S169" s="1540"/>
      <c r="T169" s="1540"/>
    </row>
    <row r="170" spans="1:20">
      <c r="A170" s="1540"/>
      <c r="B170" s="1540"/>
      <c r="C170" s="1540"/>
      <c r="D170" s="1540"/>
      <c r="E170" s="1540"/>
      <c r="F170" s="1540"/>
      <c r="G170" s="1540"/>
      <c r="H170" s="1540"/>
      <c r="I170" s="1540"/>
      <c r="J170" s="1540"/>
      <c r="K170" s="1548"/>
      <c r="L170" s="1549"/>
      <c r="M170" s="1540"/>
      <c r="N170" s="1540"/>
      <c r="O170" s="1540"/>
      <c r="P170" s="1540"/>
      <c r="Q170" s="1540"/>
      <c r="R170" s="1540"/>
      <c r="S170" s="1540"/>
      <c r="T170" s="1540"/>
    </row>
    <row r="171" spans="1:20">
      <c r="A171" s="1540"/>
      <c r="B171" s="1540"/>
      <c r="C171" s="1540"/>
      <c r="D171" s="1540"/>
      <c r="E171" s="1540"/>
      <c r="F171" s="1540"/>
      <c r="G171" s="1540"/>
      <c r="H171" s="1540"/>
      <c r="I171" s="1540"/>
      <c r="J171" s="1540"/>
      <c r="K171" s="1548"/>
      <c r="L171" s="1549"/>
      <c r="M171" s="1540"/>
      <c r="N171" s="1540"/>
      <c r="O171" s="1540"/>
      <c r="P171" s="1540"/>
      <c r="Q171" s="1540"/>
      <c r="R171" s="1540"/>
      <c r="S171" s="1540"/>
      <c r="T171" s="1540"/>
    </row>
    <row r="172" spans="1:20">
      <c r="A172" s="1540"/>
      <c r="B172" s="1540"/>
      <c r="C172" s="1540"/>
      <c r="D172" s="1540"/>
      <c r="E172" s="1540"/>
      <c r="F172" s="1540"/>
      <c r="G172" s="1540"/>
      <c r="H172" s="1540"/>
      <c r="I172" s="1540"/>
      <c r="J172" s="1540"/>
      <c r="K172" s="1548"/>
      <c r="L172" s="1549"/>
      <c r="M172" s="1540"/>
      <c r="N172" s="1540"/>
      <c r="O172" s="1540"/>
      <c r="P172" s="1540"/>
      <c r="Q172" s="1540"/>
      <c r="R172" s="1540"/>
      <c r="S172" s="1540"/>
      <c r="T172" s="1540"/>
    </row>
    <row r="173" spans="1:20">
      <c r="A173" s="1540"/>
      <c r="B173" s="1540"/>
      <c r="C173" s="1540"/>
      <c r="D173" s="1540"/>
      <c r="E173" s="1540"/>
      <c r="F173" s="1540"/>
      <c r="G173" s="1540"/>
      <c r="H173" s="1540"/>
      <c r="I173" s="1540"/>
      <c r="J173" s="1540"/>
      <c r="K173" s="1548"/>
      <c r="L173" s="1549"/>
      <c r="M173" s="1540"/>
      <c r="N173" s="1540"/>
      <c r="O173" s="1540"/>
      <c r="P173" s="1540"/>
      <c r="Q173" s="1540"/>
      <c r="R173" s="1540"/>
      <c r="S173" s="1540"/>
      <c r="T173" s="1540"/>
    </row>
    <row r="174" spans="1:20">
      <c r="A174" s="1540"/>
      <c r="B174" s="1540"/>
      <c r="C174" s="1540"/>
      <c r="D174" s="1540"/>
      <c r="E174" s="1540"/>
      <c r="F174" s="1540"/>
      <c r="G174" s="1540"/>
      <c r="H174" s="1540"/>
      <c r="I174" s="1540"/>
      <c r="J174" s="1540"/>
      <c r="K174" s="1548"/>
      <c r="L174" s="1549"/>
      <c r="M174" s="1540"/>
      <c r="N174" s="1540"/>
      <c r="O174" s="1540"/>
      <c r="P174" s="1540"/>
      <c r="Q174" s="1540"/>
      <c r="R174" s="1540"/>
      <c r="S174" s="1540"/>
      <c r="T174" s="1540"/>
    </row>
    <row r="175" spans="1:20">
      <c r="A175" s="1540"/>
      <c r="B175" s="1540"/>
      <c r="C175" s="1540"/>
      <c r="D175" s="1540"/>
      <c r="E175" s="1540"/>
      <c r="F175" s="1540"/>
      <c r="G175" s="1540"/>
      <c r="H175" s="1540"/>
      <c r="I175" s="1540"/>
      <c r="J175" s="1540"/>
      <c r="K175" s="1548"/>
      <c r="L175" s="1549"/>
      <c r="M175" s="1540"/>
      <c r="N175" s="1540"/>
      <c r="O175" s="1540"/>
      <c r="P175" s="1540"/>
      <c r="Q175" s="1540"/>
      <c r="R175" s="1540"/>
      <c r="S175" s="1540"/>
      <c r="T175" s="1540"/>
    </row>
    <row r="176" spans="1:20">
      <c r="A176" s="1540"/>
      <c r="B176" s="1540"/>
      <c r="C176" s="1540"/>
      <c r="D176" s="1540"/>
      <c r="E176" s="1540"/>
      <c r="F176" s="1540"/>
      <c r="G176" s="1540"/>
      <c r="H176" s="1540"/>
      <c r="I176" s="1540"/>
      <c r="J176" s="1540"/>
      <c r="K176" s="1548"/>
      <c r="L176" s="1549"/>
      <c r="M176" s="1540"/>
      <c r="N176" s="1540"/>
      <c r="O176" s="1540"/>
      <c r="P176" s="1540"/>
      <c r="Q176" s="1540"/>
      <c r="R176" s="1540"/>
      <c r="S176" s="1540"/>
      <c r="T176" s="1540"/>
    </row>
    <row r="177" spans="1:20">
      <c r="A177" s="1540"/>
      <c r="B177" s="1540"/>
      <c r="C177" s="1540"/>
      <c r="D177" s="1540"/>
      <c r="E177" s="1540"/>
      <c r="F177" s="1540"/>
      <c r="G177" s="1540"/>
      <c r="H177" s="1540"/>
      <c r="I177" s="1540"/>
      <c r="J177" s="1540"/>
      <c r="K177" s="1548"/>
      <c r="L177" s="1549"/>
      <c r="M177" s="1540"/>
      <c r="N177" s="1540"/>
      <c r="O177" s="1540"/>
      <c r="P177" s="1540"/>
      <c r="Q177" s="1540"/>
      <c r="R177" s="1540"/>
      <c r="S177" s="1540"/>
      <c r="T177" s="1540"/>
    </row>
    <row r="178" spans="1:20">
      <c r="A178" s="1540"/>
      <c r="B178" s="1540"/>
      <c r="C178" s="1540"/>
      <c r="D178" s="1540"/>
      <c r="E178" s="1540"/>
      <c r="F178" s="1540"/>
      <c r="G178" s="1540"/>
      <c r="H178" s="1540"/>
      <c r="I178" s="1540"/>
      <c r="J178" s="1540"/>
      <c r="K178" s="1548"/>
      <c r="L178" s="1549"/>
      <c r="M178" s="1540"/>
      <c r="N178" s="1540"/>
      <c r="O178" s="1540"/>
      <c r="P178" s="1540"/>
      <c r="Q178" s="1540"/>
      <c r="R178" s="1540"/>
      <c r="S178" s="1540"/>
      <c r="T178" s="1540"/>
    </row>
    <row r="179" spans="1:20">
      <c r="A179" s="1540"/>
      <c r="B179" s="1540"/>
      <c r="C179" s="1540"/>
      <c r="D179" s="1540"/>
      <c r="E179" s="1540"/>
      <c r="F179" s="1540"/>
      <c r="G179" s="1540"/>
      <c r="H179" s="1540"/>
      <c r="I179" s="1540"/>
      <c r="J179" s="1540"/>
      <c r="K179" s="1548"/>
      <c r="L179" s="1549"/>
      <c r="M179" s="1540"/>
      <c r="N179" s="1540"/>
      <c r="O179" s="1540"/>
      <c r="P179" s="1540"/>
      <c r="Q179" s="1540"/>
      <c r="R179" s="1540"/>
      <c r="S179" s="1540"/>
      <c r="T179" s="1540"/>
    </row>
    <row r="180" spans="1:20">
      <c r="A180" s="1540"/>
      <c r="B180" s="1540"/>
      <c r="C180" s="1540"/>
      <c r="D180" s="1540"/>
      <c r="E180" s="1540"/>
      <c r="F180" s="1540"/>
      <c r="G180" s="1540"/>
      <c r="H180" s="1540"/>
      <c r="I180" s="1540"/>
      <c r="J180" s="1540"/>
      <c r="K180" s="1548"/>
      <c r="L180" s="1549"/>
      <c r="M180" s="1540"/>
      <c r="N180" s="1540"/>
      <c r="O180" s="1540"/>
      <c r="P180" s="1540"/>
      <c r="Q180" s="1540"/>
      <c r="R180" s="1540"/>
      <c r="S180" s="1540"/>
      <c r="T180" s="1540"/>
    </row>
    <row r="181" spans="1:20">
      <c r="A181" s="1540"/>
      <c r="B181" s="1540"/>
      <c r="C181" s="1540"/>
      <c r="D181" s="1540"/>
      <c r="E181" s="1540"/>
      <c r="F181" s="1540"/>
      <c r="G181" s="1540"/>
      <c r="H181" s="1540"/>
      <c r="I181" s="1540"/>
      <c r="J181" s="1540"/>
      <c r="K181" s="1548"/>
      <c r="L181" s="1549"/>
      <c r="M181" s="1540"/>
      <c r="N181" s="1540"/>
      <c r="O181" s="1540"/>
      <c r="P181" s="1540"/>
      <c r="Q181" s="1540"/>
      <c r="R181" s="1540"/>
      <c r="S181" s="1540"/>
      <c r="T181" s="1540"/>
    </row>
    <row r="182" spans="1:20">
      <c r="A182" s="1540"/>
      <c r="B182" s="1540"/>
      <c r="C182" s="1540"/>
      <c r="D182" s="1540"/>
      <c r="E182" s="1540"/>
      <c r="F182" s="1540"/>
      <c r="G182" s="1540"/>
      <c r="H182" s="1540"/>
      <c r="I182" s="1540"/>
      <c r="J182" s="1540"/>
      <c r="K182" s="1548"/>
      <c r="L182" s="1549"/>
      <c r="M182" s="1540"/>
      <c r="N182" s="1540"/>
      <c r="O182" s="1540"/>
      <c r="P182" s="1540"/>
      <c r="Q182" s="1540"/>
      <c r="R182" s="1540"/>
      <c r="S182" s="1540"/>
      <c r="T182" s="1540"/>
    </row>
    <row r="183" spans="1:20">
      <c r="A183" s="1540"/>
      <c r="B183" s="1540"/>
      <c r="C183" s="1540"/>
      <c r="D183" s="1540"/>
      <c r="E183" s="1540"/>
      <c r="F183" s="1540"/>
      <c r="G183" s="1540"/>
      <c r="H183" s="1540"/>
      <c r="I183" s="1540"/>
      <c r="J183" s="1540"/>
      <c r="K183" s="1548"/>
      <c r="L183" s="1549"/>
      <c r="M183" s="1540"/>
      <c r="N183" s="1540"/>
      <c r="O183" s="1540"/>
      <c r="P183" s="1540"/>
      <c r="Q183" s="1540"/>
      <c r="R183" s="1540"/>
      <c r="S183" s="1540"/>
      <c r="T183" s="1540"/>
    </row>
    <row r="184" spans="1:20">
      <c r="A184" s="1540"/>
      <c r="B184" s="1540"/>
      <c r="C184" s="1540"/>
      <c r="D184" s="1540"/>
      <c r="E184" s="1540"/>
      <c r="F184" s="1540"/>
      <c r="G184" s="1540"/>
      <c r="H184" s="1540"/>
      <c r="I184" s="1540"/>
      <c r="J184" s="1540"/>
      <c r="K184" s="1548"/>
      <c r="L184" s="1549"/>
      <c r="M184" s="1540"/>
      <c r="N184" s="1540"/>
      <c r="O184" s="1540"/>
      <c r="P184" s="1540"/>
      <c r="Q184" s="1540"/>
      <c r="R184" s="1540"/>
      <c r="S184" s="1540"/>
      <c r="T184" s="1540"/>
    </row>
    <row r="185" spans="1:20">
      <c r="A185" s="1540"/>
      <c r="B185" s="1540"/>
      <c r="C185" s="1540"/>
      <c r="D185" s="1540"/>
      <c r="E185" s="1540"/>
      <c r="F185" s="1540"/>
      <c r="G185" s="1540"/>
      <c r="H185" s="1540"/>
      <c r="I185" s="1540"/>
      <c r="J185" s="1540"/>
      <c r="K185" s="1548"/>
      <c r="L185" s="1549"/>
      <c r="M185" s="1540"/>
      <c r="N185" s="1540"/>
      <c r="O185" s="1540"/>
      <c r="P185" s="1540"/>
      <c r="Q185" s="1540"/>
      <c r="R185" s="1540"/>
      <c r="S185" s="1540"/>
      <c r="T185" s="1540"/>
    </row>
    <row r="186" spans="1:20">
      <c r="A186" s="1540"/>
      <c r="B186" s="1540"/>
      <c r="C186" s="1540"/>
      <c r="D186" s="1540"/>
      <c r="E186" s="1540"/>
      <c r="F186" s="1540"/>
      <c r="G186" s="1540"/>
      <c r="H186" s="1540"/>
      <c r="I186" s="1540"/>
      <c r="J186" s="1540"/>
      <c r="K186" s="1548"/>
      <c r="L186" s="1549"/>
      <c r="M186" s="1540"/>
      <c r="N186" s="1540"/>
      <c r="O186" s="1540"/>
      <c r="P186" s="1540"/>
      <c r="Q186" s="1540"/>
      <c r="R186" s="1540"/>
      <c r="S186" s="1540"/>
      <c r="T186" s="1540"/>
    </row>
    <row r="187" spans="1:20">
      <c r="A187" s="1540"/>
      <c r="B187" s="1540"/>
      <c r="C187" s="1540"/>
      <c r="D187" s="1540"/>
      <c r="E187" s="1540"/>
      <c r="F187" s="1540"/>
      <c r="G187" s="1540"/>
      <c r="H187" s="1540"/>
      <c r="I187" s="1540"/>
      <c r="J187" s="1540"/>
      <c r="K187" s="1548"/>
      <c r="L187" s="1549"/>
      <c r="M187" s="1540"/>
      <c r="N187" s="1540"/>
      <c r="O187" s="1540"/>
      <c r="P187" s="1540"/>
      <c r="Q187" s="1540"/>
      <c r="R187" s="1540"/>
      <c r="S187" s="1540"/>
      <c r="T187" s="1540"/>
    </row>
    <row r="188" spans="1:20">
      <c r="A188" s="1540"/>
      <c r="B188" s="1540"/>
      <c r="C188" s="1540"/>
      <c r="D188" s="1540"/>
      <c r="E188" s="1540"/>
      <c r="F188" s="1540"/>
      <c r="G188" s="1540"/>
      <c r="H188" s="1540"/>
      <c r="I188" s="1540"/>
      <c r="J188" s="1540"/>
      <c r="K188" s="1548"/>
      <c r="L188" s="1549"/>
      <c r="M188" s="1540"/>
      <c r="N188" s="1540"/>
      <c r="O188" s="1540"/>
      <c r="P188" s="1540"/>
      <c r="Q188" s="1540"/>
      <c r="R188" s="1540"/>
      <c r="S188" s="1540"/>
      <c r="T188" s="1540"/>
    </row>
    <row r="189" spans="1:20">
      <c r="A189" s="1540"/>
      <c r="B189" s="1540"/>
      <c r="C189" s="1540"/>
      <c r="D189" s="1540"/>
      <c r="E189" s="1540"/>
      <c r="F189" s="1540"/>
      <c r="G189" s="1540"/>
      <c r="H189" s="1540"/>
      <c r="I189" s="1540"/>
      <c r="J189" s="1540"/>
      <c r="K189" s="1548"/>
      <c r="L189" s="1549"/>
      <c r="M189" s="1540"/>
      <c r="N189" s="1540"/>
      <c r="O189" s="1540"/>
      <c r="P189" s="1540"/>
      <c r="Q189" s="1540"/>
      <c r="R189" s="1540"/>
      <c r="S189" s="1540"/>
      <c r="T189" s="1540"/>
    </row>
    <row r="190" spans="1:20">
      <c r="A190" s="1540"/>
      <c r="B190" s="1540"/>
      <c r="C190" s="1540"/>
      <c r="D190" s="1540"/>
      <c r="E190" s="1540"/>
      <c r="F190" s="1540"/>
      <c r="G190" s="1540"/>
      <c r="H190" s="1540"/>
      <c r="I190" s="1540"/>
      <c r="J190" s="1540"/>
      <c r="K190" s="1548"/>
      <c r="L190" s="1549"/>
      <c r="M190" s="1540"/>
      <c r="N190" s="1540"/>
      <c r="O190" s="1540"/>
      <c r="P190" s="1540"/>
      <c r="Q190" s="1540"/>
      <c r="R190" s="1540"/>
      <c r="S190" s="1540"/>
      <c r="T190" s="1540"/>
    </row>
    <row r="191" spans="1:20">
      <c r="A191" s="1540"/>
      <c r="B191" s="1540"/>
      <c r="C191" s="1540"/>
      <c r="D191" s="1540"/>
      <c r="E191" s="1540"/>
      <c r="F191" s="1540"/>
      <c r="G191" s="1540"/>
      <c r="H191" s="1540"/>
      <c r="I191" s="1540"/>
      <c r="J191" s="1540"/>
      <c r="K191" s="1548"/>
      <c r="L191" s="1549"/>
      <c r="M191" s="1540"/>
      <c r="N191" s="1540"/>
      <c r="O191" s="1540"/>
      <c r="P191" s="1540"/>
      <c r="Q191" s="1540"/>
      <c r="R191" s="1540"/>
      <c r="S191" s="1540"/>
      <c r="T191" s="1540"/>
    </row>
    <row r="192" spans="1:20">
      <c r="A192" s="1540"/>
      <c r="B192" s="1540"/>
      <c r="C192" s="1540"/>
      <c r="D192" s="1540"/>
      <c r="E192" s="1540"/>
      <c r="F192" s="1540"/>
      <c r="G192" s="1540"/>
      <c r="H192" s="1540"/>
      <c r="I192" s="1540"/>
      <c r="J192" s="1540"/>
      <c r="K192" s="1548"/>
      <c r="L192" s="1549"/>
      <c r="M192" s="1540"/>
      <c r="N192" s="1540"/>
      <c r="O192" s="1540"/>
      <c r="P192" s="1540"/>
      <c r="Q192" s="1540"/>
      <c r="R192" s="1540"/>
      <c r="S192" s="1540"/>
      <c r="T192" s="1540"/>
    </row>
    <row r="193" spans="1:20">
      <c r="A193" s="1540"/>
      <c r="B193" s="1540"/>
      <c r="C193" s="1540"/>
      <c r="D193" s="1540"/>
      <c r="E193" s="1540"/>
      <c r="F193" s="1540"/>
      <c r="G193" s="1540"/>
      <c r="H193" s="1540"/>
      <c r="I193" s="1540"/>
      <c r="J193" s="1540"/>
      <c r="K193" s="1548"/>
      <c r="L193" s="1549"/>
      <c r="M193" s="1540"/>
      <c r="N193" s="1540"/>
      <c r="O193" s="1540"/>
      <c r="P193" s="1540"/>
      <c r="Q193" s="1540"/>
      <c r="R193" s="1540"/>
      <c r="S193" s="1540"/>
      <c r="T193" s="1540"/>
    </row>
    <row r="194" spans="1:20">
      <c r="A194" s="1540"/>
      <c r="B194" s="1540"/>
      <c r="C194" s="1540"/>
      <c r="D194" s="1540"/>
      <c r="E194" s="1540"/>
      <c r="F194" s="1540"/>
      <c r="G194" s="1540"/>
      <c r="H194" s="1540"/>
      <c r="I194" s="1540"/>
      <c r="J194" s="1540"/>
      <c r="K194" s="1548"/>
      <c r="L194" s="1549"/>
      <c r="M194" s="1540"/>
      <c r="N194" s="1540"/>
      <c r="O194" s="1540"/>
      <c r="P194" s="1540"/>
      <c r="Q194" s="1540"/>
      <c r="R194" s="1540"/>
      <c r="S194" s="1540"/>
      <c r="T194" s="1540"/>
    </row>
    <row r="195" spans="1:20">
      <c r="A195" s="1540"/>
      <c r="B195" s="1540"/>
      <c r="C195" s="1540"/>
      <c r="D195" s="1540"/>
      <c r="E195" s="1540"/>
      <c r="F195" s="1540"/>
      <c r="G195" s="1540"/>
      <c r="H195" s="1540"/>
      <c r="I195" s="1540"/>
      <c r="J195" s="1540"/>
      <c r="K195" s="1548"/>
      <c r="L195" s="1549"/>
      <c r="M195" s="1540"/>
      <c r="N195" s="1540"/>
      <c r="O195" s="1540"/>
      <c r="P195" s="1540"/>
      <c r="Q195" s="1540"/>
      <c r="R195" s="1540"/>
      <c r="S195" s="1540"/>
      <c r="T195" s="1540"/>
    </row>
    <row r="196" spans="1:20">
      <c r="A196" s="1540"/>
      <c r="B196" s="1540"/>
      <c r="C196" s="1540"/>
      <c r="D196" s="1540"/>
      <c r="E196" s="1540"/>
      <c r="F196" s="1540"/>
      <c r="G196" s="1540"/>
      <c r="H196" s="1540"/>
      <c r="I196" s="1540"/>
      <c r="J196" s="1540"/>
      <c r="K196" s="1548"/>
      <c r="L196" s="1549"/>
      <c r="M196" s="1540"/>
      <c r="N196" s="1540"/>
      <c r="O196" s="1540"/>
      <c r="P196" s="1540"/>
      <c r="Q196" s="1540"/>
      <c r="R196" s="1540"/>
      <c r="S196" s="1540"/>
      <c r="T196" s="1540"/>
    </row>
    <row r="197" spans="1:20">
      <c r="A197" s="1540"/>
      <c r="B197" s="1540"/>
      <c r="C197" s="1540"/>
      <c r="D197" s="1540"/>
      <c r="E197" s="1540"/>
      <c r="F197" s="1540"/>
      <c r="G197" s="1540"/>
      <c r="H197" s="1540"/>
      <c r="I197" s="1540"/>
      <c r="J197" s="1540"/>
      <c r="K197" s="1548"/>
      <c r="L197" s="1549"/>
      <c r="M197" s="1540"/>
      <c r="N197" s="1540"/>
      <c r="O197" s="1540"/>
      <c r="P197" s="1540"/>
      <c r="Q197" s="1540"/>
      <c r="R197" s="1540"/>
      <c r="S197" s="1540"/>
      <c r="T197" s="1540"/>
    </row>
    <row r="198" spans="1:20">
      <c r="A198" s="1540"/>
      <c r="B198" s="1540"/>
      <c r="C198" s="1540"/>
      <c r="D198" s="1540"/>
      <c r="E198" s="1540"/>
      <c r="F198" s="1540"/>
      <c r="G198" s="1540"/>
      <c r="H198" s="1540"/>
      <c r="I198" s="1540"/>
      <c r="J198" s="1540"/>
      <c r="K198" s="1548"/>
      <c r="L198" s="1549"/>
      <c r="M198" s="1540"/>
      <c r="N198" s="1540"/>
      <c r="O198" s="1540"/>
      <c r="P198" s="1540"/>
      <c r="Q198" s="1540"/>
      <c r="R198" s="1540"/>
      <c r="S198" s="1540"/>
      <c r="T198" s="1540"/>
    </row>
    <row r="199" spans="1:20">
      <c r="A199" s="1540"/>
      <c r="B199" s="1540"/>
      <c r="C199" s="1540"/>
      <c r="D199" s="1540"/>
      <c r="E199" s="1540"/>
      <c r="F199" s="1540"/>
      <c r="G199" s="1540"/>
      <c r="H199" s="1540"/>
      <c r="I199" s="1540"/>
      <c r="J199" s="1540"/>
      <c r="K199" s="1548"/>
      <c r="L199" s="1549"/>
      <c r="M199" s="1540"/>
      <c r="N199" s="1540"/>
      <c r="O199" s="1540"/>
      <c r="P199" s="1540"/>
      <c r="Q199" s="1540"/>
      <c r="R199" s="1540"/>
      <c r="S199" s="1540"/>
      <c r="T199" s="1540"/>
    </row>
    <row r="200" spans="1:20">
      <c r="A200" s="1540"/>
      <c r="B200" s="1540"/>
      <c r="C200" s="1540"/>
      <c r="D200" s="1540"/>
      <c r="E200" s="1540"/>
      <c r="F200" s="1540"/>
      <c r="G200" s="1540"/>
      <c r="H200" s="1540"/>
      <c r="I200" s="1540"/>
      <c r="J200" s="1540"/>
      <c r="K200" s="1548"/>
      <c r="L200" s="1549"/>
      <c r="M200" s="1540"/>
      <c r="N200" s="1540"/>
      <c r="O200" s="1540"/>
      <c r="P200" s="1540"/>
      <c r="Q200" s="1540"/>
      <c r="R200" s="1540"/>
      <c r="S200" s="1540"/>
      <c r="T200" s="1540"/>
    </row>
    <row r="201" spans="1:20">
      <c r="A201" s="1540"/>
      <c r="B201" s="1540"/>
      <c r="C201" s="1540"/>
      <c r="D201" s="1540"/>
      <c r="E201" s="1540"/>
      <c r="F201" s="1540"/>
      <c r="G201" s="1540"/>
      <c r="H201" s="1540"/>
      <c r="I201" s="1540"/>
      <c r="J201" s="1540"/>
      <c r="K201" s="1548"/>
      <c r="L201" s="1549"/>
      <c r="M201" s="1540"/>
      <c r="N201" s="1540"/>
      <c r="O201" s="1540"/>
      <c r="P201" s="1540"/>
      <c r="Q201" s="1540"/>
      <c r="R201" s="1540"/>
      <c r="S201" s="1540"/>
      <c r="T201" s="1540"/>
    </row>
    <row r="202" spans="1:20">
      <c r="A202" s="1540"/>
      <c r="B202" s="1540"/>
      <c r="C202" s="1540"/>
      <c r="D202" s="1540"/>
      <c r="E202" s="1540"/>
      <c r="F202" s="1540"/>
      <c r="G202" s="1540"/>
      <c r="H202" s="1540"/>
      <c r="I202" s="1540"/>
      <c r="J202" s="1540"/>
      <c r="K202" s="1548"/>
      <c r="L202" s="1549"/>
      <c r="M202" s="1540"/>
      <c r="N202" s="1540"/>
      <c r="O202" s="1540"/>
      <c r="P202" s="1540"/>
      <c r="Q202" s="1540"/>
      <c r="R202" s="1540"/>
      <c r="S202" s="1540"/>
      <c r="T202" s="1540"/>
    </row>
    <row r="203" spans="1:20">
      <c r="A203" s="1540"/>
      <c r="B203" s="1540"/>
      <c r="C203" s="1540"/>
      <c r="D203" s="1540"/>
      <c r="E203" s="1540"/>
      <c r="F203" s="1540"/>
      <c r="G203" s="1540"/>
      <c r="H203" s="1540"/>
      <c r="I203" s="1540"/>
      <c r="J203" s="1540"/>
      <c r="K203" s="1548"/>
      <c r="L203" s="1549"/>
      <c r="M203" s="1540"/>
      <c r="N203" s="1540"/>
      <c r="O203" s="1540"/>
      <c r="P203" s="1540"/>
      <c r="Q203" s="1540"/>
      <c r="R203" s="1540"/>
      <c r="S203" s="1540"/>
      <c r="T203" s="1540"/>
    </row>
    <row r="204" spans="1:20">
      <c r="A204" s="1540"/>
      <c r="B204" s="1540"/>
      <c r="C204" s="1540"/>
      <c r="D204" s="1540"/>
      <c r="E204" s="1540"/>
      <c r="F204" s="1540"/>
      <c r="G204" s="1540"/>
      <c r="H204" s="1540"/>
      <c r="I204" s="1540"/>
      <c r="J204" s="1540"/>
      <c r="K204" s="1548"/>
      <c r="L204" s="1549"/>
      <c r="M204" s="1540"/>
      <c r="N204" s="1540"/>
      <c r="O204" s="1540"/>
      <c r="P204" s="1540"/>
      <c r="Q204" s="1540"/>
      <c r="R204" s="1540"/>
      <c r="S204" s="1540"/>
      <c r="T204" s="1540"/>
    </row>
    <row r="205" spans="1:20">
      <c r="A205" s="1540"/>
      <c r="B205" s="1540"/>
      <c r="C205" s="1540"/>
      <c r="D205" s="1540"/>
      <c r="E205" s="1540"/>
      <c r="F205" s="1540"/>
      <c r="G205" s="1540"/>
      <c r="H205" s="1540"/>
      <c r="I205" s="1540"/>
      <c r="J205" s="1540"/>
      <c r="K205" s="1548"/>
      <c r="L205" s="1549"/>
      <c r="M205" s="1540"/>
      <c r="N205" s="1540"/>
      <c r="O205" s="1540"/>
      <c r="P205" s="1540"/>
      <c r="Q205" s="1540"/>
      <c r="R205" s="1540"/>
      <c r="S205" s="1540"/>
      <c r="T205" s="1540"/>
    </row>
    <row r="206" spans="1:20">
      <c r="A206" s="1540"/>
      <c r="B206" s="1540"/>
      <c r="C206" s="1540"/>
      <c r="D206" s="1540"/>
      <c r="E206" s="1540"/>
      <c r="F206" s="1540"/>
      <c r="G206" s="1540"/>
      <c r="H206" s="1540"/>
      <c r="I206" s="1540"/>
      <c r="J206" s="1540"/>
      <c r="K206" s="1548"/>
      <c r="L206" s="1549"/>
      <c r="M206" s="1540"/>
      <c r="N206" s="1540"/>
      <c r="O206" s="1540"/>
      <c r="P206" s="1540"/>
      <c r="Q206" s="1540"/>
      <c r="R206" s="1540"/>
      <c r="S206" s="1540"/>
      <c r="T206" s="1540"/>
    </row>
    <row r="207" spans="1:20">
      <c r="A207" s="1540"/>
      <c r="B207" s="1540"/>
      <c r="C207" s="1540"/>
      <c r="D207" s="1540"/>
      <c r="E207" s="1540"/>
      <c r="F207" s="1540"/>
      <c r="G207" s="1540"/>
      <c r="H207" s="1540"/>
      <c r="I207" s="1540"/>
      <c r="J207" s="1540"/>
      <c r="K207" s="1548"/>
      <c r="L207" s="1549"/>
      <c r="M207" s="1540"/>
      <c r="N207" s="1540"/>
      <c r="O207" s="1540"/>
      <c r="P207" s="1540"/>
      <c r="Q207" s="1540"/>
      <c r="R207" s="1540"/>
      <c r="S207" s="1540"/>
      <c r="T207" s="1540"/>
    </row>
    <row r="208" spans="1:20">
      <c r="A208" s="1540"/>
      <c r="B208" s="1540"/>
      <c r="C208" s="1540"/>
      <c r="D208" s="1540"/>
      <c r="E208" s="1540"/>
      <c r="F208" s="1540"/>
      <c r="G208" s="1540"/>
      <c r="H208" s="1540"/>
      <c r="I208" s="1540"/>
      <c r="J208" s="1540"/>
      <c r="K208" s="1548"/>
      <c r="L208" s="1549"/>
      <c r="M208" s="1540"/>
      <c r="N208" s="1540"/>
      <c r="O208" s="1540"/>
      <c r="P208" s="1540"/>
      <c r="Q208" s="1540"/>
      <c r="R208" s="1540"/>
      <c r="S208" s="1540"/>
      <c r="T208" s="1540"/>
    </row>
    <row r="209" spans="1:20">
      <c r="A209" s="1540"/>
      <c r="B209" s="1540"/>
      <c r="C209" s="1540"/>
      <c r="D209" s="1540"/>
      <c r="E209" s="1540"/>
      <c r="F209" s="1540"/>
      <c r="G209" s="1540"/>
      <c r="H209" s="1540"/>
      <c r="I209" s="1540"/>
      <c r="J209" s="1540"/>
      <c r="K209" s="1548"/>
      <c r="L209" s="1549"/>
      <c r="M209" s="1540"/>
      <c r="N209" s="1540"/>
      <c r="O209" s="1540"/>
      <c r="P209" s="1540"/>
      <c r="Q209" s="1540"/>
      <c r="R209" s="1540"/>
      <c r="S209" s="1540"/>
      <c r="T209" s="1540"/>
    </row>
    <row r="210" spans="1:20">
      <c r="A210" s="1540"/>
      <c r="B210" s="1540"/>
      <c r="C210" s="1540"/>
      <c r="D210" s="1540"/>
      <c r="E210" s="1540"/>
      <c r="F210" s="1540"/>
      <c r="G210" s="1540"/>
      <c r="H210" s="1540"/>
      <c r="I210" s="1540"/>
      <c r="J210" s="1540"/>
      <c r="K210" s="1548"/>
      <c r="L210" s="1549"/>
      <c r="M210" s="1540"/>
      <c r="N210" s="1540"/>
      <c r="O210" s="1540"/>
      <c r="P210" s="1540"/>
      <c r="Q210" s="1540"/>
      <c r="R210" s="1540"/>
      <c r="S210" s="1540"/>
      <c r="T210" s="1540"/>
    </row>
    <row r="211" spans="1:20">
      <c r="A211" s="1540"/>
      <c r="B211" s="1540"/>
      <c r="C211" s="1540"/>
      <c r="D211" s="1540"/>
      <c r="E211" s="1540"/>
      <c r="F211" s="1540"/>
      <c r="G211" s="1540"/>
      <c r="H211" s="1540"/>
      <c r="I211" s="1540"/>
      <c r="J211" s="1540"/>
      <c r="K211" s="1548"/>
      <c r="L211" s="1549"/>
      <c r="M211" s="1540"/>
      <c r="N211" s="1540"/>
      <c r="O211" s="1540"/>
      <c r="P211" s="1540"/>
      <c r="Q211" s="1540"/>
      <c r="R211" s="1540"/>
      <c r="S211" s="1540"/>
      <c r="T211" s="1540"/>
    </row>
    <row r="212" spans="1:20">
      <c r="A212" s="1540"/>
      <c r="B212" s="1540"/>
      <c r="C212" s="1540"/>
      <c r="D212" s="1540"/>
      <c r="E212" s="1540"/>
      <c r="F212" s="1540"/>
      <c r="G212" s="1540"/>
      <c r="H212" s="1540"/>
      <c r="I212" s="1540"/>
      <c r="J212" s="1540"/>
      <c r="K212" s="1548"/>
      <c r="L212" s="1549"/>
      <c r="M212" s="1540"/>
      <c r="N212" s="1540"/>
      <c r="O212" s="1540"/>
      <c r="P212" s="1540"/>
      <c r="Q212" s="1540"/>
      <c r="R212" s="1540"/>
      <c r="S212" s="1540"/>
      <c r="T212" s="1540"/>
    </row>
    <row r="213" spans="1:20">
      <c r="A213" s="1540"/>
      <c r="B213" s="1540"/>
      <c r="C213" s="1540"/>
      <c r="D213" s="1540"/>
      <c r="E213" s="1540"/>
      <c r="F213" s="1540"/>
      <c r="G213" s="1540"/>
      <c r="H213" s="1540"/>
      <c r="I213" s="1540"/>
      <c r="J213" s="1540"/>
      <c r="K213" s="1548"/>
      <c r="L213" s="1549"/>
      <c r="M213" s="1540"/>
      <c r="N213" s="1540"/>
      <c r="O213" s="1540"/>
      <c r="P213" s="1540"/>
      <c r="Q213" s="1540"/>
      <c r="R213" s="1540"/>
      <c r="S213" s="1540"/>
      <c r="T213" s="1540"/>
    </row>
    <row r="214" spans="1:20">
      <c r="A214" s="1540"/>
      <c r="B214" s="1540"/>
      <c r="C214" s="1540"/>
      <c r="D214" s="1540"/>
      <c r="E214" s="1540"/>
      <c r="F214" s="1540"/>
      <c r="G214" s="1540"/>
      <c r="H214" s="1540"/>
      <c r="I214" s="1540"/>
      <c r="J214" s="1540"/>
      <c r="K214" s="1548"/>
      <c r="L214" s="1549"/>
      <c r="M214" s="1540"/>
      <c r="N214" s="1540"/>
      <c r="O214" s="1540"/>
      <c r="P214" s="1540"/>
      <c r="Q214" s="1540"/>
      <c r="R214" s="1540"/>
      <c r="S214" s="1540"/>
      <c r="T214" s="1540"/>
    </row>
    <row r="215" spans="1:20">
      <c r="A215" s="1540"/>
      <c r="B215" s="1540"/>
      <c r="C215" s="1540"/>
      <c r="D215" s="1540"/>
      <c r="E215" s="1540"/>
      <c r="F215" s="1540"/>
      <c r="G215" s="1540"/>
      <c r="H215" s="1540"/>
      <c r="I215" s="1540"/>
      <c r="J215" s="1540"/>
      <c r="K215" s="1548"/>
      <c r="L215" s="1549"/>
      <c r="M215" s="1540"/>
      <c r="N215" s="1540"/>
      <c r="O215" s="1540"/>
      <c r="P215" s="1540"/>
      <c r="Q215" s="1540"/>
      <c r="R215" s="1540"/>
      <c r="S215" s="1540"/>
      <c r="T215" s="1540"/>
    </row>
    <row r="216" spans="1:20">
      <c r="A216" s="1540"/>
      <c r="B216" s="1540"/>
      <c r="C216" s="1540"/>
      <c r="D216" s="1540"/>
      <c r="E216" s="1540"/>
      <c r="F216" s="1540"/>
      <c r="G216" s="1540"/>
      <c r="H216" s="1540"/>
      <c r="I216" s="1540"/>
      <c r="J216" s="1540"/>
      <c r="K216" s="1548"/>
      <c r="L216" s="1549"/>
      <c r="M216" s="1540"/>
      <c r="N216" s="1540"/>
      <c r="O216" s="1540"/>
      <c r="P216" s="1540"/>
      <c r="Q216" s="1540"/>
      <c r="R216" s="1540"/>
      <c r="S216" s="1540"/>
      <c r="T216" s="1540"/>
    </row>
    <row r="217" spans="1:20">
      <c r="A217" s="1540"/>
      <c r="B217" s="1540"/>
      <c r="C217" s="1540"/>
      <c r="D217" s="1540"/>
      <c r="E217" s="1540"/>
      <c r="F217" s="1540"/>
      <c r="G217" s="1540"/>
      <c r="H217" s="1540"/>
      <c r="I217" s="1540"/>
      <c r="J217" s="1540"/>
      <c r="K217" s="1548"/>
      <c r="L217" s="1549"/>
      <c r="M217" s="1540"/>
      <c r="N217" s="1540"/>
      <c r="O217" s="1540"/>
      <c r="P217" s="1540"/>
      <c r="Q217" s="1540"/>
      <c r="R217" s="1540"/>
      <c r="S217" s="1540"/>
      <c r="T217" s="1540"/>
    </row>
    <row r="218" spans="1:20">
      <c r="A218" s="1540"/>
      <c r="B218" s="1540"/>
      <c r="C218" s="1540"/>
      <c r="D218" s="1540"/>
      <c r="E218" s="1540"/>
      <c r="F218" s="1540"/>
      <c r="G218" s="1540"/>
      <c r="H218" s="1540"/>
      <c r="I218" s="1540"/>
      <c r="J218" s="1540"/>
      <c r="K218" s="1548"/>
      <c r="L218" s="1549"/>
      <c r="M218" s="1540"/>
      <c r="N218" s="1540"/>
      <c r="O218" s="1540"/>
      <c r="P218" s="1540"/>
      <c r="Q218" s="1540"/>
      <c r="R218" s="1540"/>
      <c r="S218" s="1540"/>
      <c r="T218" s="1540"/>
    </row>
    <row r="219" spans="1:20">
      <c r="A219" s="1540"/>
      <c r="B219" s="1540"/>
      <c r="C219" s="1540"/>
      <c r="D219" s="1540"/>
      <c r="E219" s="1540"/>
      <c r="F219" s="1540"/>
      <c r="G219" s="1540"/>
      <c r="H219" s="1540"/>
      <c r="I219" s="1540"/>
      <c r="J219" s="1540"/>
      <c r="K219" s="1548"/>
      <c r="L219" s="1549"/>
      <c r="M219" s="1540"/>
      <c r="N219" s="1540"/>
      <c r="O219" s="1540"/>
      <c r="P219" s="1540"/>
      <c r="Q219" s="1540"/>
      <c r="R219" s="1540"/>
      <c r="S219" s="1540"/>
      <c r="T219" s="1540"/>
    </row>
    <row r="220" spans="1:20">
      <c r="A220" s="1540"/>
      <c r="B220" s="1540"/>
      <c r="C220" s="1540"/>
      <c r="D220" s="1540"/>
      <c r="E220" s="1540"/>
      <c r="F220" s="1540"/>
      <c r="G220" s="1540"/>
      <c r="H220" s="1540"/>
      <c r="I220" s="1540"/>
      <c r="J220" s="1540"/>
      <c r="K220" s="1548"/>
      <c r="L220" s="1549"/>
      <c r="M220" s="1540"/>
      <c r="N220" s="1540"/>
      <c r="O220" s="1540"/>
      <c r="P220" s="1540"/>
      <c r="Q220" s="1540"/>
      <c r="R220" s="1540"/>
      <c r="S220" s="1540"/>
      <c r="T220" s="1540"/>
    </row>
    <row r="221" spans="1:20">
      <c r="A221" s="1540"/>
      <c r="B221" s="1540"/>
      <c r="C221" s="1540"/>
      <c r="D221" s="1540"/>
      <c r="E221" s="1540"/>
      <c r="F221" s="1540"/>
      <c r="G221" s="1540"/>
      <c r="H221" s="1540"/>
      <c r="I221" s="1540"/>
      <c r="J221" s="1540"/>
      <c r="K221" s="1548"/>
      <c r="L221" s="1549"/>
      <c r="M221" s="1540"/>
      <c r="N221" s="1540"/>
      <c r="O221" s="1540"/>
      <c r="P221" s="1540"/>
      <c r="Q221" s="1540"/>
      <c r="R221" s="1540"/>
      <c r="S221" s="1540"/>
      <c r="T221" s="1540"/>
    </row>
    <row r="222" spans="1:20">
      <c r="A222" s="1540"/>
      <c r="B222" s="1540"/>
      <c r="C222" s="1540"/>
      <c r="D222" s="1540"/>
      <c r="E222" s="1540"/>
      <c r="F222" s="1540"/>
      <c r="G222" s="1540"/>
      <c r="H222" s="1540"/>
      <c r="I222" s="1540"/>
      <c r="J222" s="1540"/>
      <c r="K222" s="1548"/>
      <c r="L222" s="1549"/>
      <c r="M222" s="1540"/>
      <c r="N222" s="1540"/>
      <c r="O222" s="1540"/>
      <c r="P222" s="1540"/>
      <c r="Q222" s="1540"/>
      <c r="R222" s="1540"/>
      <c r="S222" s="1540"/>
      <c r="T222" s="1540"/>
    </row>
    <row r="223" spans="1:20">
      <c r="A223" s="1540"/>
      <c r="B223" s="1540"/>
      <c r="C223" s="1540"/>
      <c r="D223" s="1540"/>
      <c r="E223" s="1540"/>
      <c r="F223" s="1540"/>
      <c r="G223" s="1540"/>
      <c r="H223" s="1540"/>
      <c r="I223" s="1540"/>
      <c r="J223" s="1540"/>
      <c r="K223" s="1548"/>
      <c r="L223" s="1549"/>
      <c r="M223" s="1540"/>
      <c r="N223" s="1540"/>
      <c r="O223" s="1540"/>
      <c r="P223" s="1540"/>
      <c r="Q223" s="1540"/>
      <c r="R223" s="1540"/>
      <c r="S223" s="1540"/>
      <c r="T223" s="1540"/>
    </row>
    <row r="224" spans="1:20">
      <c r="A224" s="1540"/>
      <c r="B224" s="1540"/>
      <c r="C224" s="1540"/>
      <c r="D224" s="1540"/>
      <c r="E224" s="1540"/>
      <c r="F224" s="1540"/>
      <c r="G224" s="1540"/>
      <c r="H224" s="1540"/>
      <c r="I224" s="1540"/>
      <c r="J224" s="1540"/>
      <c r="K224" s="1548"/>
      <c r="L224" s="1549"/>
      <c r="M224" s="1540"/>
      <c r="N224" s="1540"/>
      <c r="O224" s="1540"/>
      <c r="P224" s="1540"/>
      <c r="Q224" s="1540"/>
      <c r="R224" s="1540"/>
      <c r="S224" s="1540"/>
      <c r="T224" s="1540"/>
    </row>
    <row r="225" spans="1:20">
      <c r="A225" s="1540"/>
      <c r="B225" s="1540"/>
      <c r="C225" s="1540"/>
      <c r="D225" s="1540"/>
      <c r="E225" s="1540"/>
      <c r="F225" s="1540"/>
      <c r="G225" s="1540"/>
      <c r="H225" s="1540"/>
      <c r="I225" s="1540"/>
      <c r="J225" s="1540"/>
      <c r="K225" s="1548"/>
      <c r="L225" s="1549"/>
      <c r="M225" s="1540"/>
      <c r="N225" s="1540"/>
      <c r="O225" s="1540"/>
      <c r="P225" s="1540"/>
      <c r="Q225" s="1540"/>
      <c r="R225" s="1540"/>
      <c r="S225" s="1540"/>
      <c r="T225" s="1540"/>
    </row>
    <row r="226" spans="1:20">
      <c r="A226" s="1540"/>
      <c r="B226" s="1540"/>
      <c r="C226" s="1540"/>
      <c r="D226" s="1540"/>
      <c r="E226" s="1540"/>
      <c r="F226" s="1540"/>
      <c r="G226" s="1540"/>
      <c r="H226" s="1540"/>
      <c r="I226" s="1540"/>
      <c r="J226" s="1540"/>
      <c r="K226" s="1548"/>
      <c r="L226" s="1549"/>
      <c r="M226" s="1540"/>
      <c r="N226" s="1540"/>
      <c r="O226" s="1540"/>
      <c r="P226" s="1540"/>
      <c r="Q226" s="1540"/>
      <c r="R226" s="1540"/>
      <c r="S226" s="1540"/>
      <c r="T226" s="1540"/>
    </row>
    <row r="227" spans="1:20">
      <c r="A227" s="1540"/>
      <c r="B227" s="1540"/>
      <c r="C227" s="1540"/>
      <c r="D227" s="1540"/>
      <c r="E227" s="1540"/>
      <c r="F227" s="1540"/>
      <c r="G227" s="1540"/>
      <c r="H227" s="1540"/>
      <c r="I227" s="1540"/>
      <c r="J227" s="1540"/>
      <c r="K227" s="1548"/>
      <c r="L227" s="1549"/>
      <c r="M227" s="1540"/>
      <c r="N227" s="1540"/>
      <c r="O227" s="1540"/>
      <c r="P227" s="1540"/>
      <c r="Q227" s="1540"/>
      <c r="R227" s="1540"/>
      <c r="S227" s="1540"/>
      <c r="T227" s="1540"/>
    </row>
    <row r="228" spans="1:20">
      <c r="A228" s="1540"/>
      <c r="B228" s="1540"/>
      <c r="C228" s="1540"/>
      <c r="D228" s="1540"/>
      <c r="E228" s="1540"/>
      <c r="F228" s="1540"/>
      <c r="G228" s="1540"/>
      <c r="H228" s="1540"/>
      <c r="I228" s="1540"/>
      <c r="J228" s="1540"/>
      <c r="K228" s="1548"/>
      <c r="L228" s="1549"/>
      <c r="M228" s="1540"/>
      <c r="N228" s="1540"/>
      <c r="O228" s="1540"/>
      <c r="P228" s="1540"/>
      <c r="Q228" s="1540"/>
      <c r="R228" s="1540"/>
      <c r="S228" s="1540"/>
      <c r="T228" s="1540"/>
    </row>
    <row r="229" spans="1:20">
      <c r="A229" s="1540"/>
      <c r="B229" s="1540"/>
      <c r="C229" s="1540"/>
      <c r="D229" s="1540"/>
      <c r="E229" s="1540"/>
      <c r="F229" s="1540"/>
      <c r="G229" s="1540"/>
      <c r="H229" s="1540"/>
      <c r="I229" s="1540"/>
      <c r="J229" s="1540"/>
      <c r="K229" s="1548"/>
      <c r="L229" s="1549"/>
      <c r="M229" s="1540"/>
      <c r="N229" s="1540"/>
      <c r="O229" s="1540"/>
      <c r="P229" s="1540"/>
      <c r="Q229" s="1540"/>
      <c r="R229" s="1540"/>
      <c r="S229" s="1540"/>
      <c r="T229" s="1540"/>
    </row>
    <row r="230" spans="1:20">
      <c r="A230" s="1540"/>
      <c r="B230" s="1540"/>
      <c r="C230" s="1540"/>
      <c r="D230" s="1540"/>
      <c r="E230" s="1540"/>
      <c r="F230" s="1540"/>
      <c r="G230" s="1540"/>
      <c r="H230" s="1540"/>
      <c r="I230" s="1540"/>
      <c r="J230" s="1540"/>
      <c r="K230" s="1548"/>
      <c r="L230" s="1549"/>
      <c r="M230" s="1540"/>
      <c r="N230" s="1540"/>
      <c r="O230" s="1540"/>
      <c r="P230" s="1540"/>
      <c r="Q230" s="1540"/>
      <c r="R230" s="1540"/>
      <c r="S230" s="1540"/>
      <c r="T230" s="1540"/>
    </row>
    <row r="231" spans="1:20">
      <c r="A231" s="1540"/>
      <c r="B231" s="1540"/>
      <c r="C231" s="1540"/>
      <c r="D231" s="1540"/>
      <c r="E231" s="1540"/>
      <c r="F231" s="1540"/>
      <c r="G231" s="1540"/>
      <c r="H231" s="1540"/>
      <c r="I231" s="1540"/>
      <c r="J231" s="1540"/>
      <c r="K231" s="1548"/>
      <c r="L231" s="1549"/>
      <c r="M231" s="1540"/>
      <c r="N231" s="1540"/>
      <c r="O231" s="1540"/>
      <c r="P231" s="1540"/>
      <c r="Q231" s="1540"/>
      <c r="R231" s="1540"/>
      <c r="S231" s="1540"/>
      <c r="T231" s="1540"/>
    </row>
    <row r="232" spans="1:20">
      <c r="A232" s="1540"/>
      <c r="B232" s="1540"/>
      <c r="C232" s="1540"/>
      <c r="D232" s="1540"/>
      <c r="E232" s="1540"/>
      <c r="F232" s="1540"/>
      <c r="G232" s="1540"/>
      <c r="H232" s="1540"/>
      <c r="I232" s="1540"/>
      <c r="J232" s="1540"/>
      <c r="K232" s="1548"/>
      <c r="L232" s="1549"/>
      <c r="M232" s="1540"/>
      <c r="N232" s="1540"/>
      <c r="O232" s="1540"/>
      <c r="P232" s="1540"/>
      <c r="Q232" s="1540"/>
      <c r="R232" s="1540"/>
      <c r="S232" s="1540"/>
      <c r="T232" s="1540"/>
    </row>
    <row r="233" spans="1:20">
      <c r="A233" s="1540"/>
      <c r="B233" s="1540"/>
      <c r="C233" s="1540"/>
      <c r="D233" s="1540"/>
      <c r="E233" s="1540"/>
      <c r="F233" s="1540"/>
      <c r="G233" s="1540"/>
      <c r="H233" s="1540"/>
      <c r="I233" s="1540"/>
      <c r="J233" s="1540"/>
      <c r="K233" s="1548"/>
      <c r="L233" s="1549"/>
      <c r="M233" s="1540"/>
      <c r="N233" s="1540"/>
      <c r="O233" s="1540"/>
      <c r="P233" s="1540"/>
      <c r="Q233" s="1540"/>
      <c r="R233" s="1540"/>
      <c r="S233" s="1540"/>
      <c r="T233" s="1540"/>
    </row>
    <row r="234" spans="1:20">
      <c r="A234" s="1540"/>
      <c r="B234" s="1540"/>
      <c r="C234" s="1540"/>
      <c r="D234" s="1540"/>
      <c r="E234" s="1540"/>
      <c r="F234" s="1540"/>
      <c r="G234" s="1540"/>
      <c r="H234" s="1540"/>
      <c r="I234" s="1540"/>
      <c r="J234" s="1540"/>
      <c r="K234" s="1548"/>
      <c r="L234" s="1549"/>
      <c r="M234" s="1540"/>
      <c r="N234" s="1540"/>
      <c r="O234" s="1540"/>
      <c r="P234" s="1540"/>
      <c r="Q234" s="1540"/>
      <c r="R234" s="1540"/>
      <c r="S234" s="1540"/>
      <c r="T234" s="1540"/>
    </row>
    <row r="235" spans="1:20">
      <c r="A235" s="1540"/>
      <c r="B235" s="1540"/>
      <c r="C235" s="1540"/>
      <c r="D235" s="1540"/>
      <c r="E235" s="1540"/>
      <c r="F235" s="1540"/>
      <c r="G235" s="1540"/>
      <c r="H235" s="1540"/>
      <c r="I235" s="1540"/>
      <c r="J235" s="1540"/>
      <c r="K235" s="1548"/>
      <c r="L235" s="1549"/>
      <c r="M235" s="1540"/>
      <c r="N235" s="1540"/>
      <c r="O235" s="1540"/>
      <c r="P235" s="1540"/>
      <c r="Q235" s="1540"/>
      <c r="R235" s="1540"/>
      <c r="S235" s="1540"/>
      <c r="T235" s="1540"/>
    </row>
    <row r="236" spans="1:20">
      <c r="A236" s="1540"/>
      <c r="B236" s="1540"/>
      <c r="C236" s="1540"/>
      <c r="D236" s="1540"/>
      <c r="E236" s="1540"/>
      <c r="F236" s="1540"/>
      <c r="G236" s="1540"/>
      <c r="H236" s="1540"/>
      <c r="I236" s="1540"/>
      <c r="J236" s="1540"/>
      <c r="K236" s="1548"/>
      <c r="L236" s="1549"/>
      <c r="M236" s="1540"/>
      <c r="N236" s="1540"/>
      <c r="O236" s="1540"/>
      <c r="P236" s="1540"/>
      <c r="Q236" s="1540"/>
      <c r="R236" s="1540"/>
      <c r="S236" s="1540"/>
      <c r="T236" s="1540"/>
    </row>
    <row r="237" spans="1:20">
      <c r="A237" s="1540"/>
      <c r="B237" s="1540"/>
      <c r="C237" s="1540"/>
      <c r="D237" s="1540"/>
      <c r="E237" s="1540"/>
      <c r="F237" s="1540"/>
      <c r="G237" s="1540"/>
      <c r="H237" s="1540"/>
      <c r="I237" s="1540"/>
      <c r="J237" s="1540"/>
      <c r="K237" s="1548"/>
      <c r="L237" s="1549"/>
      <c r="M237" s="1540"/>
      <c r="N237" s="1540"/>
      <c r="O237" s="1540"/>
      <c r="P237" s="1540"/>
      <c r="Q237" s="1540"/>
      <c r="R237" s="1540"/>
      <c r="S237" s="1540"/>
      <c r="T237" s="1540"/>
    </row>
    <row r="238" spans="1:20">
      <c r="A238" s="1540"/>
      <c r="B238" s="1540"/>
      <c r="C238" s="1540"/>
      <c r="D238" s="1540"/>
      <c r="E238" s="1540"/>
      <c r="F238" s="1540"/>
      <c r="G238" s="1540"/>
      <c r="H238" s="1540"/>
      <c r="I238" s="1540"/>
      <c r="J238" s="1540"/>
      <c r="K238" s="1548"/>
      <c r="L238" s="1549"/>
      <c r="M238" s="1540"/>
      <c r="N238" s="1540"/>
      <c r="O238" s="1540"/>
      <c r="P238" s="1540"/>
      <c r="Q238" s="1540"/>
      <c r="R238" s="1540"/>
      <c r="S238" s="1540"/>
      <c r="T238" s="1540"/>
    </row>
    <row r="239" spans="1:20">
      <c r="A239" s="1540"/>
      <c r="B239" s="1540"/>
      <c r="C239" s="1540"/>
      <c r="D239" s="1540"/>
      <c r="E239" s="1540"/>
      <c r="F239" s="1540"/>
      <c r="G239" s="1540"/>
      <c r="H239" s="1540"/>
      <c r="I239" s="1540"/>
      <c r="J239" s="1540"/>
      <c r="K239" s="1548"/>
      <c r="L239" s="1549"/>
      <c r="M239" s="1540"/>
      <c r="N239" s="1540"/>
      <c r="O239" s="1540"/>
      <c r="P239" s="1540"/>
      <c r="Q239" s="1540"/>
      <c r="R239" s="1540"/>
      <c r="S239" s="1540"/>
      <c r="T239" s="1540"/>
    </row>
    <row r="240" spans="1:20">
      <c r="A240" s="1540"/>
      <c r="B240" s="1540"/>
      <c r="C240" s="1540"/>
      <c r="D240" s="1540"/>
      <c r="E240" s="1540"/>
      <c r="F240" s="1540"/>
      <c r="G240" s="1540"/>
      <c r="H240" s="1540"/>
      <c r="I240" s="1540"/>
      <c r="J240" s="1540"/>
      <c r="K240" s="1548"/>
      <c r="L240" s="1549"/>
      <c r="M240" s="1540"/>
      <c r="N240" s="1540"/>
      <c r="O240" s="1540"/>
      <c r="P240" s="1540"/>
      <c r="Q240" s="1540"/>
      <c r="R240" s="1540"/>
      <c r="S240" s="1540"/>
      <c r="T240" s="1540"/>
    </row>
    <row r="241" spans="1:20">
      <c r="A241" s="1540"/>
      <c r="B241" s="1540"/>
      <c r="C241" s="1540"/>
      <c r="D241" s="1540"/>
      <c r="E241" s="1540"/>
      <c r="F241" s="1540"/>
      <c r="G241" s="1540"/>
      <c r="H241" s="1540"/>
      <c r="I241" s="1540"/>
      <c r="J241" s="1540"/>
      <c r="K241" s="1548"/>
      <c r="L241" s="1549"/>
      <c r="M241" s="1540"/>
      <c r="N241" s="1540"/>
      <c r="O241" s="1540"/>
      <c r="P241" s="1540"/>
      <c r="Q241" s="1540"/>
      <c r="R241" s="1540"/>
      <c r="S241" s="1540"/>
      <c r="T241" s="15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99" customWidth="1"/>
    <col min="2" max="2" width="15.75" style="1099" customWidth="1"/>
    <col min="3" max="3" width="14.375" style="1099" customWidth="1"/>
    <col min="4" max="4" width="14.125" style="1099" customWidth="1"/>
    <col min="5" max="5" width="14.375" style="1099" customWidth="1"/>
    <col min="6" max="6" width="12.25" style="1099" customWidth="1"/>
    <col min="7" max="7" width="14.5" style="1099" customWidth="1"/>
    <col min="8" max="8" width="12.25" style="1099" customWidth="1"/>
    <col min="9" max="9" width="14.5" style="1099" customWidth="1"/>
    <col min="10" max="10" width="12.25" style="1099" customWidth="1"/>
    <col min="11" max="11" width="12.25" style="1100" customWidth="1"/>
    <col min="12" max="12" width="12.25" style="1101" customWidth="1"/>
    <col min="13" max="15" width="12.25" style="1099" customWidth="1"/>
    <col min="16" max="16" width="4.75" style="10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30" s="1092" customFormat="1" ht="28.5" customHeight="1">
      <c r="A1" s="1102" t="s">
        <v>2022</v>
      </c>
      <c r="B1" s="1103"/>
      <c r="C1" s="1104" t="s">
        <v>2023</v>
      </c>
      <c r="D1" s="1105"/>
      <c r="E1" s="1105"/>
      <c r="F1" s="1106" t="s">
        <v>1391</v>
      </c>
      <c r="G1" s="1105"/>
      <c r="H1" s="1105"/>
      <c r="I1" s="1105"/>
      <c r="J1" s="1105"/>
      <c r="K1" s="1252"/>
      <c r="L1" s="1253"/>
      <c r="M1" s="1254"/>
      <c r="N1" s="1254"/>
      <c r="O1" s="1254"/>
      <c r="P1" s="1255"/>
      <c r="Q1" s="1255"/>
      <c r="R1" s="1255"/>
      <c r="S1" s="1255"/>
      <c r="T1" s="1255"/>
      <c r="U1" s="1255"/>
      <c r="V1" s="1255"/>
      <c r="W1" s="1255"/>
      <c r="X1" s="1255"/>
      <c r="Y1" s="1255"/>
      <c r="Z1" s="1255"/>
      <c r="AA1" s="1255"/>
      <c r="AB1" s="1255"/>
      <c r="AC1" s="1315"/>
      <c r="AD1" s="1463"/>
    </row>
    <row r="2" spans="1:30" s="1092" customFormat="1" ht="28.5" customHeight="1">
      <c r="A2" s="386" t="s">
        <v>1392</v>
      </c>
      <c r="B2" s="1107" t="e">
        <f>F65</f>
        <v>#DIV/0!</v>
      </c>
      <c r="C2" s="1438"/>
      <c r="D2" s="1438"/>
      <c r="E2" s="1108"/>
      <c r="F2" s="1109"/>
      <c r="G2" s="1108"/>
      <c r="H2" s="1108"/>
      <c r="I2" s="1108"/>
      <c r="J2" s="1108"/>
      <c r="K2" s="1256"/>
      <c r="L2" s="1257"/>
      <c r="M2" s="1258"/>
      <c r="N2" s="1258"/>
      <c r="O2" s="1258"/>
      <c r="P2" s="1255"/>
      <c r="Q2" s="1255"/>
      <c r="R2" s="1255"/>
      <c r="S2" s="1255"/>
      <c r="T2" s="1255"/>
      <c r="U2" s="1255"/>
      <c r="V2" s="1255"/>
      <c r="W2" s="1255"/>
      <c r="X2" s="1255"/>
      <c r="Y2" s="1255"/>
      <c r="Z2" s="1255"/>
      <c r="AA2" s="1255"/>
      <c r="AB2" s="1255"/>
      <c r="AC2" s="1315"/>
      <c r="AD2" s="1463"/>
    </row>
    <row r="3" spans="1:30" s="1092" customFormat="1" ht="28.5" customHeight="1">
      <c r="A3" s="389" t="s">
        <v>1394</v>
      </c>
      <c r="B3" s="1110" t="e">
        <f>ROUND(IF(D3="",B2*10000/'数据-汇总表'!E3,B2*10000/D3),0)</f>
        <v>#DIV/0!</v>
      </c>
      <c r="C3" s="389" t="s">
        <v>1395</v>
      </c>
      <c r="D3" s="1111"/>
      <c r="E3" s="1108"/>
      <c r="F3" s="1109"/>
      <c r="G3" s="1108"/>
      <c r="H3" s="1108"/>
      <c r="I3" s="1108"/>
      <c r="J3" s="1108"/>
      <c r="K3" s="1256"/>
      <c r="L3" s="1257"/>
      <c r="M3" s="1258"/>
      <c r="N3" s="1258"/>
      <c r="O3" s="1258"/>
      <c r="P3" s="1255"/>
      <c r="Q3" s="1255"/>
      <c r="R3" s="1255"/>
      <c r="S3" s="1255"/>
      <c r="T3" s="1255"/>
      <c r="U3" s="1255"/>
      <c r="V3" s="1255"/>
      <c r="W3" s="1255"/>
      <c r="X3" s="1255"/>
      <c r="Y3" s="1255"/>
      <c r="Z3" s="1255"/>
      <c r="AA3" s="1255"/>
      <c r="AB3" s="1316"/>
      <c r="AC3" s="1317"/>
    </row>
    <row r="4" spans="1:30" ht="15">
      <c r="A4" s="1112" t="s">
        <v>1397</v>
      </c>
      <c r="B4" s="1113"/>
      <c r="C4" s="3679" t="s">
        <v>1398</v>
      </c>
      <c r="D4" s="3680"/>
      <c r="E4" s="3681" t="s">
        <v>1399</v>
      </c>
      <c r="F4" s="3682"/>
      <c r="G4" s="3679" t="s">
        <v>1400</v>
      </c>
      <c r="H4" s="3680"/>
      <c r="I4" s="3679" t="s">
        <v>1401</v>
      </c>
      <c r="J4" s="3680"/>
      <c r="K4" s="1259" t="s">
        <v>1402</v>
      </c>
      <c r="L4" s="1260"/>
      <c r="M4" s="1261"/>
      <c r="N4" s="1261"/>
      <c r="O4" s="1261"/>
      <c r="P4" s="3707" t="s">
        <v>1403</v>
      </c>
      <c r="Q4" s="3708"/>
      <c r="R4" s="3713" t="s">
        <v>1399</v>
      </c>
      <c r="S4" s="3714"/>
      <c r="T4" s="3713" t="s">
        <v>1400</v>
      </c>
      <c r="U4" s="3714"/>
      <c r="V4" s="3719" t="s">
        <v>1401</v>
      </c>
      <c r="W4" s="3719"/>
      <c r="X4" s="1303"/>
      <c r="Y4" s="3713" t="s">
        <v>1403</v>
      </c>
      <c r="Z4" s="3714"/>
      <c r="AA4" s="3704" t="s">
        <v>1399</v>
      </c>
      <c r="AB4" s="3705" t="s">
        <v>1400</v>
      </c>
      <c r="AC4" s="3704" t="s">
        <v>1401</v>
      </c>
    </row>
    <row r="5" spans="1:30" ht="15">
      <c r="A5" s="1114"/>
      <c r="B5" s="1115"/>
      <c r="C5" s="3683" t="s">
        <v>1404</v>
      </c>
      <c r="D5" s="3684"/>
      <c r="E5" s="3749" t="s">
        <v>1957</v>
      </c>
      <c r="F5" s="3686"/>
      <c r="G5" s="3683" t="s">
        <v>1958</v>
      </c>
      <c r="H5" s="3684"/>
      <c r="I5" s="3683" t="s">
        <v>1959</v>
      </c>
      <c r="J5" s="3684"/>
      <c r="K5" s="1259"/>
      <c r="L5" s="1260"/>
      <c r="M5" s="1261"/>
      <c r="N5" s="1261"/>
      <c r="O5" s="1261"/>
      <c r="P5" s="3709"/>
      <c r="Q5" s="3710"/>
      <c r="R5" s="3715"/>
      <c r="S5" s="3716"/>
      <c r="T5" s="3715"/>
      <c r="U5" s="3716"/>
      <c r="V5" s="3719"/>
      <c r="W5" s="3719"/>
      <c r="X5" s="1303"/>
      <c r="Y5" s="3715"/>
      <c r="Z5" s="3716"/>
      <c r="AA5" s="3705"/>
      <c r="AB5" s="3705"/>
      <c r="AC5" s="3705"/>
    </row>
    <row r="6" spans="1:30" ht="15">
      <c r="A6" s="1116"/>
      <c r="B6" s="1117"/>
      <c r="C6" s="3688" t="s">
        <v>1408</v>
      </c>
      <c r="D6" s="3689"/>
      <c r="E6" s="3690" t="s">
        <v>1408</v>
      </c>
      <c r="F6" s="3691"/>
      <c r="G6" s="3688" t="s">
        <v>1408</v>
      </c>
      <c r="H6" s="3689"/>
      <c r="I6" s="3688" t="s">
        <v>1408</v>
      </c>
      <c r="J6" s="3689"/>
      <c r="K6" s="1259" t="s">
        <v>1409</v>
      </c>
      <c r="L6" s="1260"/>
      <c r="M6" s="1261"/>
      <c r="N6" s="1261"/>
      <c r="O6" s="1261"/>
      <c r="P6" s="3711"/>
      <c r="Q6" s="3712"/>
      <c r="R6" s="3715"/>
      <c r="S6" s="3716"/>
      <c r="T6" s="3717"/>
      <c r="U6" s="3718"/>
      <c r="V6" s="3719"/>
      <c r="W6" s="3719"/>
      <c r="X6" s="1303"/>
      <c r="Y6" s="3717"/>
      <c r="Z6" s="3718"/>
      <c r="AA6" s="3706"/>
      <c r="AB6" s="3706"/>
      <c r="AC6" s="3706"/>
    </row>
    <row r="7" spans="1:30" s="1093" customFormat="1" ht="15">
      <c r="A7" s="1118" t="s">
        <v>1410</v>
      </c>
      <c r="B7" s="1119"/>
      <c r="C7" s="1120">
        <f>'数据-取费表'!B2</f>
        <v>45911</v>
      </c>
      <c r="D7" s="1121">
        <v>100</v>
      </c>
      <c r="E7" s="1122"/>
      <c r="F7" s="1123">
        <f>SUMIF(69:69,YEAR(E7)&amp;"-"&amp;INT((MONTH(E7)+2)/3),70:70)</f>
        <v>0</v>
      </c>
      <c r="G7" s="1124"/>
      <c r="H7" s="1121">
        <f>SUMIF(69:69,YEAR(G7)&amp;"-"&amp;INT((MONTH(G7)+2)/3),70:70)</f>
        <v>0</v>
      </c>
      <c r="I7" s="1124"/>
      <c r="J7" s="1121">
        <f>SUMIF(69:69,YEAR(I7)&amp;"-"&amp;INT((MONTH(I7)+2)/3),70:70)</f>
        <v>0</v>
      </c>
      <c r="K7" s="1262"/>
      <c r="L7" s="1263"/>
      <c r="M7" s="1264"/>
      <c r="N7" s="1264"/>
      <c r="O7" s="1264"/>
      <c r="P7" s="3692" t="s">
        <v>1411</v>
      </c>
      <c r="Q7" s="3693"/>
      <c r="R7" s="1304" t="s">
        <v>1412</v>
      </c>
      <c r="S7" s="1305">
        <f t="shared" ref="S7:S15" si="0">F7</f>
        <v>0</v>
      </c>
      <c r="T7" s="1304" t="s">
        <v>1412</v>
      </c>
      <c r="U7" s="1305">
        <f t="shared" ref="U7:U15" si="1">H7</f>
        <v>0</v>
      </c>
      <c r="V7" s="1304" t="s">
        <v>1412</v>
      </c>
      <c r="W7" s="1305">
        <f t="shared" ref="W7:W15" si="2">J7</f>
        <v>0</v>
      </c>
      <c r="X7" s="1306"/>
      <c r="Y7" s="3692" t="s">
        <v>1411</v>
      </c>
      <c r="Z7" s="3694"/>
      <c r="AA7" s="1318" t="e">
        <f>D7/F7</f>
        <v>#DIV/0!</v>
      </c>
      <c r="AB7" s="1318" t="e">
        <f>D7/H7</f>
        <v>#DIV/0!</v>
      </c>
      <c r="AC7" s="1318" t="e">
        <f>D7/J7</f>
        <v>#DIV/0!</v>
      </c>
    </row>
    <row r="8" spans="1:30" s="1093" customFormat="1" ht="15">
      <c r="A8" s="1118" t="s">
        <v>1413</v>
      </c>
      <c r="B8" s="1119"/>
      <c r="C8" s="1125" t="s">
        <v>1459</v>
      </c>
      <c r="D8" s="1121">
        <v>100</v>
      </c>
      <c r="E8" s="1125"/>
      <c r="F8" s="1123">
        <f>SUMIF(72:72,E8,73:73)-SUMIF(72:72,C8,73:73)+100</f>
        <v>0</v>
      </c>
      <c r="G8" s="1125"/>
      <c r="H8" s="1121">
        <f>SUMIF(72:72,G8,73:73)-SUMIF(72:72,C8,73:73)+100</f>
        <v>0</v>
      </c>
      <c r="I8" s="1125"/>
      <c r="J8" s="1121">
        <f>SUMIF(72:72,I8,73:73)-SUMIF(72:72,C8,73:73)+100</f>
        <v>0</v>
      </c>
      <c r="K8" s="1262"/>
      <c r="L8" s="1263"/>
      <c r="M8" s="1264"/>
      <c r="N8" s="1264"/>
      <c r="O8" s="1264"/>
      <c r="P8" s="3692" t="s">
        <v>1415</v>
      </c>
      <c r="Q8" s="3694"/>
      <c r="R8" s="1304" t="s">
        <v>1412</v>
      </c>
      <c r="S8" s="1305">
        <f t="shared" si="0"/>
        <v>0</v>
      </c>
      <c r="T8" s="1304" t="s">
        <v>1412</v>
      </c>
      <c r="U8" s="1305">
        <f t="shared" si="1"/>
        <v>0</v>
      </c>
      <c r="V8" s="1304" t="s">
        <v>1412</v>
      </c>
      <c r="W8" s="1305">
        <f t="shared" si="2"/>
        <v>0</v>
      </c>
      <c r="X8" s="1306"/>
      <c r="Y8" s="3692" t="s">
        <v>1415</v>
      </c>
      <c r="Z8" s="3694"/>
      <c r="AA8" s="1318" t="e">
        <f t="shared" ref="AA8:AA45" si="3">D8/F8</f>
        <v>#DIV/0!</v>
      </c>
      <c r="AB8" s="1318" t="e">
        <f t="shared" ref="AB8:AB45" si="4">D8/H8</f>
        <v>#DIV/0!</v>
      </c>
      <c r="AC8" s="1318" t="e">
        <f t="shared" ref="AC8:AC45" si="5">D8/J8</f>
        <v>#DIV/0!</v>
      </c>
    </row>
    <row r="9" spans="1:30" s="1093" customFormat="1">
      <c r="A9" s="1126" t="s">
        <v>1416</v>
      </c>
      <c r="B9" s="1127" t="s">
        <v>1417</v>
      </c>
      <c r="C9" s="1128"/>
      <c r="D9" s="1129">
        <v>100</v>
      </c>
      <c r="E9" s="1128"/>
      <c r="F9" s="1129">
        <f>SUMIF(74:74,E9,75:75)-SUMIF(74:74,C9,75:75)+100</f>
        <v>100</v>
      </c>
      <c r="G9" s="1128"/>
      <c r="H9" s="1129">
        <f>SUMIF(74:74,G9,75:75)-SUMIF(74:74,C9,75:75)+100</f>
        <v>100</v>
      </c>
      <c r="I9" s="1128"/>
      <c r="J9" s="1129">
        <f>SUMIF(74:74,I9,75:75)-SUMIF(74:74,C9,75:75)+100</f>
        <v>100</v>
      </c>
      <c r="K9" s="1262"/>
      <c r="L9" s="1263"/>
      <c r="M9" s="1264"/>
      <c r="N9" s="1264"/>
      <c r="O9" s="1265"/>
      <c r="P9" s="3695" t="s">
        <v>1418</v>
      </c>
      <c r="Q9" s="1308" t="str">
        <f t="shared" ref="Q9:Q15" si="6">B9</f>
        <v>用途</v>
      </c>
      <c r="R9" s="1304" t="s">
        <v>1412</v>
      </c>
      <c r="S9" s="1305">
        <f t="shared" si="0"/>
        <v>100</v>
      </c>
      <c r="T9" s="1304" t="s">
        <v>1412</v>
      </c>
      <c r="U9" s="1305">
        <f t="shared" si="1"/>
        <v>100</v>
      </c>
      <c r="V9" s="1304" t="s">
        <v>1412</v>
      </c>
      <c r="W9" s="1305">
        <f t="shared" si="2"/>
        <v>100</v>
      </c>
      <c r="X9" s="1306"/>
      <c r="Y9" s="3660" t="s">
        <v>1419</v>
      </c>
      <c r="Z9" s="1319" t="str">
        <f t="shared" ref="Z9:Z15" si="7">Q9</f>
        <v>用途</v>
      </c>
      <c r="AA9" s="1318">
        <f t="shared" si="3"/>
        <v>1</v>
      </c>
      <c r="AB9" s="1318">
        <f t="shared" si="4"/>
        <v>1</v>
      </c>
      <c r="AC9" s="1318">
        <f t="shared" si="5"/>
        <v>1</v>
      </c>
    </row>
    <row r="10" spans="1:30" s="1094" customFormat="1" ht="27">
      <c r="A10" s="1130"/>
      <c r="B10" s="1131" t="s">
        <v>1420</v>
      </c>
      <c r="C10" s="1132"/>
      <c r="D10" s="1133">
        <v>100</v>
      </c>
      <c r="E10" s="1439"/>
      <c r="F10" s="1133">
        <f>ROUND(100/'数据-取费表'!G16,0)</f>
        <v>111</v>
      </c>
      <c r="G10" s="1440"/>
      <c r="H10" s="1133">
        <f>ROUND(100/'数据-取费表'!G16,0)</f>
        <v>111</v>
      </c>
      <c r="I10" s="1440"/>
      <c r="J10" s="1133">
        <f>ROUND(100/'数据-取费表'!G16,0)</f>
        <v>111</v>
      </c>
      <c r="K10" s="1266"/>
      <c r="L10" s="1267"/>
      <c r="M10" s="1268"/>
      <c r="N10" s="1268"/>
      <c r="O10" s="1269"/>
      <c r="P10" s="3695"/>
      <c r="Q10" s="1308" t="str">
        <f t="shared" si="6"/>
        <v>土地使用年限（年）</v>
      </c>
      <c r="R10" s="1304" t="s">
        <v>1412</v>
      </c>
      <c r="S10" s="1305">
        <f t="shared" si="0"/>
        <v>111</v>
      </c>
      <c r="T10" s="1304" t="s">
        <v>1412</v>
      </c>
      <c r="U10" s="1305">
        <f t="shared" si="1"/>
        <v>111</v>
      </c>
      <c r="V10" s="1304" t="s">
        <v>1412</v>
      </c>
      <c r="W10" s="1305">
        <f t="shared" si="2"/>
        <v>111</v>
      </c>
      <c r="X10" s="1306"/>
      <c r="Y10" s="3660"/>
      <c r="Z10" s="1319" t="str">
        <f t="shared" si="7"/>
        <v>土地使用年限（年）</v>
      </c>
      <c r="AA10" s="1318">
        <f t="shared" si="3"/>
        <v>0.90090090090090102</v>
      </c>
      <c r="AB10" s="1318">
        <f t="shared" si="4"/>
        <v>0.90090090090090102</v>
      </c>
      <c r="AC10" s="1318">
        <f t="shared" si="5"/>
        <v>0.90090090090090102</v>
      </c>
    </row>
    <row r="11" spans="1:30" ht="15">
      <c r="A11" s="1134"/>
      <c r="B11" s="1131" t="s">
        <v>1960</v>
      </c>
      <c r="C11" s="1135"/>
      <c r="D11" s="1133">
        <v>100</v>
      </c>
      <c r="E11" s="1135"/>
      <c r="F11" s="1133" t="e">
        <f>LOOKUP(E11,79:79,80:80)-LOOKUP(C11,79:79,80:80)+100</f>
        <v>#N/A</v>
      </c>
      <c r="G11" s="1136"/>
      <c r="H11" s="1133" t="e">
        <f>LOOKUP(G11,79:79,80:80)-LOOKUP(C11,79:79,80:80)+100</f>
        <v>#N/A</v>
      </c>
      <c r="I11" s="1135"/>
      <c r="J11" s="1133" t="e">
        <f>LOOKUP(I11,79:79,80:80)-LOOKUP(C11,79:79,80:80)+100</f>
        <v>#N/A</v>
      </c>
      <c r="K11" s="1270"/>
      <c r="L11" s="1271"/>
      <c r="M11" s="1261"/>
      <c r="N11" s="1261"/>
      <c r="O11" s="1272"/>
      <c r="P11" s="3695"/>
      <c r="Q11" s="1308" t="str">
        <f t="shared" si="6"/>
        <v>容积率</v>
      </c>
      <c r="R11" s="1304" t="s">
        <v>1412</v>
      </c>
      <c r="S11" s="1305" t="e">
        <f t="shared" si="0"/>
        <v>#N/A</v>
      </c>
      <c r="T11" s="1304" t="s">
        <v>1412</v>
      </c>
      <c r="U11" s="1305" t="e">
        <f t="shared" si="1"/>
        <v>#N/A</v>
      </c>
      <c r="V11" s="1304" t="s">
        <v>1412</v>
      </c>
      <c r="W11" s="1305" t="e">
        <f t="shared" si="2"/>
        <v>#N/A</v>
      </c>
      <c r="X11" s="1306"/>
      <c r="Y11" s="3660"/>
      <c r="Z11" s="1319" t="str">
        <f t="shared" si="7"/>
        <v>容积率</v>
      </c>
      <c r="AA11" s="1318" t="e">
        <f t="shared" si="3"/>
        <v>#N/A</v>
      </c>
      <c r="AB11" s="1318" t="e">
        <f t="shared" si="4"/>
        <v>#N/A</v>
      </c>
      <c r="AC11" s="1318" t="e">
        <f t="shared" si="5"/>
        <v>#N/A</v>
      </c>
    </row>
    <row r="12" spans="1:30" s="1093" customFormat="1" ht="15">
      <c r="A12" s="1137"/>
      <c r="B12" s="1138" t="s">
        <v>2024</v>
      </c>
      <c r="C12" s="1132"/>
      <c r="D12" s="1139">
        <v>100</v>
      </c>
      <c r="E12" s="1439"/>
      <c r="F12" s="1133">
        <f>SUMIF(81:81,E12,82:82)-SUMIF(81:81,C12,82:82)+100</f>
        <v>100</v>
      </c>
      <c r="G12" s="1440"/>
      <c r="H12" s="1133">
        <f>SUMIF(81:81,G12,82:82)-SUMIF(81:81,C12,82:82)+100</f>
        <v>100</v>
      </c>
      <c r="I12" s="1439"/>
      <c r="J12" s="1133">
        <f>SUMIF(81:81,I12,82:82)-SUMIF(81:81,C12,82:82)+100</f>
        <v>100</v>
      </c>
      <c r="K12" s="1266"/>
      <c r="L12" s="1263"/>
      <c r="M12" s="1264"/>
      <c r="N12" s="1264"/>
      <c r="O12" s="1265"/>
      <c r="P12" s="3695"/>
      <c r="Q12" s="1308" t="str">
        <f t="shared" si="6"/>
        <v>配建</v>
      </c>
      <c r="R12" s="1304" t="s">
        <v>1412</v>
      </c>
      <c r="S12" s="1305">
        <f t="shared" si="0"/>
        <v>100</v>
      </c>
      <c r="T12" s="1304" t="s">
        <v>1412</v>
      </c>
      <c r="U12" s="1305">
        <f t="shared" si="1"/>
        <v>100</v>
      </c>
      <c r="V12" s="1304" t="s">
        <v>1412</v>
      </c>
      <c r="W12" s="1305">
        <f t="shared" si="2"/>
        <v>100</v>
      </c>
      <c r="X12" s="1306"/>
      <c r="Y12" s="3660"/>
      <c r="Z12" s="1319" t="str">
        <f t="shared" si="7"/>
        <v>配建</v>
      </c>
      <c r="AA12" s="1318">
        <f t="shared" si="3"/>
        <v>1</v>
      </c>
      <c r="AB12" s="1318">
        <f t="shared" si="4"/>
        <v>1</v>
      </c>
      <c r="AC12" s="1318">
        <f t="shared" si="5"/>
        <v>1</v>
      </c>
    </row>
    <row r="13" spans="1:30" ht="15">
      <c r="A13" s="1134"/>
      <c r="B13" s="1138">
        <v>111</v>
      </c>
      <c r="C13" s="1142"/>
      <c r="D13" s="1143">
        <v>100</v>
      </c>
      <c r="E13" s="1140"/>
      <c r="F13" s="1133">
        <f>SUMIF(83:83,E13,84:84)-SUMIF(83:83,C13,84:84)+100</f>
        <v>100</v>
      </c>
      <c r="G13" s="1141"/>
      <c r="H13" s="1143">
        <f>SUMIF(83:83,G13,84:84)-SUMIF(83:83,C13,84:84)+100</f>
        <v>100</v>
      </c>
      <c r="I13" s="1141"/>
      <c r="J13" s="1143">
        <f>SUMIF(83:83,I13,84:84)-SUMIF(83:83,C13,84:84)+100</f>
        <v>100</v>
      </c>
      <c r="K13" s="1266"/>
      <c r="L13" s="1273"/>
      <c r="M13" s="1261"/>
      <c r="N13" s="1261"/>
      <c r="O13" s="1272"/>
      <c r="P13" s="3695"/>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30" ht="15">
      <c r="A14" s="1144"/>
      <c r="B14" s="1145">
        <v>111</v>
      </c>
      <c r="C14" s="1146"/>
      <c r="D14" s="1147">
        <v>100</v>
      </c>
      <c r="E14" s="1140"/>
      <c r="F14" s="1147">
        <f>SUMIF(85:85,E14,86:86)-SUMIF(85:85,C14,86:86)+100</f>
        <v>100</v>
      </c>
      <c r="G14" s="1141"/>
      <c r="H14" s="1147">
        <f>SUMIF(85:85,G14,86:86)-SUMIF(85:85,C14,86:86)+100</f>
        <v>100</v>
      </c>
      <c r="I14" s="1141"/>
      <c r="J14" s="1147">
        <f>SUMIF(85:85,I14,86:86)-SUMIF(85:85,C14,86:86)+100</f>
        <v>100</v>
      </c>
      <c r="K14" s="1266"/>
      <c r="L14" s="1273"/>
      <c r="M14" s="1261"/>
      <c r="N14" s="1261"/>
      <c r="O14" s="1272"/>
      <c r="P14" s="3695"/>
      <c r="Q14" s="1308">
        <f t="shared" si="6"/>
        <v>111</v>
      </c>
      <c r="R14" s="1304" t="s">
        <v>1412</v>
      </c>
      <c r="S14" s="1305">
        <f t="shared" si="0"/>
        <v>100</v>
      </c>
      <c r="T14" s="1304" t="s">
        <v>1412</v>
      </c>
      <c r="U14" s="1305">
        <f t="shared" si="1"/>
        <v>100</v>
      </c>
      <c r="V14" s="1304" t="s">
        <v>1412</v>
      </c>
      <c r="W14" s="1305">
        <f t="shared" si="2"/>
        <v>100</v>
      </c>
      <c r="X14" s="1306"/>
      <c r="Y14" s="3660"/>
      <c r="Z14" s="1319">
        <f t="shared" si="7"/>
        <v>111</v>
      </c>
      <c r="AA14" s="1318">
        <f t="shared" si="3"/>
        <v>1</v>
      </c>
      <c r="AB14" s="1318">
        <f t="shared" si="4"/>
        <v>1</v>
      </c>
      <c r="AC14" s="1318">
        <f t="shared" si="5"/>
        <v>1</v>
      </c>
    </row>
    <row r="15" spans="1:30" ht="99.75">
      <c r="A15" s="1148" t="s">
        <v>1423</v>
      </c>
      <c r="B15" s="1441" t="s">
        <v>1961</v>
      </c>
      <c r="C15" s="1442" t="str">
        <f>估价对象房地状况!C15</f>
        <v>估价对象周边居住用地比例、居住小区规模和社区发展完善程度，综合评价居住社区成熟度一般</v>
      </c>
      <c r="D15" s="1151">
        <v>100</v>
      </c>
      <c r="E15" s="1152"/>
      <c r="F15" s="1151">
        <f>SUMIF(87:87,E16,88:88)-SUMIF(87:87,C16,88:88)+100</f>
        <v>100</v>
      </c>
      <c r="G15" s="1152"/>
      <c r="H15" s="1151">
        <f>SUMIF(87:87,G16,88:88)-SUMIF(87:87,C16,88:88)+100</f>
        <v>100</v>
      </c>
      <c r="I15" s="1274"/>
      <c r="J15" s="1151">
        <f>SUMIF(87:87,I16,88:88)-SUMIF(87:87,C16,88:88)+100</f>
        <v>100</v>
      </c>
      <c r="K15" s="1270"/>
      <c r="L15" s="1273"/>
      <c r="M15" s="1261"/>
      <c r="N15" s="1261"/>
      <c r="O15" s="1272"/>
      <c r="P15" s="3700" t="s">
        <v>1425</v>
      </c>
      <c r="Q15" s="816" t="str">
        <f t="shared" si="6"/>
        <v>居住社区成熟度</v>
      </c>
      <c r="R15" s="1309" t="s">
        <v>1412</v>
      </c>
      <c r="S15" s="1310">
        <f t="shared" si="0"/>
        <v>100</v>
      </c>
      <c r="T15" s="1309" t="s">
        <v>1412</v>
      </c>
      <c r="U15" s="1310">
        <f t="shared" si="1"/>
        <v>100</v>
      </c>
      <c r="V15" s="1309" t="s">
        <v>1412</v>
      </c>
      <c r="W15" s="1310">
        <f t="shared" si="2"/>
        <v>100</v>
      </c>
      <c r="X15" s="1303"/>
      <c r="Y15" s="3700" t="s">
        <v>1425</v>
      </c>
      <c r="Z15" s="1293" t="str">
        <f t="shared" si="7"/>
        <v>居住社区成熟度</v>
      </c>
      <c r="AA15" s="1320">
        <f t="shared" si="3"/>
        <v>1</v>
      </c>
      <c r="AB15" s="1320">
        <f t="shared" si="4"/>
        <v>1</v>
      </c>
      <c r="AC15" s="1320">
        <f t="shared" si="5"/>
        <v>1</v>
      </c>
    </row>
    <row r="16" spans="1:30" ht="15">
      <c r="A16" s="1134"/>
      <c r="B16" s="1443"/>
      <c r="C16" s="1154"/>
      <c r="D16" s="1155"/>
      <c r="E16" s="1163"/>
      <c r="F16" s="1155"/>
      <c r="G16" s="1163"/>
      <c r="H16" s="1157"/>
      <c r="I16" s="1276"/>
      <c r="J16" s="1155"/>
      <c r="K16" s="1266"/>
      <c r="L16" s="1273"/>
      <c r="M16" s="1261"/>
      <c r="N16" s="1261"/>
      <c r="O16" s="1272"/>
      <c r="P16" s="3701"/>
      <c r="Q16" s="816"/>
      <c r="R16" s="1309"/>
      <c r="S16" s="1310"/>
      <c r="T16" s="1309"/>
      <c r="U16" s="1310"/>
      <c r="V16" s="1309"/>
      <c r="W16" s="1310"/>
      <c r="X16" s="1303"/>
      <c r="Y16" s="3701"/>
      <c r="Z16" s="1293"/>
      <c r="AA16" s="1320">
        <v>1</v>
      </c>
      <c r="AB16" s="1320">
        <v>1</v>
      </c>
      <c r="AC16" s="1320">
        <v>1</v>
      </c>
    </row>
    <row r="17" spans="1:29" ht="71.25">
      <c r="A17" s="1134"/>
      <c r="B17" s="1444" t="s">
        <v>1997</v>
      </c>
      <c r="C17" s="813" t="str">
        <f>估价对象房地状况!C16</f>
        <v>估价对象位于XX商圈，周边商业氛围成熟，人流量大，商业繁华度好</v>
      </c>
      <c r="D17" s="1157">
        <v>100</v>
      </c>
      <c r="E17" s="1160"/>
      <c r="F17" s="1157">
        <f>SUMIF(89:89,E18,90:90)-SUMIF(89:89,C18,90:90)+100</f>
        <v>100</v>
      </c>
      <c r="G17" s="1160"/>
      <c r="H17" s="1161">
        <f>SUMIF(89:89,G18,90:90)-SUMIF(89:89,C18,90:90)+100</f>
        <v>100</v>
      </c>
      <c r="I17" s="1275"/>
      <c r="J17" s="1161">
        <f>SUMIF(89:89,I18,90:90)-SUMIF(89:89,C18,90:90)+100</f>
        <v>100</v>
      </c>
      <c r="K17" s="1270"/>
      <c r="L17" s="1273"/>
      <c r="M17" s="1261"/>
      <c r="N17" s="1261"/>
      <c r="O17" s="1272"/>
      <c r="P17" s="3701"/>
      <c r="Q17" s="816" t="str">
        <f>B17</f>
        <v>商业繁华度</v>
      </c>
      <c r="R17" s="1309" t="s">
        <v>1412</v>
      </c>
      <c r="S17" s="1310">
        <f>F17</f>
        <v>100</v>
      </c>
      <c r="T17" s="1309" t="s">
        <v>1412</v>
      </c>
      <c r="U17" s="1310">
        <f>H17</f>
        <v>100</v>
      </c>
      <c r="V17" s="1309" t="s">
        <v>1412</v>
      </c>
      <c r="W17" s="1310">
        <f>J17</f>
        <v>100</v>
      </c>
      <c r="X17" s="1303"/>
      <c r="Y17" s="3701"/>
      <c r="Z17" s="1293" t="str">
        <f>Q17</f>
        <v>商业繁华度</v>
      </c>
      <c r="AA17" s="1320">
        <f t="shared" si="3"/>
        <v>1</v>
      </c>
      <c r="AB17" s="1320">
        <f t="shared" si="4"/>
        <v>1</v>
      </c>
      <c r="AC17" s="1320">
        <f t="shared" si="5"/>
        <v>1</v>
      </c>
    </row>
    <row r="18" spans="1:29" ht="15">
      <c r="A18" s="1134"/>
      <c r="B18" s="1182"/>
      <c r="C18" s="1445"/>
      <c r="D18" s="1157"/>
      <c r="E18" s="1446"/>
      <c r="F18" s="1157"/>
      <c r="G18" s="1446"/>
      <c r="H18" s="1155"/>
      <c r="I18" s="1454"/>
      <c r="J18" s="1155"/>
      <c r="K18" s="1266"/>
      <c r="L18" s="1273"/>
      <c r="M18" s="1261"/>
      <c r="N18" s="1261"/>
      <c r="O18" s="1272"/>
      <c r="P18" s="3701"/>
      <c r="Q18" s="816"/>
      <c r="R18" s="1309"/>
      <c r="S18" s="1310"/>
      <c r="T18" s="1309"/>
      <c r="U18" s="1310"/>
      <c r="V18" s="1309"/>
      <c r="W18" s="1310"/>
      <c r="X18" s="1303"/>
      <c r="Y18" s="3701"/>
      <c r="Z18" s="1293"/>
      <c r="AA18" s="1320">
        <v>1</v>
      </c>
      <c r="AB18" s="1320">
        <v>1</v>
      </c>
      <c r="AC18" s="1320">
        <v>1</v>
      </c>
    </row>
    <row r="19" spans="1:29" ht="71.25">
      <c r="A19" s="1134"/>
      <c r="B19" s="1444" t="s">
        <v>2008</v>
      </c>
      <c r="C19" s="813" t="str">
        <f>估价对象房地状况!C17</f>
        <v>估价对象位于XX商圈，周边办公楼项目较多，入驻率高，办公集聚程度较好</v>
      </c>
      <c r="D19" s="1161">
        <v>100</v>
      </c>
      <c r="E19" s="1447"/>
      <c r="F19" s="1161">
        <f>SUMIF(91:91,E20,92:92)-SUMIF(91:91,C20,92:92)+100</f>
        <v>100</v>
      </c>
      <c r="G19" s="1447"/>
      <c r="H19" s="1157">
        <f>SUMIF(91:91,G20,92:92)-SUMIF(91:91,C20,92:92)+100</f>
        <v>100</v>
      </c>
      <c r="I19" s="1455"/>
      <c r="J19" s="1157">
        <f>SUMIF(91:91,I20,92:92)-SUMIF(91:91,C20,92:92)+100</f>
        <v>100</v>
      </c>
      <c r="K19" s="1270"/>
      <c r="L19" s="1273"/>
      <c r="M19" s="1261"/>
      <c r="N19" s="1261"/>
      <c r="O19" s="1272"/>
      <c r="P19" s="3701"/>
      <c r="Q19" s="816" t="str">
        <f>B19</f>
        <v>办公集聚程度</v>
      </c>
      <c r="R19" s="1309" t="s">
        <v>1412</v>
      </c>
      <c r="S19" s="1310">
        <f>F19</f>
        <v>100</v>
      </c>
      <c r="T19" s="1309" t="s">
        <v>1412</v>
      </c>
      <c r="U19" s="1310">
        <f>H19</f>
        <v>100</v>
      </c>
      <c r="V19" s="1309" t="s">
        <v>1412</v>
      </c>
      <c r="W19" s="1310">
        <f>J19</f>
        <v>100</v>
      </c>
      <c r="X19" s="1303"/>
      <c r="Y19" s="3701"/>
      <c r="Z19" s="1293" t="str">
        <f>Q19</f>
        <v>办公集聚程度</v>
      </c>
      <c r="AA19" s="1320">
        <f t="shared" si="3"/>
        <v>1</v>
      </c>
      <c r="AB19" s="1320">
        <f t="shared" si="4"/>
        <v>1</v>
      </c>
      <c r="AC19" s="1320">
        <f t="shared" si="5"/>
        <v>1</v>
      </c>
    </row>
    <row r="20" spans="1:29" ht="15">
      <c r="A20" s="1134"/>
      <c r="B20" s="1182"/>
      <c r="C20" s="1154"/>
      <c r="D20" s="1155"/>
      <c r="E20" s="1163"/>
      <c r="F20" s="1155"/>
      <c r="G20" s="1163"/>
      <c r="H20" s="1155"/>
      <c r="I20" s="1276"/>
      <c r="J20" s="1155"/>
      <c r="K20" s="1266"/>
      <c r="L20" s="1273"/>
      <c r="M20" s="1261"/>
      <c r="N20" s="1261"/>
      <c r="O20" s="1272"/>
      <c r="P20" s="3701"/>
      <c r="Q20" s="816"/>
      <c r="R20" s="1309"/>
      <c r="S20" s="1310"/>
      <c r="T20" s="1309"/>
      <c r="U20" s="1310"/>
      <c r="V20" s="1309"/>
      <c r="W20" s="1310"/>
      <c r="X20" s="1303"/>
      <c r="Y20" s="3701"/>
      <c r="Z20" s="1293"/>
      <c r="AA20" s="1320">
        <v>1</v>
      </c>
      <c r="AB20" s="1320">
        <v>1</v>
      </c>
      <c r="AC20" s="1320">
        <v>1</v>
      </c>
    </row>
    <row r="21" spans="1:29" ht="85.5">
      <c r="A21" s="1134"/>
      <c r="B21" s="1444" t="s">
        <v>1424</v>
      </c>
      <c r="C21" s="1159" t="str">
        <f>估价对象房地状况!C18</f>
        <v>估价对象周边道路状况、公共交通通达情况、停车便捷程度，综合评价交通便捷度较好</v>
      </c>
      <c r="D21" s="1157">
        <v>100</v>
      </c>
      <c r="E21" s="1160"/>
      <c r="F21" s="1161">
        <f>SUMIF(93:93,E22,94:94)-SUMIF(93:93,C22,94:94)+100</f>
        <v>100</v>
      </c>
      <c r="G21" s="1160"/>
      <c r="H21" s="1157">
        <f>SUMIF(93:93,G22,94:94)-SUMIF(93:93,C22,94:94)+100</f>
        <v>100</v>
      </c>
      <c r="I21" s="1275"/>
      <c r="J21" s="1157">
        <f>SUMIF(93:93,I22,94:94)-SUMIF(93:93,C22,94:94)+100</f>
        <v>100</v>
      </c>
      <c r="K21" s="1270"/>
      <c r="L21" s="1273"/>
      <c r="M21" s="1261"/>
      <c r="N21" s="1261"/>
      <c r="O21" s="1272"/>
      <c r="P21" s="3701"/>
      <c r="Q21" s="816" t="str">
        <f>B21</f>
        <v>交通便捷度</v>
      </c>
      <c r="R21" s="1309" t="s">
        <v>1412</v>
      </c>
      <c r="S21" s="1310">
        <f>F21</f>
        <v>100</v>
      </c>
      <c r="T21" s="1309" t="s">
        <v>1412</v>
      </c>
      <c r="U21" s="1310">
        <f>H21</f>
        <v>100</v>
      </c>
      <c r="V21" s="1309" t="s">
        <v>1412</v>
      </c>
      <c r="W21" s="1310">
        <f>J21</f>
        <v>100</v>
      </c>
      <c r="X21" s="1303"/>
      <c r="Y21" s="3701"/>
      <c r="Z21" s="1293" t="str">
        <f>Q21</f>
        <v>交通便捷度</v>
      </c>
      <c r="AA21" s="1320">
        <f t="shared" si="3"/>
        <v>1</v>
      </c>
      <c r="AB21" s="1320">
        <f t="shared" si="4"/>
        <v>1</v>
      </c>
      <c r="AC21" s="1320">
        <f t="shared" si="5"/>
        <v>1</v>
      </c>
    </row>
    <row r="22" spans="1:29" ht="15">
      <c r="A22" s="1134"/>
      <c r="B22" s="1448"/>
      <c r="C22" s="1154"/>
      <c r="D22" s="1157"/>
      <c r="E22" s="1163"/>
      <c r="F22" s="1155"/>
      <c r="G22" s="1163"/>
      <c r="H22" s="1155"/>
      <c r="I22" s="1276"/>
      <c r="J22" s="1155"/>
      <c r="K22" s="1266"/>
      <c r="L22" s="1273"/>
      <c r="M22" s="1261"/>
      <c r="N22" s="1261"/>
      <c r="O22" s="1272"/>
      <c r="P22" s="3701"/>
      <c r="Q22" s="816"/>
      <c r="R22" s="1309"/>
      <c r="S22" s="1310"/>
      <c r="T22" s="1309"/>
      <c r="U22" s="1310"/>
      <c r="V22" s="1309"/>
      <c r="W22" s="1310"/>
      <c r="X22" s="1303"/>
      <c r="Y22" s="3701"/>
      <c r="Z22" s="1293"/>
      <c r="AA22" s="1320">
        <v>1</v>
      </c>
      <c r="AB22" s="1320">
        <v>1</v>
      </c>
      <c r="AC22" s="1320">
        <v>1</v>
      </c>
    </row>
    <row r="23" spans="1:29" ht="15">
      <c r="A23" s="1114"/>
      <c r="B23" s="1444" t="s">
        <v>2025</v>
      </c>
      <c r="C23" s="1172">
        <f>估价对象房地状况!C19</f>
        <v>0</v>
      </c>
      <c r="D23" s="1161">
        <v>100</v>
      </c>
      <c r="E23" s="1160"/>
      <c r="F23" s="1161">
        <f>SUMIF(95:95,E24,96:96)-SUMIF(95:95,C24,96:96)+100</f>
        <v>100</v>
      </c>
      <c r="G23" s="1275"/>
      <c r="H23" s="1161">
        <f>SUMIF(95:95,G24,96:96)-SUMIF(95:95,C24,96:96)+100</f>
        <v>100</v>
      </c>
      <c r="I23" s="1275"/>
      <c r="J23" s="1161">
        <f>SUMIF(95:95,I24,96:96)-SUMIF(95:95,C24,96:96)+100</f>
        <v>100</v>
      </c>
      <c r="K23" s="1270"/>
      <c r="L23" s="1273"/>
      <c r="M23" s="1261"/>
      <c r="N23" s="1261"/>
      <c r="O23" s="1272"/>
      <c r="P23" s="3701"/>
      <c r="Q23" s="816" t="str">
        <f t="shared" ref="Q23:Q38" si="8">B23</f>
        <v>区域土地利用方向</v>
      </c>
      <c r="R23" s="1309" t="s">
        <v>1412</v>
      </c>
      <c r="S23" s="1310">
        <f>F23</f>
        <v>100</v>
      </c>
      <c r="T23" s="1309" t="s">
        <v>1412</v>
      </c>
      <c r="U23" s="1310">
        <f>H23</f>
        <v>100</v>
      </c>
      <c r="V23" s="1309" t="s">
        <v>1412</v>
      </c>
      <c r="W23" s="1310">
        <f>J23</f>
        <v>100</v>
      </c>
      <c r="X23" s="1303"/>
      <c r="Y23" s="3701"/>
      <c r="Z23" s="1293" t="str">
        <f>Q23</f>
        <v>区域土地利用方向</v>
      </c>
      <c r="AA23" s="1320">
        <f t="shared" si="3"/>
        <v>1</v>
      </c>
      <c r="AB23" s="1320">
        <f t="shared" si="4"/>
        <v>1</v>
      </c>
      <c r="AC23" s="1320">
        <f t="shared" si="5"/>
        <v>1</v>
      </c>
    </row>
    <row r="24" spans="1:29" ht="15">
      <c r="A24" s="1114"/>
      <c r="B24" s="1182"/>
      <c r="C24" s="1168"/>
      <c r="D24" s="1155"/>
      <c r="E24" s="1163"/>
      <c r="F24" s="1155"/>
      <c r="G24" s="1276"/>
      <c r="H24" s="1155"/>
      <c r="I24" s="1276"/>
      <c r="J24" s="1155"/>
      <c r="K24" s="1277"/>
      <c r="L24" s="1273"/>
      <c r="M24" s="1261"/>
      <c r="N24" s="1261"/>
      <c r="O24" s="1272"/>
      <c r="P24" s="3701"/>
      <c r="Q24" s="816"/>
      <c r="R24" s="1309"/>
      <c r="S24" s="1310"/>
      <c r="T24" s="1309"/>
      <c r="U24" s="1310"/>
      <c r="V24" s="1309"/>
      <c r="W24" s="1310"/>
      <c r="X24" s="1303"/>
      <c r="Y24" s="3701"/>
      <c r="Z24" s="1293"/>
      <c r="AA24" s="1320"/>
      <c r="AB24" s="1320"/>
      <c r="AC24" s="1320"/>
    </row>
    <row r="25" spans="1:29" ht="57">
      <c r="A25" s="1114"/>
      <c r="B25" s="1448" t="s">
        <v>2026</v>
      </c>
      <c r="C25" s="813" t="str">
        <f>估价对象房地状况!C20</f>
        <v>区域自然环境：；人文环境；综合评价环境状况一般</v>
      </c>
      <c r="D25" s="1157">
        <v>100</v>
      </c>
      <c r="E25" s="1160"/>
      <c r="F25" s="1157">
        <f>SUMIF(97:97,E26,98:98)-SUMIF(97:97,C26,98:98)+100</f>
        <v>100</v>
      </c>
      <c r="G25" s="1160"/>
      <c r="H25" s="1157">
        <f>SUMIF(97:97,G26,98:98)-SUMIF(97:97,C26,98:98)+100</f>
        <v>100</v>
      </c>
      <c r="I25" s="1275"/>
      <c r="J25" s="1157">
        <f>SUMIF(97:97,I26,98:98)-SUMIF(97:97,C26,98:98)+100</f>
        <v>100</v>
      </c>
      <c r="K25" s="1270"/>
      <c r="L25" s="1273"/>
      <c r="M25" s="1261"/>
      <c r="N25" s="1261"/>
      <c r="O25" s="1272"/>
      <c r="P25" s="3701"/>
      <c r="Q25" s="816" t="str">
        <f t="shared" si="8"/>
        <v>自然及人文环境状况</v>
      </c>
      <c r="R25" s="1309" t="s">
        <v>1412</v>
      </c>
      <c r="S25" s="1310">
        <f>F25</f>
        <v>100</v>
      </c>
      <c r="T25" s="1309" t="s">
        <v>1412</v>
      </c>
      <c r="U25" s="1310">
        <f>H25</f>
        <v>100</v>
      </c>
      <c r="V25" s="1309" t="s">
        <v>1412</v>
      </c>
      <c r="W25" s="1310">
        <f>J25</f>
        <v>100</v>
      </c>
      <c r="X25" s="1303"/>
      <c r="Y25" s="3701"/>
      <c r="Z25" s="1293" t="str">
        <f>Q25</f>
        <v>自然及人文环境状况</v>
      </c>
      <c r="AA25" s="1320">
        <f t="shared" si="3"/>
        <v>1</v>
      </c>
      <c r="AB25" s="1320">
        <f t="shared" si="4"/>
        <v>1</v>
      </c>
      <c r="AC25" s="1320">
        <f t="shared" si="5"/>
        <v>1</v>
      </c>
    </row>
    <row r="26" spans="1:29" ht="15">
      <c r="A26" s="1114"/>
      <c r="B26" s="1182"/>
      <c r="C26" s="1154"/>
      <c r="D26" s="1155"/>
      <c r="E26" s="1156"/>
      <c r="F26" s="1155"/>
      <c r="G26" s="1156"/>
      <c r="H26" s="1155"/>
      <c r="I26" s="1154"/>
      <c r="J26" s="1155"/>
      <c r="K26" s="1266"/>
      <c r="L26" s="1273"/>
      <c r="M26" s="1261"/>
      <c r="N26" s="1261"/>
      <c r="O26" s="1272"/>
      <c r="P26" s="3701"/>
      <c r="Q26" s="816"/>
      <c r="R26" s="1309"/>
      <c r="S26" s="1310"/>
      <c r="T26" s="1309"/>
      <c r="U26" s="1310"/>
      <c r="V26" s="1309"/>
      <c r="W26" s="1310"/>
      <c r="X26" s="1303"/>
      <c r="Y26" s="3701"/>
      <c r="Z26" s="1293"/>
      <c r="AA26" s="1320">
        <v>1</v>
      </c>
      <c r="AB26" s="1320">
        <v>1</v>
      </c>
      <c r="AC26" s="1320">
        <v>1</v>
      </c>
    </row>
    <row r="27" spans="1:29" s="1093" customFormat="1" ht="42.75">
      <c r="A27" s="1164"/>
      <c r="B27" s="1448" t="s">
        <v>1427</v>
      </c>
      <c r="C27" s="1159" t="str">
        <f>估价对象房地状况!C21</f>
        <v>估价对象所在区域公共配套设施齐备情况</v>
      </c>
      <c r="D27" s="1157">
        <v>100</v>
      </c>
      <c r="E27" s="1160"/>
      <c r="F27" s="1157">
        <f>SUMIF(99:99,E28,100:100)-SUMIF(99:99,C28,100:100)+100</f>
        <v>100</v>
      </c>
      <c r="G27" s="1160"/>
      <c r="H27" s="1157">
        <f>SUMIF(99:99,G28,100:100)-SUMIF(99:99,C28,100:100)+100</f>
        <v>100</v>
      </c>
      <c r="I27" s="1275"/>
      <c r="J27" s="1157">
        <f>SUMIF(99:99,I28,100:100)-SUMIF(99:99,C28,100:100)+100</f>
        <v>100</v>
      </c>
      <c r="K27" s="1270"/>
      <c r="L27" s="1263"/>
      <c r="M27" s="1264"/>
      <c r="N27" s="1264"/>
      <c r="O27" s="1265"/>
      <c r="P27" s="3701"/>
      <c r="Q27" s="1308" t="str">
        <f t="shared" si="8"/>
        <v>公共配套设施</v>
      </c>
      <c r="R27" s="1304" t="s">
        <v>1412</v>
      </c>
      <c r="S27" s="1305">
        <f>F27</f>
        <v>100</v>
      </c>
      <c r="T27" s="1304" t="s">
        <v>1412</v>
      </c>
      <c r="U27" s="1305">
        <f>H27</f>
        <v>100</v>
      </c>
      <c r="V27" s="1304" t="s">
        <v>1412</v>
      </c>
      <c r="W27" s="1305">
        <f>J27</f>
        <v>100</v>
      </c>
      <c r="X27" s="1306"/>
      <c r="Y27" s="3701"/>
      <c r="Z27" s="1319" t="str">
        <f>Q27</f>
        <v>公共配套设施</v>
      </c>
      <c r="AA27" s="1320">
        <f>D27/F27</f>
        <v>1</v>
      </c>
      <c r="AB27" s="1320">
        <f>D27/H27</f>
        <v>1</v>
      </c>
      <c r="AC27" s="1320">
        <f>D27/J27</f>
        <v>1</v>
      </c>
    </row>
    <row r="28" spans="1:29" s="1093" customFormat="1" ht="15">
      <c r="A28" s="1164"/>
      <c r="B28" s="1182"/>
      <c r="C28" s="1166"/>
      <c r="D28" s="1155"/>
      <c r="E28" s="1156"/>
      <c r="F28" s="1155"/>
      <c r="G28" s="1156"/>
      <c r="H28" s="1155"/>
      <c r="I28" s="1154"/>
      <c r="J28" s="1155"/>
      <c r="K28" s="1266"/>
      <c r="L28" s="1263"/>
      <c r="M28" s="1264"/>
      <c r="N28" s="1264"/>
      <c r="O28" s="1265"/>
      <c r="P28" s="3701"/>
      <c r="Q28" s="1308"/>
      <c r="R28" s="1304"/>
      <c r="S28" s="1305"/>
      <c r="T28" s="1304"/>
      <c r="U28" s="1305"/>
      <c r="V28" s="1304"/>
      <c r="W28" s="1305"/>
      <c r="X28" s="1306"/>
      <c r="Y28" s="3701"/>
      <c r="Z28" s="1319"/>
      <c r="AA28" s="1320">
        <v>1</v>
      </c>
      <c r="AB28" s="1320">
        <v>1</v>
      </c>
      <c r="AC28" s="1320">
        <v>1</v>
      </c>
    </row>
    <row r="29" spans="1:29" s="1093" customFormat="1" ht="28.5">
      <c r="A29" s="1164"/>
      <c r="B29" s="1448" t="s">
        <v>1429</v>
      </c>
      <c r="C29" s="1159" t="str">
        <f>估价对象房地状况!C22</f>
        <v>估价对象所在区域基础设施水平</v>
      </c>
      <c r="D29" s="1157">
        <v>100</v>
      </c>
      <c r="E29" s="1160"/>
      <c r="F29" s="1157">
        <f>SUMIF(101:101,E30,102:102)-SUMIF(101:101,C30,102:102)+100</f>
        <v>100</v>
      </c>
      <c r="G29" s="1160"/>
      <c r="H29" s="1157">
        <f>SUMIF(101:101,G30,102:102)-SUMIF(101:101,C30,102:102)+100</f>
        <v>100</v>
      </c>
      <c r="I29" s="1275"/>
      <c r="J29" s="1157">
        <f>SUMIF(101:101,I30,102:102)-SUMIF(101:101,C30,102:102)+100</f>
        <v>100</v>
      </c>
      <c r="K29" s="1270"/>
      <c r="L29" s="1263"/>
      <c r="M29" s="1264"/>
      <c r="N29" s="1264"/>
      <c r="O29" s="1265"/>
      <c r="P29" s="3701"/>
      <c r="Q29" s="1308" t="str">
        <f t="shared" ref="Q29" si="9">B29</f>
        <v>基础设施水平</v>
      </c>
      <c r="R29" s="1304" t="s">
        <v>1412</v>
      </c>
      <c r="S29" s="1305">
        <f>F29</f>
        <v>100</v>
      </c>
      <c r="T29" s="1304" t="s">
        <v>1412</v>
      </c>
      <c r="U29" s="1305">
        <f>H29</f>
        <v>100</v>
      </c>
      <c r="V29" s="1304" t="s">
        <v>1412</v>
      </c>
      <c r="W29" s="1305">
        <f>J29</f>
        <v>100</v>
      </c>
      <c r="X29" s="1306"/>
      <c r="Y29" s="3701"/>
      <c r="Z29" s="1319" t="str">
        <f>Q29</f>
        <v>基础设施水平</v>
      </c>
      <c r="AA29" s="1320">
        <f>D29/F29</f>
        <v>1</v>
      </c>
      <c r="AB29" s="1320">
        <f>D29/H29</f>
        <v>1</v>
      </c>
      <c r="AC29" s="1320">
        <f>D29/J29</f>
        <v>1</v>
      </c>
    </row>
    <row r="30" spans="1:29" s="1093" customFormat="1" ht="15">
      <c r="A30" s="1164"/>
      <c r="B30" s="1182"/>
      <c r="C30" s="1166"/>
      <c r="D30" s="1155"/>
      <c r="E30" s="1167"/>
      <c r="F30" s="1155"/>
      <c r="G30" s="1167"/>
      <c r="H30" s="1155"/>
      <c r="I30" s="1167"/>
      <c r="J30" s="1155"/>
      <c r="K30" s="1266"/>
      <c r="L30" s="1263"/>
      <c r="M30" s="1264"/>
      <c r="N30" s="1264"/>
      <c r="O30" s="1265"/>
      <c r="P30" s="3701"/>
      <c r="Q30" s="1308"/>
      <c r="R30" s="1304"/>
      <c r="S30" s="1305"/>
      <c r="T30" s="1304"/>
      <c r="U30" s="1305"/>
      <c r="V30" s="1304"/>
      <c r="W30" s="1305"/>
      <c r="X30" s="1306"/>
      <c r="Y30" s="3701"/>
      <c r="Z30" s="1319"/>
      <c r="AA30" s="1320">
        <v>1</v>
      </c>
      <c r="AB30" s="1320">
        <v>1</v>
      </c>
      <c r="AC30" s="1320">
        <v>1</v>
      </c>
    </row>
    <row r="31" spans="1:29" ht="15">
      <c r="A31" s="1134"/>
      <c r="B31" s="1182" t="s">
        <v>1998</v>
      </c>
      <c r="C31" s="1168"/>
      <c r="D31" s="1143">
        <v>100</v>
      </c>
      <c r="E31" s="1169"/>
      <c r="F31" s="1143">
        <f>SUMIF(103:103,E31,104:104)-SUMIF(103:103,C31,104:104)+100</f>
        <v>100</v>
      </c>
      <c r="G31" s="1169"/>
      <c r="H31" s="1143">
        <f>SUMIF(103:103,G31,104:104)-SUMIF(103:103,C31,104:104)+100</f>
        <v>100</v>
      </c>
      <c r="I31" s="1169"/>
      <c r="J31" s="1143">
        <f>SUMIF(103:103,I31,104:104)-SUMIF(103:103,C31,104:104)+100</f>
        <v>100</v>
      </c>
      <c r="K31" s="1270"/>
      <c r="L31" s="1273"/>
      <c r="M31" s="1261"/>
      <c r="N31" s="1261"/>
      <c r="O31" s="1272"/>
      <c r="P31" s="3701"/>
      <c r="Q31" s="816" t="str">
        <f t="shared" si="8"/>
        <v>临街状况</v>
      </c>
      <c r="R31" s="1309" t="s">
        <v>1412</v>
      </c>
      <c r="S31" s="1310">
        <f t="shared" ref="S31:S45" si="10">F31</f>
        <v>100</v>
      </c>
      <c r="T31" s="1309" t="s">
        <v>1412</v>
      </c>
      <c r="U31" s="1310">
        <f t="shared" ref="U31:U45" si="11">H31</f>
        <v>100</v>
      </c>
      <c r="V31" s="1309" t="s">
        <v>1412</v>
      </c>
      <c r="W31" s="1310">
        <f t="shared" ref="W31:W45" si="12">J31</f>
        <v>100</v>
      </c>
      <c r="X31" s="1303"/>
      <c r="Y31" s="3701"/>
      <c r="Z31" s="1293" t="str">
        <f t="shared" ref="Z31:Z45" si="13">Q31</f>
        <v>临街状况</v>
      </c>
      <c r="AA31" s="1320">
        <f t="shared" si="3"/>
        <v>1</v>
      </c>
      <c r="AB31" s="1320">
        <f t="shared" si="4"/>
        <v>1</v>
      </c>
      <c r="AC31" s="1320">
        <f t="shared" si="5"/>
        <v>1</v>
      </c>
    </row>
    <row r="32" spans="1:29" ht="27">
      <c r="A32" s="1134"/>
      <c r="B32" s="1448" t="s">
        <v>2010</v>
      </c>
      <c r="C32" s="1275"/>
      <c r="D32" s="1157">
        <v>100</v>
      </c>
      <c r="E32" s="1160"/>
      <c r="F32" s="1157">
        <f>SUMIF(105:105,E33,106:106)-SUMIF(105:105,C33,106:106)+100</f>
        <v>100</v>
      </c>
      <c r="G32" s="1160"/>
      <c r="H32" s="1157">
        <f>SUMIF(105:105,G33,106:106)-SUMIF(105:105,C33,106:106)+100</f>
        <v>100</v>
      </c>
      <c r="I32" s="1275"/>
      <c r="J32" s="1157">
        <f>SUMIF(105:105,I33,106:106)-SUMIF(105:105,C33,106:106)+100</f>
        <v>100</v>
      </c>
      <c r="K32" s="1270"/>
      <c r="L32" s="1273"/>
      <c r="M32" s="1261"/>
      <c r="N32" s="1261"/>
      <c r="O32" s="1272"/>
      <c r="P32" s="3701"/>
      <c r="Q32" s="816" t="str">
        <f t="shared" si="8"/>
        <v>毗邻道路的类型与等级</v>
      </c>
      <c r="R32" s="1309" t="s">
        <v>1412</v>
      </c>
      <c r="S32" s="1310">
        <f t="shared" si="10"/>
        <v>100</v>
      </c>
      <c r="T32" s="1309" t="s">
        <v>1412</v>
      </c>
      <c r="U32" s="1310">
        <f t="shared" si="11"/>
        <v>100</v>
      </c>
      <c r="V32" s="1309" t="s">
        <v>1412</v>
      </c>
      <c r="W32" s="1310">
        <f t="shared" si="12"/>
        <v>100</v>
      </c>
      <c r="X32" s="1303"/>
      <c r="Y32" s="3701"/>
      <c r="Z32" s="1293" t="str">
        <f t="shared" si="13"/>
        <v>毗邻道路的类型与等级</v>
      </c>
      <c r="AA32" s="1320">
        <f t="shared" si="3"/>
        <v>1</v>
      </c>
      <c r="AB32" s="1320">
        <f t="shared" si="4"/>
        <v>1</v>
      </c>
      <c r="AC32" s="1320">
        <f t="shared" si="5"/>
        <v>1</v>
      </c>
    </row>
    <row r="33" spans="1:29" ht="15">
      <c r="A33" s="1134"/>
      <c r="B33" s="1182"/>
      <c r="C33" s="1154"/>
      <c r="D33" s="1155"/>
      <c r="E33" s="1156"/>
      <c r="F33" s="1155"/>
      <c r="G33" s="1156"/>
      <c r="H33" s="1155"/>
      <c r="I33" s="1154"/>
      <c r="J33" s="1155"/>
      <c r="K33" s="1278"/>
      <c r="L33" s="1273"/>
      <c r="M33" s="1261"/>
      <c r="N33" s="1261"/>
      <c r="O33" s="1272"/>
      <c r="P33" s="3701"/>
      <c r="Q33" s="816"/>
      <c r="R33" s="1309"/>
      <c r="S33" s="1310"/>
      <c r="T33" s="1309"/>
      <c r="U33" s="1310"/>
      <c r="V33" s="1309"/>
      <c r="W33" s="1310"/>
      <c r="X33" s="1303"/>
      <c r="Y33" s="3701"/>
      <c r="Z33" s="1293"/>
      <c r="AA33" s="1320">
        <v>1</v>
      </c>
      <c r="AB33" s="1320">
        <v>1</v>
      </c>
      <c r="AC33" s="1320">
        <v>1</v>
      </c>
    </row>
    <row r="34" spans="1:29" ht="15">
      <c r="A34" s="1134"/>
      <c r="B34" s="1131" t="s">
        <v>2027</v>
      </c>
      <c r="C34" s="1168"/>
      <c r="D34" s="1143">
        <v>100</v>
      </c>
      <c r="E34" s="1169"/>
      <c r="F34" s="1143">
        <f>SUMIF(107:107,E34,108:108)-SUMIF(107:107,C34,108:108)+100</f>
        <v>100</v>
      </c>
      <c r="G34" s="1169"/>
      <c r="H34" s="1143">
        <f>SUMIF(107:107,G34,108:108)-SUMIF(107:107,C34,108:108)+100</f>
        <v>100</v>
      </c>
      <c r="I34" s="1168"/>
      <c r="J34" s="1143">
        <f>SUMIF(107:107,I34,108:108)-SUMIF(107:107,C34,108:108)+100</f>
        <v>100</v>
      </c>
      <c r="K34" s="1279"/>
      <c r="L34" s="1273"/>
      <c r="M34" s="1261"/>
      <c r="N34" s="1261"/>
      <c r="O34" s="1272"/>
      <c r="P34" s="3701"/>
      <c r="Q34" s="816" t="str">
        <f t="shared" si="8"/>
        <v>土地级别</v>
      </c>
      <c r="R34" s="1309" t="s">
        <v>1412</v>
      </c>
      <c r="S34" s="1310">
        <f t="shared" si="10"/>
        <v>100</v>
      </c>
      <c r="T34" s="1309" t="s">
        <v>1412</v>
      </c>
      <c r="U34" s="1310">
        <f t="shared" si="11"/>
        <v>100</v>
      </c>
      <c r="V34" s="1309" t="s">
        <v>1412</v>
      </c>
      <c r="W34" s="1310">
        <f t="shared" si="12"/>
        <v>100</v>
      </c>
      <c r="X34" s="1303"/>
      <c r="Y34" s="3701"/>
      <c r="Z34" s="1293" t="str">
        <f t="shared" si="13"/>
        <v>土地级别</v>
      </c>
      <c r="AA34" s="1320">
        <f t="shared" si="3"/>
        <v>1</v>
      </c>
      <c r="AB34" s="1320">
        <f t="shared" si="4"/>
        <v>1</v>
      </c>
      <c r="AC34" s="1320">
        <f t="shared" si="5"/>
        <v>1</v>
      </c>
    </row>
    <row r="35" spans="1:29" ht="15">
      <c r="A35" s="1114"/>
      <c r="B35" s="1449">
        <v>111</v>
      </c>
      <c r="C35" s="1141"/>
      <c r="D35" s="1143">
        <v>100</v>
      </c>
      <c r="E35" s="1174"/>
      <c r="F35" s="1143">
        <f>SUMIF(109:109,E35,110:110)-SUMIF(109:109,C35,110:110)+100</f>
        <v>100</v>
      </c>
      <c r="G35" s="1174"/>
      <c r="H35" s="1143">
        <f>SUMIF(109:109,G35,110:110)-SUMIF(109:109,C35,110:110)+100</f>
        <v>100</v>
      </c>
      <c r="I35" s="1141"/>
      <c r="J35" s="1143">
        <f>SUMIF(109:109,I35,110:110)-SUMIF(109:109,C35,110:110)+100</f>
        <v>100</v>
      </c>
      <c r="K35" s="1278"/>
      <c r="L35" s="1273"/>
      <c r="M35" s="1261"/>
      <c r="N35" s="1261"/>
      <c r="O35" s="1272"/>
      <c r="P35" s="3701"/>
      <c r="Q35" s="816">
        <f t="shared" si="8"/>
        <v>111</v>
      </c>
      <c r="R35" s="1309" t="s">
        <v>1412</v>
      </c>
      <c r="S35" s="1310">
        <f t="shared" si="10"/>
        <v>100</v>
      </c>
      <c r="T35" s="1309" t="s">
        <v>1412</v>
      </c>
      <c r="U35" s="1310">
        <f t="shared" si="11"/>
        <v>100</v>
      </c>
      <c r="V35" s="1309" t="s">
        <v>1412</v>
      </c>
      <c r="W35" s="1310">
        <f t="shared" si="12"/>
        <v>100</v>
      </c>
      <c r="X35" s="1303"/>
      <c r="Y35" s="3701"/>
      <c r="Z35" s="1293">
        <f t="shared" si="13"/>
        <v>111</v>
      </c>
      <c r="AA35" s="1320">
        <f t="shared" si="3"/>
        <v>1</v>
      </c>
      <c r="AB35" s="1320">
        <f t="shared" si="4"/>
        <v>1</v>
      </c>
      <c r="AC35" s="1320">
        <f t="shared" si="5"/>
        <v>1</v>
      </c>
    </row>
    <row r="36" spans="1:29" ht="15">
      <c r="A36" s="1175"/>
      <c r="B36" s="1189">
        <v>111</v>
      </c>
      <c r="C36" s="1141"/>
      <c r="D36" s="1143">
        <v>100</v>
      </c>
      <c r="E36" s="1174"/>
      <c r="F36" s="1143">
        <f>SUMIF(111:111,E37,112:112)-SUMIF(111:111,C37,112:112)+100</f>
        <v>100</v>
      </c>
      <c r="G36" s="1174"/>
      <c r="H36" s="1143">
        <f>SUMIF(111:111,G36,112:112)-SUMIF(111:111,C36,112:112)+100</f>
        <v>100</v>
      </c>
      <c r="I36" s="1141"/>
      <c r="J36" s="1143">
        <f>SUMIF(111:111,I36,112:112)-SUMIF(111:111,C36,112:112)+100</f>
        <v>100</v>
      </c>
      <c r="K36" s="1278"/>
      <c r="L36" s="1273"/>
      <c r="M36" s="1261"/>
      <c r="N36" s="1261"/>
      <c r="O36" s="1272"/>
      <c r="P36" s="3702" t="s">
        <v>1436</v>
      </c>
      <c r="Q36" s="816">
        <f t="shared" si="8"/>
        <v>111</v>
      </c>
      <c r="R36" s="1309" t="s">
        <v>1412</v>
      </c>
      <c r="S36" s="1310">
        <f t="shared" si="10"/>
        <v>100</v>
      </c>
      <c r="T36" s="1309" t="s">
        <v>1412</v>
      </c>
      <c r="U36" s="1310">
        <f t="shared" si="11"/>
        <v>100</v>
      </c>
      <c r="V36" s="1309" t="s">
        <v>1412</v>
      </c>
      <c r="W36" s="1310">
        <f t="shared" si="12"/>
        <v>100</v>
      </c>
      <c r="X36" s="1303"/>
      <c r="Y36" s="3703" t="s">
        <v>1436</v>
      </c>
      <c r="Z36" s="1293">
        <f t="shared" si="13"/>
        <v>111</v>
      </c>
      <c r="AA36" s="1320">
        <f t="shared" si="3"/>
        <v>1</v>
      </c>
      <c r="AB36" s="1320">
        <f t="shared" si="4"/>
        <v>1</v>
      </c>
      <c r="AC36" s="1320">
        <f t="shared" si="5"/>
        <v>1</v>
      </c>
    </row>
    <row r="37" spans="1:29" s="1095" customFormat="1" ht="15">
      <c r="A37" s="1177"/>
      <c r="B37" s="1450">
        <v>111</v>
      </c>
      <c r="C37" s="1179"/>
      <c r="D37" s="1180">
        <v>100</v>
      </c>
      <c r="E37" s="1181"/>
      <c r="F37" s="1147">
        <f>SUMIF(113:113,E37,114:114)-SUMIF(113:113,C37,114:114)+100</f>
        <v>100</v>
      </c>
      <c r="G37" s="1181"/>
      <c r="H37" s="1147">
        <f>SUMIF(113:113,G37,114:114)-SUMIF(113:113,C37,114:114)+100</f>
        <v>100</v>
      </c>
      <c r="I37" s="1179"/>
      <c r="J37" s="1147">
        <f>SUMIF(113:113,I37,114:114)-SUMIF(113:113,C37,114:114)+100</f>
        <v>100</v>
      </c>
      <c r="K37" s="1278"/>
      <c r="L37" s="1271"/>
      <c r="M37" s="1280"/>
      <c r="N37" s="1280"/>
      <c r="O37" s="1281"/>
      <c r="P37" s="3703"/>
      <c r="Q37" s="816">
        <f t="shared" si="8"/>
        <v>111</v>
      </c>
      <c r="R37" s="1311" t="s">
        <v>1412</v>
      </c>
      <c r="S37" s="1312">
        <f t="shared" si="10"/>
        <v>100</v>
      </c>
      <c r="T37" s="1311" t="s">
        <v>1412</v>
      </c>
      <c r="U37" s="1312">
        <f t="shared" si="11"/>
        <v>100</v>
      </c>
      <c r="V37" s="1311" t="s">
        <v>1412</v>
      </c>
      <c r="W37" s="1312">
        <f t="shared" si="12"/>
        <v>100</v>
      </c>
      <c r="X37" s="1313"/>
      <c r="Y37" s="3703"/>
      <c r="Z37" s="1321">
        <f t="shared" si="13"/>
        <v>111</v>
      </c>
      <c r="AA37" s="1320">
        <f t="shared" si="3"/>
        <v>1</v>
      </c>
      <c r="AB37" s="1320">
        <f t="shared" si="4"/>
        <v>1</v>
      </c>
      <c r="AC37" s="1320">
        <f t="shared" si="5"/>
        <v>1</v>
      </c>
    </row>
    <row r="38" spans="1:29" ht="15">
      <c r="A38" s="1185" t="s">
        <v>1434</v>
      </c>
      <c r="B38" s="1182" t="s">
        <v>2028</v>
      </c>
      <c r="C38" s="1183"/>
      <c r="D38" s="1184">
        <v>100</v>
      </c>
      <c r="E38" s="1183"/>
      <c r="F38" s="1184" t="e">
        <f>LOOKUP(E38,116:116,117:117)-LOOKUP(C38,116:116,117:117)+100</f>
        <v>#N/A</v>
      </c>
      <c r="G38" s="1183"/>
      <c r="H38" s="1184" t="e">
        <f>LOOKUP(G38,116:116,117:117)-LOOKUP(C38,116:116,117:117)+100</f>
        <v>#N/A</v>
      </c>
      <c r="I38" s="1282"/>
      <c r="J38" s="1184" t="e">
        <f>LOOKUP(I38,116:116,117:117)-LOOKUP(C38,116:116,117:117)+100</f>
        <v>#N/A</v>
      </c>
      <c r="K38" s="1278"/>
      <c r="L38" s="1273"/>
      <c r="M38" s="1261"/>
      <c r="N38" s="1261"/>
      <c r="O38" s="1272"/>
      <c r="P38" s="3703"/>
      <c r="Q38" s="816" t="str">
        <f t="shared" si="8"/>
        <v>宗地面积</v>
      </c>
      <c r="R38" s="1309" t="s">
        <v>1412</v>
      </c>
      <c r="S38" s="1310" t="e">
        <f t="shared" si="10"/>
        <v>#N/A</v>
      </c>
      <c r="T38" s="1309" t="s">
        <v>1412</v>
      </c>
      <c r="U38" s="1310" t="e">
        <f t="shared" si="11"/>
        <v>#N/A</v>
      </c>
      <c r="V38" s="1309" t="s">
        <v>1412</v>
      </c>
      <c r="W38" s="1310" t="e">
        <f t="shared" si="12"/>
        <v>#N/A</v>
      </c>
      <c r="X38" s="1303"/>
      <c r="Y38" s="3703"/>
      <c r="Z38" s="1293" t="str">
        <f t="shared" si="13"/>
        <v>宗地面积</v>
      </c>
      <c r="AA38" s="1320" t="e">
        <f t="shared" si="3"/>
        <v>#N/A</v>
      </c>
      <c r="AB38" s="1320" t="e">
        <f t="shared" si="4"/>
        <v>#N/A</v>
      </c>
      <c r="AC38" s="1320" t="e">
        <f t="shared" si="5"/>
        <v>#N/A</v>
      </c>
    </row>
    <row r="39" spans="1:29" ht="15">
      <c r="A39" s="1185"/>
      <c r="B39" s="1131" t="s">
        <v>2029</v>
      </c>
      <c r="C39" s="1186"/>
      <c r="D39" s="1143">
        <v>100</v>
      </c>
      <c r="E39" s="1186"/>
      <c r="F39" s="1143">
        <f>SUMIF(118:118,E39,119:119)-SUMIF(118:118,C39,119:119)+100</f>
        <v>100</v>
      </c>
      <c r="G39" s="1186"/>
      <c r="H39" s="1143">
        <f>SUMIF(118:118,G39,119:119)-SUMIF(118:118,C39,119:119)+100</f>
        <v>100</v>
      </c>
      <c r="I39" s="1186"/>
      <c r="J39" s="1143">
        <f>SUMIF(118:118,I39,119:119)-SUMIF(118:118,C39,119:119)+100</f>
        <v>100</v>
      </c>
      <c r="K39" s="1279"/>
      <c r="L39" s="1273"/>
      <c r="M39" s="1261"/>
      <c r="N39" s="1261"/>
      <c r="O39" s="1272"/>
      <c r="P39" s="3703"/>
      <c r="Q39" s="816" t="str">
        <f t="shared" ref="Q39:Q45" si="14">B39</f>
        <v>宗地形状</v>
      </c>
      <c r="R39" s="1309" t="s">
        <v>1412</v>
      </c>
      <c r="S39" s="1310">
        <f t="shared" si="10"/>
        <v>100</v>
      </c>
      <c r="T39" s="1309" t="s">
        <v>1412</v>
      </c>
      <c r="U39" s="1310">
        <f t="shared" si="11"/>
        <v>100</v>
      </c>
      <c r="V39" s="1309" t="s">
        <v>1412</v>
      </c>
      <c r="W39" s="1310">
        <f t="shared" si="12"/>
        <v>100</v>
      </c>
      <c r="X39" s="1303"/>
      <c r="Y39" s="3703"/>
      <c r="Z39" s="1293" t="str">
        <f t="shared" si="13"/>
        <v>宗地形状</v>
      </c>
      <c r="AA39" s="1320">
        <f t="shared" si="3"/>
        <v>1</v>
      </c>
      <c r="AB39" s="1320">
        <f t="shared" si="4"/>
        <v>1</v>
      </c>
      <c r="AC39" s="1320">
        <f t="shared" si="5"/>
        <v>1</v>
      </c>
    </row>
    <row r="40" spans="1:29" ht="15">
      <c r="A40" s="1185"/>
      <c r="B40" s="1131" t="s">
        <v>2030</v>
      </c>
      <c r="C40" s="1186"/>
      <c r="D40" s="1143">
        <v>100</v>
      </c>
      <c r="E40" s="1186"/>
      <c r="F40" s="1143">
        <f>SUMIF(120:120,E40,121:121)-SUMIF(120:120,C40,121:121)+100</f>
        <v>100</v>
      </c>
      <c r="G40" s="1186"/>
      <c r="H40" s="1143">
        <f>SUMIF(120:120,G40,121:121)-SUMIF(120:120,C40,121:121)+100</f>
        <v>100</v>
      </c>
      <c r="I40" s="1186"/>
      <c r="J40" s="1143">
        <f>SUMIF(120:120,I40,121:121)-SUMIF(120:120,C40,121:121)+100</f>
        <v>100</v>
      </c>
      <c r="K40" s="1279"/>
      <c r="L40" s="1273"/>
      <c r="M40" s="1261"/>
      <c r="N40" s="1261"/>
      <c r="O40" s="1272"/>
      <c r="P40" s="3703"/>
      <c r="Q40" s="816" t="str">
        <f t="shared" si="14"/>
        <v>临街宽度及深度</v>
      </c>
      <c r="R40" s="1309" t="s">
        <v>1412</v>
      </c>
      <c r="S40" s="1310">
        <f t="shared" si="10"/>
        <v>100</v>
      </c>
      <c r="T40" s="1309" t="s">
        <v>1412</v>
      </c>
      <c r="U40" s="1310">
        <f t="shared" si="11"/>
        <v>100</v>
      </c>
      <c r="V40" s="1309" t="s">
        <v>1412</v>
      </c>
      <c r="W40" s="1310">
        <f t="shared" si="12"/>
        <v>100</v>
      </c>
      <c r="X40" s="1303"/>
      <c r="Y40" s="3703"/>
      <c r="Z40" s="1293" t="str">
        <f t="shared" si="13"/>
        <v>临街宽度及深度</v>
      </c>
      <c r="AA40" s="1320">
        <f t="shared" si="3"/>
        <v>1</v>
      </c>
      <c r="AB40" s="1320">
        <f t="shared" si="4"/>
        <v>1</v>
      </c>
      <c r="AC40" s="1320">
        <f t="shared" si="5"/>
        <v>1</v>
      </c>
    </row>
    <row r="41" spans="1:29" s="1093" customFormat="1" ht="15">
      <c r="A41" s="1187"/>
      <c r="B41" s="1131" t="s">
        <v>2031</v>
      </c>
      <c r="C41" s="1188"/>
      <c r="D41" s="1133">
        <v>100</v>
      </c>
      <c r="E41" s="1188"/>
      <c r="F41" s="1143">
        <f>SUMIF(122:122,E41,123:123)-SUMIF(122:122,C41,123:123)+100</f>
        <v>100</v>
      </c>
      <c r="G41" s="1188"/>
      <c r="H41" s="1143">
        <f>SUMIF(122:122,G41,123:123)-SUMIF(122:122,C41,123:123)+100</f>
        <v>100</v>
      </c>
      <c r="I41" s="1188"/>
      <c r="J41" s="1143">
        <f>SUMIF(122:122,I41,123:123)-SUMIF(122:122,C41,123:123)+100</f>
        <v>100</v>
      </c>
      <c r="K41" s="1279"/>
      <c r="L41" s="1263"/>
      <c r="M41" s="1264"/>
      <c r="N41" s="1264"/>
      <c r="O41" s="1265"/>
      <c r="P41" s="3703"/>
      <c r="Q41" s="816" t="str">
        <f t="shared" si="14"/>
        <v>宗地开发程度</v>
      </c>
      <c r="R41" s="1304" t="s">
        <v>1412</v>
      </c>
      <c r="S41" s="1305">
        <f t="shared" si="10"/>
        <v>100</v>
      </c>
      <c r="T41" s="1304" t="s">
        <v>1412</v>
      </c>
      <c r="U41" s="1305">
        <f t="shared" si="11"/>
        <v>100</v>
      </c>
      <c r="V41" s="1304" t="s">
        <v>1412</v>
      </c>
      <c r="W41" s="1305">
        <f t="shared" si="12"/>
        <v>100</v>
      </c>
      <c r="X41" s="1306"/>
      <c r="Y41" s="3703"/>
      <c r="Z41" s="1319" t="str">
        <f t="shared" si="13"/>
        <v>宗地开发程度</v>
      </c>
      <c r="AA41" s="1318">
        <f t="shared" si="3"/>
        <v>1</v>
      </c>
      <c r="AB41" s="1318">
        <f t="shared" si="4"/>
        <v>1</v>
      </c>
      <c r="AC41" s="1318">
        <f t="shared" si="5"/>
        <v>1</v>
      </c>
    </row>
    <row r="42" spans="1:29" ht="15">
      <c r="A42" s="1185"/>
      <c r="B42" s="1131" t="s">
        <v>2032</v>
      </c>
      <c r="C42" s="1186"/>
      <c r="D42" s="1143">
        <v>100</v>
      </c>
      <c r="E42" s="1186"/>
      <c r="F42" s="1143">
        <f>SUMIF(124:124,E42,125:125)-SUMIF(124:124,C42,125:125)+100</f>
        <v>100</v>
      </c>
      <c r="G42" s="1186"/>
      <c r="H42" s="1143">
        <f>SUMIF(124:124,G42,125:125)-SUMIF(124:124,C42,125:125)+100</f>
        <v>100</v>
      </c>
      <c r="I42" s="1186"/>
      <c r="J42" s="1143">
        <f>SUMIF(124:124,I42,125:125)-SUMIF(124:124,C42,125:125)+100</f>
        <v>100</v>
      </c>
      <c r="K42" s="1279"/>
      <c r="L42" s="1273"/>
      <c r="M42" s="1261"/>
      <c r="N42" s="1261"/>
      <c r="O42" s="1272"/>
      <c r="P42" s="3703" t="s">
        <v>1436</v>
      </c>
      <c r="Q42" s="816" t="str">
        <f t="shared" si="14"/>
        <v>工程地质条件</v>
      </c>
      <c r="R42" s="1309" t="s">
        <v>1412</v>
      </c>
      <c r="S42" s="1310">
        <f t="shared" si="10"/>
        <v>100</v>
      </c>
      <c r="T42" s="1309" t="s">
        <v>1412</v>
      </c>
      <c r="U42" s="1310">
        <f t="shared" si="11"/>
        <v>100</v>
      </c>
      <c r="V42" s="1309" t="s">
        <v>1412</v>
      </c>
      <c r="W42" s="1310">
        <f t="shared" si="12"/>
        <v>100</v>
      </c>
      <c r="X42" s="1303"/>
      <c r="Y42" s="3703" t="s">
        <v>1436</v>
      </c>
      <c r="Z42" s="1293" t="str">
        <f t="shared" si="13"/>
        <v>工程地质条件</v>
      </c>
      <c r="AA42" s="1320">
        <f t="shared" si="3"/>
        <v>1</v>
      </c>
      <c r="AB42" s="1320">
        <f t="shared" si="4"/>
        <v>1</v>
      </c>
      <c r="AC42" s="1320">
        <f t="shared" si="5"/>
        <v>1</v>
      </c>
    </row>
    <row r="43" spans="1:29" ht="15">
      <c r="A43" s="1185"/>
      <c r="B43" s="1189">
        <v>111</v>
      </c>
      <c r="C43" s="1141"/>
      <c r="D43" s="1143">
        <v>100</v>
      </c>
      <c r="E43" s="1141"/>
      <c r="F43" s="1143">
        <f>SUMIF(126:126,E43,127:127)-SUMIF(126:126,C43,127:127)+100</f>
        <v>100</v>
      </c>
      <c r="G43" s="1141"/>
      <c r="H43" s="1143">
        <f>SUMIF(126:126,G43,127:127)-SUMIF(126:126,C43,127:127)+100</f>
        <v>100</v>
      </c>
      <c r="I43" s="1140"/>
      <c r="J43" s="1143">
        <f>SUMIF(126:126,I43,127:127)-SUMIF(126:126,C43,127:127)+100</f>
        <v>100</v>
      </c>
      <c r="K43" s="1278"/>
      <c r="L43" s="1273"/>
      <c r="M43" s="1261"/>
      <c r="N43" s="1261"/>
      <c r="O43" s="1272"/>
      <c r="P43" s="3703"/>
      <c r="Q43" s="816">
        <f t="shared" si="14"/>
        <v>111</v>
      </c>
      <c r="R43" s="1309" t="s">
        <v>1412</v>
      </c>
      <c r="S43" s="1310">
        <f t="shared" si="10"/>
        <v>100</v>
      </c>
      <c r="T43" s="1309" t="s">
        <v>1412</v>
      </c>
      <c r="U43" s="1310">
        <f t="shared" si="11"/>
        <v>100</v>
      </c>
      <c r="V43" s="1309" t="s">
        <v>1412</v>
      </c>
      <c r="W43" s="1310">
        <f t="shared" si="12"/>
        <v>100</v>
      </c>
      <c r="X43" s="1303"/>
      <c r="Y43" s="3703"/>
      <c r="Z43" s="1293">
        <f t="shared" si="13"/>
        <v>111</v>
      </c>
      <c r="AA43" s="1320">
        <f t="shared" si="3"/>
        <v>1</v>
      </c>
      <c r="AB43" s="1320">
        <f t="shared" si="4"/>
        <v>1</v>
      </c>
      <c r="AC43" s="1320">
        <f t="shared" si="5"/>
        <v>1</v>
      </c>
    </row>
    <row r="44" spans="1:29" ht="15">
      <c r="A44" s="1185"/>
      <c r="B44" s="1189">
        <v>111</v>
      </c>
      <c r="C44" s="1141"/>
      <c r="D44" s="1143">
        <v>100</v>
      </c>
      <c r="E44" s="1141"/>
      <c r="F44" s="1143">
        <f>SUMIF(128:128,E44,129:129)-SUMIF(128:128,C44,129:129)+100</f>
        <v>100</v>
      </c>
      <c r="G44" s="1141"/>
      <c r="H44" s="1143">
        <f>SUMIF(128:128,G44,129:129)-SUMIF(128:128,C44,129:129)+100</f>
        <v>100</v>
      </c>
      <c r="I44" s="1140"/>
      <c r="J44" s="1143">
        <f>SUMIF(128:128,I44,129:129)-SUMIF(128:128,C44,129:129)+100</f>
        <v>100</v>
      </c>
      <c r="K44" s="1278"/>
      <c r="L44" s="1273"/>
      <c r="M44" s="1261"/>
      <c r="N44" s="1261"/>
      <c r="O44" s="1272"/>
      <c r="P44" s="3703"/>
      <c r="Q44" s="816">
        <f t="shared" si="14"/>
        <v>111</v>
      </c>
      <c r="R44" s="1309" t="s">
        <v>1412</v>
      </c>
      <c r="S44" s="1310">
        <f t="shared" si="10"/>
        <v>100</v>
      </c>
      <c r="T44" s="1309" t="s">
        <v>1412</v>
      </c>
      <c r="U44" s="1310">
        <f t="shared" si="11"/>
        <v>100</v>
      </c>
      <c r="V44" s="1309" t="s">
        <v>1412</v>
      </c>
      <c r="W44" s="1310">
        <f t="shared" si="12"/>
        <v>100</v>
      </c>
      <c r="X44" s="1303"/>
      <c r="Y44" s="3703"/>
      <c r="Z44" s="1293">
        <f t="shared" si="13"/>
        <v>111</v>
      </c>
      <c r="AA44" s="1320">
        <f t="shared" si="3"/>
        <v>1</v>
      </c>
      <c r="AB44" s="1320">
        <f t="shared" si="4"/>
        <v>1</v>
      </c>
      <c r="AC44" s="1320">
        <f t="shared" si="5"/>
        <v>1</v>
      </c>
    </row>
    <row r="45" spans="1:29" s="1095" customFormat="1" ht="15">
      <c r="A45" s="1190"/>
      <c r="B45" s="1189">
        <v>111</v>
      </c>
      <c r="C45" s="1191"/>
      <c r="D45" s="1451">
        <v>100</v>
      </c>
      <c r="E45" s="1141"/>
      <c r="F45" s="1147">
        <f>SUMIF(130:130,E45,131:131)-SUMIF(130:130,C45,131:131)+100</f>
        <v>100</v>
      </c>
      <c r="G45" s="1141"/>
      <c r="H45" s="1147">
        <f>SUMIF(130:130,G45,131:131)-SUMIF(130:130,C45,131:131)+100</f>
        <v>100</v>
      </c>
      <c r="I45" s="1141"/>
      <c r="J45" s="1147">
        <f>SUMIF(130:130,I45,131:131)-SUMIF(130:130,C45,131:131)+100</f>
        <v>100</v>
      </c>
      <c r="K45" s="1283"/>
      <c r="L45" s="1271"/>
      <c r="M45" s="1280"/>
      <c r="N45" s="1280"/>
      <c r="O45" s="1281"/>
      <c r="P45" s="3703"/>
      <c r="Q45" s="816">
        <f t="shared" si="14"/>
        <v>111</v>
      </c>
      <c r="R45" s="1311" t="s">
        <v>1412</v>
      </c>
      <c r="S45" s="1312">
        <f t="shared" si="10"/>
        <v>100</v>
      </c>
      <c r="T45" s="1311" t="s">
        <v>1412</v>
      </c>
      <c r="U45" s="1312">
        <f t="shared" si="11"/>
        <v>100</v>
      </c>
      <c r="V45" s="1311" t="s">
        <v>1412</v>
      </c>
      <c r="W45" s="1312">
        <f t="shared" si="12"/>
        <v>100</v>
      </c>
      <c r="X45" s="1313"/>
      <c r="Y45" s="3703"/>
      <c r="Z45" s="1321">
        <f t="shared" si="13"/>
        <v>111</v>
      </c>
      <c r="AA45" s="1320">
        <f t="shared" si="3"/>
        <v>1</v>
      </c>
      <c r="AB45" s="1320">
        <f t="shared" si="4"/>
        <v>1</v>
      </c>
      <c r="AC45" s="1320">
        <f t="shared" si="5"/>
        <v>1</v>
      </c>
    </row>
    <row r="46" spans="1:29" ht="15">
      <c r="A46" s="1192" t="s">
        <v>1449</v>
      </c>
      <c r="B46" s="1193" t="s">
        <v>2033</v>
      </c>
      <c r="C46" s="1194" t="s">
        <v>124</v>
      </c>
      <c r="D46" s="1195"/>
      <c r="E46" s="1196"/>
      <c r="F46" s="1197"/>
      <c r="G46" s="1198"/>
      <c r="H46" s="1199"/>
      <c r="I46" s="1196"/>
      <c r="J46" s="1199"/>
      <c r="K46" s="1284"/>
      <c r="L46" s="1285"/>
      <c r="M46" s="1209"/>
      <c r="N46" s="1261"/>
      <c r="O46" s="1209"/>
      <c r="P46" s="3695" t="str">
        <f>A46</f>
        <v>成交单价</v>
      </c>
      <c r="Q46" s="3695"/>
      <c r="R46" s="3719">
        <f>E46</f>
        <v>0</v>
      </c>
      <c r="S46" s="3719"/>
      <c r="T46" s="3719">
        <f>G46</f>
        <v>0</v>
      </c>
      <c r="U46" s="3719"/>
      <c r="V46" s="3719">
        <f>I46</f>
        <v>0</v>
      </c>
      <c r="W46" s="3719"/>
      <c r="X46" s="1249"/>
      <c r="Y46" s="1322"/>
      <c r="Z46" s="1249"/>
      <c r="AA46" s="1249"/>
      <c r="AB46" s="1249"/>
      <c r="AC46" s="1249"/>
    </row>
    <row r="47" spans="1:29" ht="15">
      <c r="A47" s="1200" t="s">
        <v>1451</v>
      </c>
      <c r="B47" s="1201"/>
      <c r="C47" s="1202" t="e">
        <f>R48</f>
        <v>#DIV/0!</v>
      </c>
      <c r="D47" s="1203" t="s">
        <v>1452</v>
      </c>
      <c r="E47" s="1202" t="e">
        <f>R47</f>
        <v>#DIV/0!</v>
      </c>
      <c r="F47" s="1204"/>
      <c r="G47" s="1205" t="e">
        <f>T47</f>
        <v>#DIV/0!</v>
      </c>
      <c r="H47" s="1204"/>
      <c r="I47" s="1202" t="e">
        <f>V47</f>
        <v>#DIV/0!</v>
      </c>
      <c r="J47" s="1204"/>
      <c r="K47" s="1286">
        <f>F47+H47+J47</f>
        <v>0</v>
      </c>
      <c r="L47" s="1285"/>
      <c r="M47" s="1209"/>
      <c r="N47" s="1209"/>
      <c r="O47" s="1209"/>
      <c r="P47" s="3695" t="str">
        <f>A47</f>
        <v>比较价值（元/平方米）</v>
      </c>
      <c r="Q47" s="3695"/>
      <c r="R47" s="3773" t="e">
        <f>ROUND(PRODUCT(R46,AA7:AA45),0)</f>
        <v>#DIV/0!</v>
      </c>
      <c r="S47" s="3773"/>
      <c r="T47" s="3773" t="e">
        <f>ROUND(PRODUCT(T46,AB7:AB45),0)</f>
        <v>#DIV/0!</v>
      </c>
      <c r="U47" s="3773"/>
      <c r="V47" s="3773" t="e">
        <f>ROUND(PRODUCT(V46,AC7:AC45),0)</f>
        <v>#DIV/0!</v>
      </c>
      <c r="W47" s="3773"/>
      <c r="X47" s="1249"/>
      <c r="Y47" s="1249"/>
      <c r="Z47" s="1249"/>
      <c r="AA47" s="1249"/>
      <c r="AB47" s="1249"/>
      <c r="AC47" s="1249"/>
    </row>
    <row r="48" spans="1:29" ht="15">
      <c r="A48" s="1206" t="s">
        <v>2034</v>
      </c>
      <c r="B48" s="1207"/>
      <c r="C48" s="1208" t="e">
        <f>R48</f>
        <v>#DIV/0!</v>
      </c>
      <c r="D48" s="1208"/>
      <c r="E48" s="1208"/>
      <c r="F48" s="1208"/>
      <c r="G48" s="1208"/>
      <c r="H48" s="1208"/>
      <c r="I48" s="1208"/>
      <c r="J48" s="1208"/>
      <c r="K48" s="1287"/>
      <c r="L48" s="1285"/>
      <c r="M48" s="1209"/>
      <c r="N48" s="1209"/>
      <c r="O48" s="1209"/>
      <c r="P48" s="3697" t="str">
        <f>A48</f>
        <v>估价对象XX用房的比较价值（楼面单价，元/平方米）</v>
      </c>
      <c r="Q48" s="3698"/>
      <c r="R48" s="3774" t="e">
        <f>ROUND(IF(D47="简单平均",AVERAGE(R47:W47),R47*F47+T47*H47+V47*J47),0)</f>
        <v>#DIV/0!</v>
      </c>
      <c r="S48" s="3774"/>
      <c r="T48" s="3774"/>
      <c r="U48" s="3774"/>
      <c r="V48" s="3774"/>
      <c r="W48" s="3774"/>
      <c r="X48" s="1249"/>
      <c r="Y48" s="1249"/>
      <c r="Z48" s="1249"/>
      <c r="AA48" s="1249"/>
      <c r="AB48" s="1249"/>
      <c r="AC48" s="1249"/>
    </row>
    <row r="49" spans="1:29">
      <c r="A49" s="1209"/>
      <c r="B49" s="1209"/>
      <c r="C49" s="1209"/>
      <c r="D49" s="1209"/>
      <c r="E49" s="1209"/>
      <c r="F49" s="1209"/>
      <c r="G49" s="1210"/>
      <c r="H49" s="1209"/>
      <c r="I49" s="1209"/>
      <c r="J49" s="1209"/>
      <c r="K49" s="1289"/>
      <c r="L49" s="1290"/>
      <c r="M49" s="1209"/>
      <c r="N49" s="1209"/>
      <c r="O49" s="1209"/>
      <c r="P49" s="1209"/>
      <c r="Q49" s="1209"/>
      <c r="R49" s="1209"/>
      <c r="S49" s="1209"/>
      <c r="T49" s="1209"/>
      <c r="U49" s="1209"/>
      <c r="V49" s="1209"/>
      <c r="W49" s="1209"/>
      <c r="X49" s="1209"/>
      <c r="Y49" s="1209"/>
      <c r="Z49" s="1209"/>
      <c r="AA49" s="1209"/>
      <c r="AB49" s="1209"/>
      <c r="AC49" s="1209"/>
    </row>
    <row r="50" spans="1:29">
      <c r="A50" s="1209"/>
      <c r="B50" s="1209"/>
      <c r="C50" s="1209"/>
      <c r="D50" s="1209"/>
      <c r="E50" s="1209"/>
      <c r="F50" s="1209"/>
      <c r="G50" s="1209"/>
      <c r="H50" s="1209"/>
      <c r="I50" s="1209"/>
      <c r="J50" s="1209"/>
      <c r="K50" s="1289"/>
      <c r="L50" s="1290"/>
      <c r="M50" s="1209"/>
      <c r="N50" s="1209"/>
      <c r="O50" s="1209"/>
      <c r="P50" s="1209"/>
      <c r="Q50" s="1209"/>
      <c r="R50" s="1209"/>
      <c r="S50" s="1209"/>
      <c r="T50" s="1209"/>
      <c r="U50" s="1209"/>
      <c r="V50" s="1209"/>
      <c r="W50" s="1209"/>
      <c r="X50" s="1209"/>
      <c r="Y50" s="1209"/>
      <c r="Z50" s="1209"/>
      <c r="AA50" s="1209"/>
      <c r="AB50" s="1209"/>
      <c r="AC50" s="1209"/>
    </row>
    <row r="51" spans="1:29" ht="13.5" customHeight="1">
      <c r="A51" s="1209"/>
      <c r="B51" s="1209"/>
      <c r="C51" s="1211" t="s">
        <v>1454</v>
      </c>
      <c r="D51" s="860"/>
      <c r="E51" s="1212" t="e">
        <f>IF(E46&lt;E47,E47/E46-1,E46/E47-1)</f>
        <v>#DIV/0!</v>
      </c>
      <c r="F51" s="1213" t="e">
        <f>IF(OR(E51&gt;=0.3,E51&lt;=-0.3),"超过30%","")</f>
        <v>#DIV/0!</v>
      </c>
      <c r="G51" s="1212" t="e">
        <f>IF(G46&lt;G47,G47/G46-1,G46/G47-1)</f>
        <v>#DIV/0!</v>
      </c>
      <c r="H51" s="1213" t="e">
        <f>IF(OR(G51&gt;=0.3,G51&lt;=-0.3),"超过30%","")</f>
        <v>#DIV/0!</v>
      </c>
      <c r="I51" s="1212" t="e">
        <f>IF(I46&lt;I47,I47/I46-1,I46/I47-1)</f>
        <v>#DIV/0!</v>
      </c>
      <c r="J51" s="1213" t="e">
        <f>IF(OR(I51&gt;=0.3,I51&lt;=-0.3),"超过30%","")</f>
        <v>#DIV/0!</v>
      </c>
      <c r="K51" s="1289"/>
      <c r="L51" s="1290"/>
      <c r="M51" s="1209"/>
      <c r="N51" s="1209"/>
      <c r="O51" s="1209"/>
      <c r="P51" s="1209"/>
      <c r="Q51" s="1209"/>
      <c r="R51" s="1209"/>
      <c r="S51" s="1209"/>
      <c r="T51" s="1209"/>
      <c r="U51" s="1209"/>
      <c r="V51" s="1209"/>
      <c r="W51" s="1209"/>
      <c r="X51" s="1209"/>
      <c r="Y51" s="1209"/>
      <c r="Z51" s="1209"/>
      <c r="AA51" s="1209"/>
      <c r="AB51" s="1209"/>
      <c r="AC51" s="1209"/>
    </row>
    <row r="52" spans="1:29" ht="13.5" customHeight="1">
      <c r="A52" s="1209"/>
      <c r="B52" s="1209"/>
      <c r="C52" s="1211" t="s">
        <v>1455</v>
      </c>
      <c r="D52" s="859"/>
      <c r="E52" s="1212" t="e">
        <f>IF(E47&lt;G47,G47/E47-1,E47/G47-1)</f>
        <v>#DIV/0!</v>
      </c>
      <c r="F52" s="1213" t="e">
        <f>IF(OR(E52&gt;=0.2,E52&lt;=-0.2),"超过20%","")</f>
        <v>#DIV/0!</v>
      </c>
      <c r="G52" s="1212" t="e">
        <f>IF(G47&lt;I47,I47/G47-1,G47/I47-1)</f>
        <v>#DIV/0!</v>
      </c>
      <c r="H52" s="1213" t="e">
        <f>IF(OR(G52&gt;=0.2,G52&lt;=-0.2),"超过20%","")</f>
        <v>#DIV/0!</v>
      </c>
      <c r="I52" s="1212" t="e">
        <f>IF(I47&lt;E47,E47/I47-1,I47/E47-1)</f>
        <v>#DIV/0!</v>
      </c>
      <c r="J52" s="1213" t="e">
        <f>IF(OR(I52&gt;=0.2,I52&lt;=-0.2),"超过20%","")</f>
        <v>#DIV/0!</v>
      </c>
      <c r="K52" s="1289"/>
      <c r="L52" s="1290"/>
      <c r="M52" s="1209"/>
      <c r="N52" s="1209"/>
      <c r="O52" s="1209"/>
      <c r="P52" s="1209"/>
      <c r="Q52" s="1209"/>
      <c r="R52" s="1209"/>
      <c r="S52" s="1209"/>
      <c r="T52" s="1209"/>
      <c r="U52" s="1209"/>
      <c r="V52" s="1209"/>
      <c r="W52" s="1209"/>
      <c r="X52" s="1209"/>
      <c r="Y52" s="1209"/>
      <c r="Z52" s="1209"/>
      <c r="AA52" s="1209"/>
      <c r="AB52" s="1209"/>
      <c r="AC52" s="1209"/>
    </row>
    <row r="53" spans="1:29" s="1096" customFormat="1" ht="13.5" customHeight="1">
      <c r="A53" s="1214"/>
      <c r="B53" s="1214"/>
      <c r="C53" s="1211" t="s">
        <v>1456</v>
      </c>
      <c r="D53" s="859"/>
      <c r="E53" s="1212" t="e">
        <f>IF(E46&lt;G46,G46/E46-1,E46/G46-1)</f>
        <v>#DIV/0!</v>
      </c>
      <c r="F53" s="1213" t="e">
        <f>IF(OR(E53&gt;=0.3,E53&lt;=-0.3),"超过30%","")</f>
        <v>#DIV/0!</v>
      </c>
      <c r="G53" s="1212" t="e">
        <f>IF(G46&lt;I46,I46/G46-1,G46/I46-1)</f>
        <v>#DIV/0!</v>
      </c>
      <c r="H53" s="1213" t="e">
        <f>IF(OR(G53&gt;=0.3,G53&lt;=-0.3),"超过30%","")</f>
        <v>#DIV/0!</v>
      </c>
      <c r="I53" s="1212" t="e">
        <f>IF(I46&lt;E46,E46/I46-1,I46/E46-1)</f>
        <v>#DIV/0!</v>
      </c>
      <c r="J53" s="1213" t="e">
        <f>IF(OR(I53&gt;=0.3,I53&lt;=-0.3),"超过30%","")</f>
        <v>#DIV/0!</v>
      </c>
      <c r="K53" s="1291"/>
      <c r="L53" s="1292"/>
      <c r="M53" s="1214"/>
      <c r="N53" s="1214"/>
      <c r="O53" s="1214"/>
      <c r="P53" s="1214"/>
      <c r="Q53" s="1214"/>
      <c r="R53" s="1214"/>
      <c r="S53" s="1214"/>
      <c r="T53" s="1214"/>
      <c r="U53" s="1214"/>
      <c r="V53" s="1214"/>
      <c r="W53" s="1214"/>
      <c r="X53" s="1214"/>
      <c r="Y53" s="1214"/>
      <c r="Z53" s="1214"/>
      <c r="AA53" s="1214"/>
      <c r="AB53" s="1214"/>
      <c r="AC53" s="1214"/>
    </row>
    <row r="54" spans="1:29" s="1096" customFormat="1">
      <c r="A54" s="1214"/>
      <c r="B54" s="1215"/>
      <c r="C54" s="1216"/>
      <c r="D54" s="1217"/>
      <c r="E54" s="1217"/>
      <c r="F54" s="1217"/>
      <c r="G54" s="1217"/>
      <c r="H54" s="1217"/>
      <c r="I54" s="1217"/>
      <c r="J54" s="1217"/>
      <c r="K54" s="1291"/>
      <c r="L54" s="1292"/>
      <c r="M54" s="1214"/>
      <c r="N54" s="1214"/>
      <c r="O54" s="1214"/>
      <c r="P54" s="1214"/>
      <c r="Q54" s="1214"/>
      <c r="R54" s="1214"/>
      <c r="S54" s="1214"/>
      <c r="T54" s="1214"/>
      <c r="U54" s="1214"/>
      <c r="V54" s="1214"/>
      <c r="W54" s="1214"/>
      <c r="X54" s="1214"/>
      <c r="Y54" s="1214"/>
      <c r="Z54" s="1214"/>
      <c r="AA54" s="1214"/>
      <c r="AB54" s="1214"/>
      <c r="AC54" s="1214"/>
    </row>
    <row r="55" spans="1:29" ht="27" customHeight="1">
      <c r="A55" s="1218" t="s">
        <v>2035</v>
      </c>
      <c r="B55" s="1219" t="s">
        <v>2036</v>
      </c>
      <c r="C55" s="1220" t="s">
        <v>2037</v>
      </c>
      <c r="D55" s="1221" t="s">
        <v>2038</v>
      </c>
      <c r="E55" s="1222" t="s">
        <v>2039</v>
      </c>
      <c r="F55" s="1452" t="s">
        <v>2040</v>
      </c>
      <c r="G55" s="3679" t="s">
        <v>2041</v>
      </c>
      <c r="H55" s="3775"/>
      <c r="I55" s="1456" t="s">
        <v>2042</v>
      </c>
      <c r="J55" s="1457">
        <f>项目基本情况!F35</f>
        <v>0</v>
      </c>
      <c r="K55" s="1294" t="s">
        <v>2043</v>
      </c>
      <c r="L55" s="1290"/>
      <c r="M55" s="1209"/>
      <c r="N55" s="1209"/>
      <c r="O55" s="1209"/>
      <c r="P55" s="1209"/>
      <c r="Q55" s="1209"/>
      <c r="R55" s="1209"/>
      <c r="S55" s="1209"/>
      <c r="T55" s="1209"/>
      <c r="U55" s="1209"/>
      <c r="V55" s="1209"/>
      <c r="W55" s="1209"/>
      <c r="X55" s="1209"/>
      <c r="Y55" s="1209"/>
      <c r="Z55" s="1209"/>
      <c r="AA55" s="1209"/>
      <c r="AB55" s="1209"/>
      <c r="AC55" s="1209"/>
    </row>
    <row r="56" spans="1:29" s="1097" customFormat="1">
      <c r="A56" s="1224" t="s">
        <v>2044</v>
      </c>
      <c r="B56" s="1225" t="e">
        <f>C48</f>
        <v>#DIV/0!</v>
      </c>
      <c r="C56" s="1226">
        <v>1</v>
      </c>
      <c r="D56" s="1227">
        <v>1</v>
      </c>
      <c r="E56" s="1226">
        <f>'数据-汇总表'!E8+'数据-汇总表'!E9</f>
        <v>0</v>
      </c>
      <c r="F56" s="1453" t="e">
        <f t="shared" ref="F56:F64" si="15">ROUND(B56*E56/10000,0)</f>
        <v>#DIV/0!</v>
      </c>
      <c r="G56" s="3751"/>
      <c r="H56" s="3695"/>
      <c r="I56" s="1458">
        <v>1</v>
      </c>
      <c r="J56" s="1459">
        <v>1</v>
      </c>
      <c r="K56" s="1214"/>
      <c r="L56" s="1295"/>
      <c r="M56" s="1295"/>
      <c r="N56" s="1295"/>
      <c r="O56" s="1295"/>
      <c r="P56" s="1295"/>
      <c r="Q56" s="1295"/>
      <c r="R56" s="1295"/>
      <c r="S56" s="1295"/>
      <c r="T56" s="1295"/>
      <c r="U56" s="1295"/>
      <c r="V56" s="1295"/>
      <c r="W56" s="1295"/>
      <c r="X56" s="1295"/>
      <c r="Y56" s="1295"/>
      <c r="Z56" s="1295"/>
      <c r="AA56" s="1295"/>
      <c r="AB56" s="1295"/>
      <c r="AC56" s="1295"/>
    </row>
    <row r="57" spans="1:29" s="1097" customFormat="1">
      <c r="A57" s="1229" t="s">
        <v>2045</v>
      </c>
      <c r="B57" s="403" t="e">
        <f>ROUND($C$48*C57*D57,0)</f>
        <v>#DIV/0!</v>
      </c>
      <c r="C57" s="734">
        <f t="shared" ref="C57:C64" si="16">IF($C$55="北京市系数",I57,J57)</f>
        <v>0.5</v>
      </c>
      <c r="D57" s="1230">
        <v>0.25</v>
      </c>
      <c r="E57" s="1231"/>
      <c r="F57" s="1453" t="e">
        <f t="shared" si="15"/>
        <v>#DIV/0!</v>
      </c>
      <c r="G57" s="1232" t="s">
        <v>2046</v>
      </c>
      <c r="H57" s="1233" t="str">
        <f>项目基本情况!B37</f>
        <v>九级</v>
      </c>
      <c r="I57" s="1458">
        <f>SUMIF(修正!A59:A70,H57,修正!B59:B70)</f>
        <v>0.5</v>
      </c>
      <c r="J57" s="1460"/>
      <c r="K57" s="1209"/>
      <c r="L57" s="1295"/>
      <c r="M57" s="1295"/>
      <c r="N57" s="1295"/>
      <c r="O57" s="1295"/>
      <c r="P57" s="1295"/>
      <c r="Q57" s="1295"/>
      <c r="R57" s="1295"/>
      <c r="S57" s="1295"/>
      <c r="T57" s="1295"/>
      <c r="U57" s="1295"/>
      <c r="V57" s="1295"/>
      <c r="W57" s="1295"/>
      <c r="X57" s="1295"/>
      <c r="Y57" s="1295"/>
      <c r="Z57" s="1295"/>
      <c r="AA57" s="1295"/>
      <c r="AB57" s="1295"/>
      <c r="AC57" s="1295"/>
    </row>
    <row r="58" spans="1:29" s="1097" customFormat="1">
      <c r="A58" s="1229" t="s">
        <v>2047</v>
      </c>
      <c r="B58" s="403" t="e">
        <f t="shared" ref="B58:B64" si="17">ROUND($C$48*C58*D58,0)</f>
        <v>#DIV/0!</v>
      </c>
      <c r="C58" s="734">
        <f t="shared" si="16"/>
        <v>0.2</v>
      </c>
      <c r="D58" s="1230">
        <v>0.25</v>
      </c>
      <c r="E58" s="1231"/>
      <c r="F58" s="1453" t="e">
        <f t="shared" si="15"/>
        <v>#DIV/0!</v>
      </c>
      <c r="G58" s="1234"/>
      <c r="H58" s="1233" t="str">
        <f>项目基本情况!B37</f>
        <v>九级</v>
      </c>
      <c r="I58" s="1458">
        <f>SUMIF(修正!A59:A70,H58,修正!C59:C70)</f>
        <v>0.2</v>
      </c>
      <c r="J58" s="1460"/>
      <c r="K58" s="1214"/>
      <c r="L58" s="1295"/>
      <c r="M58" s="1295"/>
      <c r="N58" s="1295"/>
      <c r="O58" s="1295"/>
      <c r="P58" s="1295"/>
      <c r="Q58" s="1295"/>
      <c r="R58" s="1295"/>
      <c r="S58" s="1295"/>
      <c r="T58" s="1295"/>
      <c r="U58" s="1295"/>
      <c r="V58" s="1295"/>
      <c r="W58" s="1295"/>
      <c r="X58" s="1295"/>
      <c r="Y58" s="1295"/>
      <c r="Z58" s="1295"/>
      <c r="AA58" s="1295"/>
      <c r="AB58" s="1295"/>
      <c r="AC58" s="1295"/>
    </row>
    <row r="59" spans="1:29" s="1097" customFormat="1">
      <c r="A59" s="1229" t="s">
        <v>2048</v>
      </c>
      <c r="B59" s="403" t="e">
        <f t="shared" si="17"/>
        <v>#DIV/0!</v>
      </c>
      <c r="C59" s="734">
        <f t="shared" si="16"/>
        <v>0.2</v>
      </c>
      <c r="D59" s="1230">
        <v>0.25</v>
      </c>
      <c r="E59" s="1231"/>
      <c r="F59" s="1453" t="e">
        <f t="shared" si="15"/>
        <v>#DIV/0!</v>
      </c>
      <c r="G59" s="1234"/>
      <c r="H59" s="1233" t="str">
        <f>项目基本情况!B37</f>
        <v>九级</v>
      </c>
      <c r="I59" s="1458">
        <f>SUMIF(修正!A59:A70,H59,修正!D59:D70)</f>
        <v>0.2</v>
      </c>
      <c r="J59" s="1460"/>
      <c r="K59" s="1209"/>
      <c r="L59" s="1295"/>
      <c r="M59" s="1295"/>
      <c r="N59" s="1295"/>
      <c r="O59" s="1295"/>
      <c r="P59" s="1295"/>
      <c r="Q59" s="1295"/>
      <c r="R59" s="1295"/>
      <c r="S59" s="1295"/>
      <c r="T59" s="1295"/>
      <c r="U59" s="1295"/>
      <c r="V59" s="1295"/>
      <c r="W59" s="1295"/>
      <c r="X59" s="1295"/>
      <c r="Y59" s="1295"/>
      <c r="Z59" s="1295"/>
      <c r="AA59" s="1295"/>
      <c r="AB59" s="1295"/>
      <c r="AC59" s="1295"/>
    </row>
    <row r="60" spans="1:29" s="1097" customFormat="1">
      <c r="A60" s="1229" t="s">
        <v>2049</v>
      </c>
      <c r="B60" s="403" t="e">
        <f t="shared" si="17"/>
        <v>#DIV/0!</v>
      </c>
      <c r="C60" s="734">
        <f t="shared" si="16"/>
        <v>0.2</v>
      </c>
      <c r="D60" s="1230">
        <v>0.25</v>
      </c>
      <c r="E60" s="402">
        <f>'数据-汇总表'!E11</f>
        <v>0</v>
      </c>
      <c r="F60" s="1453" t="e">
        <f t="shared" si="15"/>
        <v>#DIV/0!</v>
      </c>
      <c r="G60" s="1236" t="s">
        <v>2050</v>
      </c>
      <c r="H60" s="1233" t="str">
        <f>项目基本情况!C37</f>
        <v>九级</v>
      </c>
      <c r="I60" s="1458">
        <f>SUMIF(修正!A59:A70,H60,修正!E59:E70)</f>
        <v>0.2</v>
      </c>
      <c r="J60" s="1460"/>
      <c r="K60" s="1209"/>
      <c r="L60" s="1295"/>
      <c r="M60" s="1295"/>
      <c r="N60" s="1295"/>
      <c r="O60" s="1295"/>
      <c r="P60" s="1295"/>
      <c r="Q60" s="1295"/>
      <c r="R60" s="1295"/>
      <c r="S60" s="1295"/>
      <c r="T60" s="1295"/>
      <c r="U60" s="1295"/>
      <c r="V60" s="1295"/>
      <c r="W60" s="1295"/>
      <c r="X60" s="1295"/>
      <c r="Y60" s="1295"/>
      <c r="Z60" s="1295"/>
      <c r="AA60" s="1295"/>
      <c r="AB60" s="1295"/>
      <c r="AC60" s="1295"/>
    </row>
    <row r="61" spans="1:29" s="1097" customFormat="1">
      <c r="A61" s="1229" t="s">
        <v>2051</v>
      </c>
      <c r="B61" s="403" t="e">
        <f t="shared" si="17"/>
        <v>#DIV/0!</v>
      </c>
      <c r="C61" s="734">
        <f t="shared" si="16"/>
        <v>0.2</v>
      </c>
      <c r="D61" s="1230">
        <v>0.25</v>
      </c>
      <c r="E61" s="402">
        <f>'数据-汇总表'!E12</f>
        <v>0</v>
      </c>
      <c r="F61" s="1453" t="e">
        <f t="shared" si="15"/>
        <v>#DIV/0!</v>
      </c>
      <c r="G61" s="1237" t="s">
        <v>2052</v>
      </c>
      <c r="H61" s="1233" t="str">
        <f>IF(G61="商业",项目基本情况!B37,IF(G61="办公",项目基本情况!C37,IF(G61="住宅",项目基本情况!D37,项目基本情况!E37)))</f>
        <v>九级</v>
      </c>
      <c r="I61" s="1458">
        <f>SUMIF(修正!A59:A70,H61,修正!F59:F70)</f>
        <v>0.2</v>
      </c>
      <c r="J61" s="1460"/>
      <c r="K61" s="1214"/>
      <c r="L61" s="1295"/>
      <c r="M61" s="1295"/>
      <c r="N61" s="1295"/>
      <c r="O61" s="1295"/>
      <c r="P61" s="1295"/>
      <c r="Q61" s="1295"/>
      <c r="R61" s="1295"/>
      <c r="S61" s="1295"/>
      <c r="T61" s="1295"/>
      <c r="U61" s="1295"/>
      <c r="V61" s="1295"/>
      <c r="W61" s="1295"/>
      <c r="X61" s="1295"/>
      <c r="Y61" s="1295"/>
      <c r="Z61" s="1295"/>
      <c r="AA61" s="1295"/>
      <c r="AB61" s="1295"/>
      <c r="AC61" s="1295"/>
    </row>
    <row r="62" spans="1:29" s="1097" customFormat="1">
      <c r="A62" s="1229" t="s">
        <v>2053</v>
      </c>
      <c r="B62" s="403" t="e">
        <f t="shared" si="17"/>
        <v>#DIV/0!</v>
      </c>
      <c r="C62" s="734">
        <f t="shared" si="16"/>
        <v>0.1</v>
      </c>
      <c r="D62" s="1230">
        <v>0.25</v>
      </c>
      <c r="E62" s="402">
        <f>'数据-汇总表'!E13</f>
        <v>30.6</v>
      </c>
      <c r="F62" s="1453" t="e">
        <f t="shared" si="15"/>
        <v>#DIV/0!</v>
      </c>
      <c r="G62" s="1237" t="s">
        <v>2054</v>
      </c>
      <c r="H62" s="1233" t="str">
        <f>IF(G62="商业",项目基本情况!B37,IF(G62="办公",项目基本情况!C37,IF(G62="住宅",项目基本情况!D37,项目基本情况!E37)))</f>
        <v>九级</v>
      </c>
      <c r="I62" s="1458">
        <f>SUMIF(修正!A59:A70,H62,修正!G59:G70)</f>
        <v>0.1</v>
      </c>
      <c r="J62" s="1460"/>
      <c r="K62" s="1209"/>
      <c r="L62" s="1295"/>
      <c r="M62" s="1295"/>
      <c r="N62" s="1295"/>
      <c r="O62" s="1295"/>
      <c r="P62" s="1295"/>
      <c r="Q62" s="1295"/>
      <c r="R62" s="1295"/>
      <c r="S62" s="1295"/>
      <c r="T62" s="1295"/>
      <c r="U62" s="1295"/>
      <c r="V62" s="1295"/>
      <c r="W62" s="1295"/>
      <c r="X62" s="1295"/>
      <c r="Y62" s="1295"/>
      <c r="Z62" s="1295"/>
      <c r="AA62" s="1295"/>
      <c r="AB62" s="1295"/>
      <c r="AC62" s="1295"/>
    </row>
    <row r="63" spans="1:29" s="1097" customFormat="1">
      <c r="A63" s="1229" t="s">
        <v>2055</v>
      </c>
      <c r="B63" s="403" t="e">
        <f t="shared" si="17"/>
        <v>#DIV/0!</v>
      </c>
      <c r="C63" s="734">
        <f t="shared" si="16"/>
        <v>0.1</v>
      </c>
      <c r="D63" s="1230">
        <v>0.25</v>
      </c>
      <c r="E63" s="402">
        <f>'数据-汇总表'!E14</f>
        <v>0</v>
      </c>
      <c r="F63" s="1453" t="e">
        <f t="shared" si="15"/>
        <v>#DIV/0!</v>
      </c>
      <c r="G63" s="1236" t="s">
        <v>2046</v>
      </c>
      <c r="H63" s="1233" t="str">
        <f>项目基本情况!B37</f>
        <v>九级</v>
      </c>
      <c r="I63" s="1458">
        <f>SUMIF(修正!A59:A70,H63,修正!G59:G70)</f>
        <v>0.1</v>
      </c>
      <c r="J63" s="1460"/>
      <c r="K63" s="1214"/>
      <c r="L63" s="1295"/>
      <c r="M63" s="1295"/>
      <c r="N63" s="1295"/>
      <c r="O63" s="1295"/>
      <c r="P63" s="1295"/>
      <c r="Q63" s="1295"/>
      <c r="R63" s="1295"/>
      <c r="S63" s="1295"/>
      <c r="T63" s="1295"/>
      <c r="U63" s="1295"/>
      <c r="V63" s="1295"/>
      <c r="W63" s="1295"/>
      <c r="X63" s="1295"/>
      <c r="Y63" s="1295"/>
      <c r="Z63" s="1295"/>
      <c r="AA63" s="1295"/>
      <c r="AB63" s="1295"/>
      <c r="AC63" s="1295"/>
    </row>
    <row r="64" spans="1:29" s="1097" customFormat="1">
      <c r="A64" s="1229" t="s">
        <v>2056</v>
      </c>
      <c r="B64" s="403" t="e">
        <f t="shared" si="17"/>
        <v>#DIV/0!</v>
      </c>
      <c r="C64" s="734">
        <f t="shared" si="16"/>
        <v>0.1</v>
      </c>
      <c r="D64" s="1230">
        <v>0.25</v>
      </c>
      <c r="E64" s="402">
        <f>'数据-汇总表'!E15</f>
        <v>0</v>
      </c>
      <c r="F64" s="1453" t="e">
        <f t="shared" si="15"/>
        <v>#DIV/0!</v>
      </c>
      <c r="G64" s="1238" t="s">
        <v>2050</v>
      </c>
      <c r="H64" s="1239" t="str">
        <f>项目基本情况!C37</f>
        <v>九级</v>
      </c>
      <c r="I64" s="1461">
        <f>SUMIF(修正!A59:A70,H64,修正!G59:G70)</f>
        <v>0.1</v>
      </c>
      <c r="J64" s="1462"/>
      <c r="K64" s="1209"/>
      <c r="L64" s="1295"/>
      <c r="M64" s="1295"/>
      <c r="N64" s="1295"/>
      <c r="O64" s="1295"/>
      <c r="P64" s="1295"/>
      <c r="Q64" s="1295"/>
      <c r="R64" s="1295"/>
      <c r="S64" s="1295"/>
      <c r="T64" s="1295"/>
      <c r="U64" s="1295"/>
      <c r="V64" s="1295"/>
      <c r="W64" s="1295"/>
      <c r="X64" s="1295"/>
      <c r="Y64" s="1295"/>
      <c r="Z64" s="1295"/>
      <c r="AA64" s="1295"/>
      <c r="AB64" s="1295"/>
      <c r="AC64" s="1295"/>
    </row>
    <row r="65" spans="1:29" s="1097" customFormat="1" ht="12.75">
      <c r="A65" s="1240" t="s">
        <v>2057</v>
      </c>
      <c r="B65" s="1241" t="s">
        <v>1143</v>
      </c>
      <c r="C65" s="1241" t="s">
        <v>1143</v>
      </c>
      <c r="D65" s="1241" t="s">
        <v>1143</v>
      </c>
      <c r="E65" s="1241">
        <f>IF(B46="楼面地价",SUM(E56:E64),'数据-汇总表'!D3)</f>
        <v>30.6</v>
      </c>
      <c r="F65" s="1242" t="e">
        <f>IF(B46="楼面地价",SUM(F56:F64),ROUND(C48*E65/10000,0))</f>
        <v>#DIV/0!</v>
      </c>
      <c r="G65" s="1464"/>
      <c r="H65" s="1464"/>
      <c r="I65" s="1464"/>
      <c r="J65" s="1464"/>
      <c r="K65" s="1466"/>
      <c r="L65" s="1295"/>
      <c r="M65" s="1295"/>
      <c r="N65" s="1295"/>
      <c r="O65" s="1295"/>
      <c r="P65" s="1295"/>
      <c r="Q65" s="1295"/>
      <c r="R65" s="1295"/>
      <c r="S65" s="1295"/>
      <c r="T65" s="1295"/>
      <c r="U65" s="1295"/>
      <c r="V65" s="1295"/>
      <c r="W65" s="1295"/>
      <c r="X65" s="1295"/>
      <c r="Y65" s="1295"/>
      <c r="Z65" s="1295"/>
      <c r="AA65" s="1295"/>
      <c r="AB65" s="1295"/>
      <c r="AC65" s="1295"/>
    </row>
    <row r="66" spans="1:29">
      <c r="A66" s="1249"/>
      <c r="B66" s="1247"/>
      <c r="C66" s="1216"/>
      <c r="D66" s="1249"/>
      <c r="E66" s="1249"/>
      <c r="F66" s="1249"/>
      <c r="G66" s="1249"/>
      <c r="H66" s="1249"/>
      <c r="I66" s="1249"/>
      <c r="J66" s="1244"/>
      <c r="K66" s="1297"/>
      <c r="L66" s="1298"/>
      <c r="M66" s="1244"/>
      <c r="N66" s="1244"/>
      <c r="O66" s="1244"/>
      <c r="P66" s="1209"/>
      <c r="Q66" s="1209"/>
      <c r="R66" s="1209"/>
      <c r="S66" s="1209"/>
      <c r="T66" s="1209"/>
      <c r="U66" s="1209"/>
      <c r="V66" s="1209"/>
      <c r="W66" s="1209"/>
      <c r="X66" s="1209"/>
      <c r="Y66" s="1209"/>
      <c r="Z66" s="1209"/>
      <c r="AA66" s="1209"/>
      <c r="AB66" s="1209"/>
      <c r="AC66" s="1209"/>
    </row>
    <row r="67" spans="1:29">
      <c r="A67" s="1249"/>
      <c r="B67" s="1247"/>
      <c r="C67" s="1247" t="str">
        <f>YEAR(C7)&amp;"-"&amp;MONTH(C7)&amp;"-1"</f>
        <v>2025-9-1</v>
      </c>
      <c r="D67" s="1247">
        <f>EDATE(C67,-3)</f>
        <v>45809</v>
      </c>
      <c r="E67" s="1247">
        <f>EDATE(D67,-3)</f>
        <v>45717</v>
      </c>
      <c r="F67" s="1247">
        <f t="shared" ref="F67:O67" si="18">EDATE(E67,-3)</f>
        <v>45627</v>
      </c>
      <c r="G67" s="1247">
        <f t="shared" si="18"/>
        <v>45536</v>
      </c>
      <c r="H67" s="1247">
        <f t="shared" si="18"/>
        <v>45444</v>
      </c>
      <c r="I67" s="1247">
        <f t="shared" si="18"/>
        <v>45352</v>
      </c>
      <c r="J67" s="1247">
        <f t="shared" si="18"/>
        <v>45261</v>
      </c>
      <c r="K67" s="1247">
        <f t="shared" si="18"/>
        <v>45170</v>
      </c>
      <c r="L67" s="1247">
        <f t="shared" si="18"/>
        <v>45078</v>
      </c>
      <c r="M67" s="1247">
        <f t="shared" si="18"/>
        <v>44986</v>
      </c>
      <c r="N67" s="1247">
        <f t="shared" si="18"/>
        <v>44896</v>
      </c>
      <c r="O67" s="1247">
        <f t="shared" si="18"/>
        <v>44805</v>
      </c>
      <c r="P67" s="1209"/>
      <c r="Q67" s="1209"/>
      <c r="R67" s="1209"/>
      <c r="S67" s="1209"/>
      <c r="T67" s="1209"/>
      <c r="U67" s="1209"/>
      <c r="V67" s="1209"/>
      <c r="W67" s="1209"/>
      <c r="X67" s="1209"/>
      <c r="Y67" s="1209"/>
      <c r="Z67" s="1209"/>
      <c r="AA67" s="1209"/>
      <c r="AB67" s="1209"/>
      <c r="AC67" s="1209"/>
    </row>
    <row r="68" spans="1:29" ht="21">
      <c r="A68" s="1248" t="s">
        <v>1457</v>
      </c>
      <c r="B68" s="1249"/>
      <c r="C68" s="1250"/>
      <c r="D68" s="1250"/>
      <c r="E68" s="1250"/>
      <c r="F68" s="1251"/>
      <c r="G68" s="1251"/>
      <c r="H68" s="1250"/>
      <c r="I68" s="1250"/>
      <c r="J68" s="1301"/>
      <c r="K68" s="1467"/>
      <c r="L68" s="1468"/>
      <c r="M68" s="1301"/>
      <c r="N68" s="1302"/>
      <c r="O68" s="1302"/>
      <c r="P68" s="1302"/>
      <c r="Q68" s="1314"/>
      <c r="R68" s="1209"/>
      <c r="S68" s="1209"/>
      <c r="T68" s="1209"/>
      <c r="U68" s="1209"/>
      <c r="V68" s="1209"/>
      <c r="W68" s="1209"/>
      <c r="X68" s="1209"/>
      <c r="Y68" s="1209"/>
      <c r="Z68" s="1209"/>
      <c r="AA68" s="1209"/>
      <c r="AB68" s="1209"/>
      <c r="AC68" s="1209"/>
    </row>
    <row r="69" spans="1:29" s="1098" customFormat="1" ht="15">
      <c r="A69" s="1323" t="s">
        <v>2058</v>
      </c>
      <c r="B69" s="1324"/>
      <c r="C69" s="1325" t="str">
        <f>YEAR(C67)&amp;"-"&amp;ROUNDUP(MONTH(C67)/3,0)</f>
        <v>2025-3</v>
      </c>
      <c r="D69" s="1325" t="str">
        <f>YEAR(D67)&amp;"-"&amp;ROUNDUP(MONTH(D67)/3,0)</f>
        <v>2025-2</v>
      </c>
      <c r="E69" s="1325" t="str">
        <f t="shared" ref="E69:O69" si="19">YEAR(E67)&amp;"-"&amp;ROUNDUP(MONTH(E67)/3,0)</f>
        <v>2025-1</v>
      </c>
      <c r="F69" s="1325" t="str">
        <f t="shared" si="19"/>
        <v>2024-4</v>
      </c>
      <c r="G69" s="1325" t="str">
        <f t="shared" si="19"/>
        <v>2024-3</v>
      </c>
      <c r="H69" s="1325" t="str">
        <f t="shared" si="19"/>
        <v>2024-2</v>
      </c>
      <c r="I69" s="1325" t="str">
        <f t="shared" si="19"/>
        <v>2024-1</v>
      </c>
      <c r="J69" s="1325" t="str">
        <f t="shared" si="19"/>
        <v>2023-4</v>
      </c>
      <c r="K69" s="1325" t="str">
        <f t="shared" si="19"/>
        <v>2023-3</v>
      </c>
      <c r="L69" s="1325" t="str">
        <f t="shared" si="19"/>
        <v>2023-2</v>
      </c>
      <c r="M69" s="1325" t="str">
        <f t="shared" si="19"/>
        <v>2023-1</v>
      </c>
      <c r="N69" s="1325" t="str">
        <f t="shared" si="19"/>
        <v>2022-4</v>
      </c>
      <c r="O69" s="1325" t="str">
        <f t="shared" si="19"/>
        <v>2022-3</v>
      </c>
      <c r="P69" s="1377"/>
      <c r="Q69" s="1433"/>
      <c r="R69" s="1433"/>
      <c r="S69" s="1433"/>
      <c r="T69" s="1433"/>
      <c r="U69" s="1433"/>
      <c r="V69" s="1433"/>
      <c r="W69" s="1433"/>
      <c r="X69" s="1433"/>
      <c r="Y69" s="1433"/>
      <c r="Z69" s="1433"/>
      <c r="AA69" s="1433"/>
      <c r="AB69" s="1433"/>
      <c r="AC69" s="1433"/>
    </row>
    <row r="70" spans="1:29" s="1093" customFormat="1" ht="30" customHeight="1">
      <c r="A70" s="1465" t="s">
        <v>2059</v>
      </c>
      <c r="B70" s="1327" t="str">
        <f>"北京市平均增长率"&amp;TEXT(SUMIF(基准地价修正!N25:N29,A70,基准地价修正!P25:P29),"0.00%")</f>
        <v>北京市平均增长率0.00%</v>
      </c>
      <c r="C70" s="992">
        <v>100</v>
      </c>
      <c r="D70" s="1328"/>
      <c r="E70" s="1328"/>
      <c r="F70" s="1328"/>
      <c r="G70" s="1328"/>
      <c r="H70" s="1328"/>
      <c r="I70" s="1328"/>
      <c r="J70" s="1328"/>
      <c r="K70" s="1328"/>
      <c r="L70" s="1328"/>
      <c r="M70" s="1378"/>
      <c r="N70" s="1328"/>
      <c r="O70" s="1469"/>
      <c r="P70" s="1314"/>
      <c r="Q70" s="1434"/>
      <c r="R70" s="1434"/>
      <c r="S70" s="1434"/>
      <c r="T70" s="1434"/>
      <c r="U70" s="1434"/>
      <c r="V70" s="1434"/>
      <c r="W70" s="1434"/>
      <c r="X70" s="1434"/>
      <c r="Y70" s="1434"/>
      <c r="Z70" s="1434"/>
      <c r="AA70" s="1434"/>
      <c r="AB70" s="1434"/>
      <c r="AC70" s="1434"/>
    </row>
    <row r="71" spans="1:29" s="1093" customFormat="1" ht="15">
      <c r="A71" s="1329" t="s">
        <v>1458</v>
      </c>
      <c r="B71" s="1330"/>
      <c r="C71" s="1331"/>
      <c r="D71" s="1332"/>
      <c r="E71" s="1332"/>
      <c r="F71" s="1332"/>
      <c r="G71" s="1332"/>
      <c r="H71" s="1332"/>
      <c r="I71" s="1332"/>
      <c r="J71" s="1332"/>
      <c r="K71" s="1332"/>
      <c r="L71" s="1332"/>
      <c r="M71" s="1380"/>
      <c r="N71" s="1332"/>
      <c r="O71" s="1470"/>
      <c r="P71" s="1314"/>
      <c r="Q71" s="1314"/>
      <c r="R71" s="1434"/>
      <c r="S71" s="1434"/>
      <c r="T71" s="1434"/>
      <c r="U71" s="1434"/>
      <c r="V71" s="1434"/>
      <c r="W71" s="1434"/>
      <c r="X71" s="1434"/>
      <c r="Y71" s="1434"/>
      <c r="Z71" s="1434"/>
      <c r="AA71" s="1434"/>
      <c r="AB71" s="1434"/>
      <c r="AC71" s="1434"/>
    </row>
    <row r="72" spans="1:29" s="1093" customFormat="1" ht="15">
      <c r="A72" s="1333" t="s">
        <v>1413</v>
      </c>
      <c r="B72" s="1334"/>
      <c r="C72" s="1335" t="s">
        <v>1459</v>
      </c>
      <c r="D72" s="1336"/>
      <c r="E72" s="1336"/>
      <c r="F72" s="1336"/>
      <c r="G72" s="1336"/>
      <c r="H72" s="1336"/>
      <c r="I72" s="1336"/>
      <c r="J72" s="1336"/>
      <c r="K72" s="1336"/>
      <c r="L72" s="1382"/>
      <c r="M72" s="1383"/>
      <c r="N72" s="1384"/>
      <c r="O72" s="1384"/>
      <c r="P72" s="1385"/>
      <c r="Q72" s="1314"/>
      <c r="R72" s="1434"/>
      <c r="S72" s="1434"/>
      <c r="T72" s="1434"/>
      <c r="U72" s="1434"/>
      <c r="V72" s="1434"/>
      <c r="W72" s="1434"/>
      <c r="X72" s="1434"/>
      <c r="Y72" s="1434"/>
      <c r="Z72" s="1434"/>
      <c r="AA72" s="1434"/>
      <c r="AB72" s="1434"/>
      <c r="AC72" s="1434"/>
    </row>
    <row r="73" spans="1:29" s="1093" customFormat="1" ht="15">
      <c r="A73" s="1333"/>
      <c r="B73" s="1334"/>
      <c r="C73" s="1337">
        <v>100</v>
      </c>
      <c r="D73" s="1338"/>
      <c r="E73" s="1338"/>
      <c r="F73" s="1338"/>
      <c r="G73" s="1338"/>
      <c r="H73" s="1338"/>
      <c r="I73" s="1338"/>
      <c r="J73" s="1338"/>
      <c r="K73" s="1338"/>
      <c r="L73" s="1338"/>
      <c r="M73" s="1386"/>
      <c r="N73" s="1384"/>
      <c r="O73" s="1384"/>
      <c r="P73" s="1314"/>
      <c r="Q73" s="1314"/>
      <c r="R73" s="1434"/>
      <c r="S73" s="1434"/>
      <c r="T73" s="1434"/>
      <c r="U73" s="1434"/>
      <c r="V73" s="1434"/>
      <c r="W73" s="1434"/>
      <c r="X73" s="1434"/>
      <c r="Y73" s="1434"/>
      <c r="Z73" s="1434"/>
      <c r="AA73" s="1434"/>
      <c r="AB73" s="1434"/>
      <c r="AC73" s="1434"/>
    </row>
    <row r="74" spans="1:29">
      <c r="A74" s="1339" t="s">
        <v>1460</v>
      </c>
      <c r="B74" s="1340" t="s">
        <v>1417</v>
      </c>
      <c r="C74" s="1282"/>
      <c r="D74" s="1282"/>
      <c r="E74" s="1282"/>
      <c r="F74" s="1282"/>
      <c r="G74" s="1282"/>
      <c r="H74" s="1282"/>
      <c r="I74" s="1282"/>
      <c r="J74" s="1282"/>
      <c r="K74" s="1387"/>
      <c r="L74" s="1388"/>
      <c r="M74" s="1389"/>
      <c r="N74" s="1390"/>
      <c r="O74" s="1390"/>
      <c r="P74" s="1391"/>
      <c r="Q74" s="1314"/>
      <c r="R74" s="1209"/>
      <c r="S74" s="1209"/>
      <c r="T74" s="1209"/>
      <c r="U74" s="1209"/>
      <c r="V74" s="1209"/>
      <c r="W74" s="1209"/>
      <c r="X74" s="1209"/>
      <c r="Y74" s="1209"/>
      <c r="Z74" s="1209"/>
      <c r="AA74" s="1209"/>
      <c r="AB74" s="1209"/>
      <c r="AC74" s="1209"/>
    </row>
    <row r="75" spans="1:29" ht="15">
      <c r="A75" s="1341"/>
      <c r="B75" s="1342"/>
      <c r="C75" s="1343"/>
      <c r="D75" s="1343"/>
      <c r="E75" s="1343"/>
      <c r="F75" s="1343"/>
      <c r="G75" s="1343"/>
      <c r="H75" s="1343"/>
      <c r="I75" s="1343"/>
      <c r="J75" s="1343"/>
      <c r="K75" s="1343"/>
      <c r="L75" s="1343"/>
      <c r="M75" s="1392"/>
      <c r="N75" s="1393"/>
      <c r="O75" s="1393"/>
      <c r="P75" s="1391"/>
      <c r="Q75" s="1314"/>
      <c r="R75" s="1209"/>
      <c r="S75" s="1209"/>
      <c r="T75" s="1209"/>
      <c r="U75" s="1209"/>
      <c r="V75" s="1209"/>
      <c r="W75" s="1209"/>
      <c r="X75" s="1209"/>
      <c r="Y75" s="1209"/>
      <c r="Z75" s="1209"/>
      <c r="AA75" s="1209"/>
      <c r="AB75" s="1209"/>
      <c r="AC75" s="1209"/>
    </row>
    <row r="76" spans="1:29" ht="27">
      <c r="A76" s="1341"/>
      <c r="B76" s="1344" t="s">
        <v>1420</v>
      </c>
      <c r="C76" s="1345"/>
      <c r="D76" s="1345"/>
      <c r="E76" s="1345"/>
      <c r="F76" s="1345"/>
      <c r="G76" s="1345"/>
      <c r="H76" s="1345"/>
      <c r="I76" s="1345"/>
      <c r="J76" s="1345"/>
      <c r="K76" s="1394"/>
      <c r="L76" s="1395"/>
      <c r="M76" s="1396"/>
      <c r="N76" s="1390"/>
      <c r="O76" s="1390"/>
      <c r="P76" s="1391"/>
      <c r="Q76" s="1314"/>
      <c r="R76" s="1209"/>
      <c r="S76" s="1209"/>
      <c r="T76" s="1209"/>
      <c r="U76" s="1209"/>
      <c r="V76" s="1209"/>
      <c r="W76" s="1209"/>
      <c r="X76" s="1209"/>
      <c r="Y76" s="1209"/>
      <c r="Z76" s="1209"/>
      <c r="AA76" s="1209"/>
      <c r="AB76" s="1209"/>
      <c r="AC76" s="1209"/>
    </row>
    <row r="77" spans="1:29" ht="15">
      <c r="A77" s="1341"/>
      <c r="B77" s="1346"/>
      <c r="C77" s="1347"/>
      <c r="D77" s="1347"/>
      <c r="E77" s="1347"/>
      <c r="F77" s="1347"/>
      <c r="G77" s="1347"/>
      <c r="H77" s="1347"/>
      <c r="I77" s="1347"/>
      <c r="J77" s="1347"/>
      <c r="K77" s="1347"/>
      <c r="L77" s="1347"/>
      <c r="M77" s="1397"/>
      <c r="N77" s="1393"/>
      <c r="O77" s="1393"/>
      <c r="P77" s="1391"/>
      <c r="Q77" s="1314"/>
      <c r="R77" s="1209"/>
      <c r="S77" s="1209"/>
      <c r="T77" s="1209"/>
      <c r="U77" s="1209"/>
      <c r="V77" s="1209"/>
      <c r="W77" s="1209"/>
      <c r="X77" s="1209"/>
      <c r="Y77" s="1209"/>
      <c r="Z77" s="1209"/>
      <c r="AA77" s="1209"/>
      <c r="AB77" s="1209"/>
      <c r="AC77" s="1209"/>
    </row>
    <row r="78" spans="1:29" ht="15">
      <c r="A78" s="1341"/>
      <c r="B78" s="1348" t="s">
        <v>1960</v>
      </c>
      <c r="C78" s="1349" t="str">
        <f>C79&amp;"（含）"&amp;"-"&amp;D79</f>
        <v>（含）-</v>
      </c>
      <c r="D78" s="1349" t="str">
        <f t="shared" ref="D78:L78" si="20">D79&amp;"（含）"&amp;"-"&amp;E79</f>
        <v>（含）-</v>
      </c>
      <c r="E78" s="1349" t="str">
        <f t="shared" si="20"/>
        <v>（含）-</v>
      </c>
      <c r="F78" s="1349" t="str">
        <f t="shared" si="20"/>
        <v>（含）-</v>
      </c>
      <c r="G78" s="1349" t="str">
        <f t="shared" si="20"/>
        <v>（含）-</v>
      </c>
      <c r="H78" s="1349" t="str">
        <f t="shared" si="20"/>
        <v>（含）-</v>
      </c>
      <c r="I78" s="1349" t="str">
        <f t="shared" si="20"/>
        <v>（含）-</v>
      </c>
      <c r="J78" s="1349" t="str">
        <f t="shared" si="20"/>
        <v>（含）-</v>
      </c>
      <c r="K78" s="1349" t="str">
        <f t="shared" si="20"/>
        <v>（含）-</v>
      </c>
      <c r="L78" s="1349" t="str">
        <f t="shared" si="20"/>
        <v>（含）-</v>
      </c>
      <c r="M78" s="1155" t="str">
        <f>M79&amp;"（含）"&amp;"-"&amp;P79</f>
        <v>（含）-</v>
      </c>
      <c r="N78" s="1393"/>
      <c r="O78" s="1393"/>
      <c r="P78" s="1391"/>
      <c r="Q78" s="1314"/>
      <c r="R78" s="1209"/>
      <c r="S78" s="1209"/>
      <c r="T78" s="1209"/>
      <c r="U78" s="1209"/>
      <c r="V78" s="1209"/>
      <c r="W78" s="1209"/>
      <c r="X78" s="1209"/>
      <c r="Y78" s="1209"/>
      <c r="Z78" s="1209"/>
      <c r="AA78" s="1209"/>
      <c r="AB78" s="1209"/>
      <c r="AC78" s="1209"/>
    </row>
    <row r="79" spans="1:29" ht="15">
      <c r="A79" s="1341"/>
      <c r="B79" s="1350"/>
      <c r="C79" s="1140"/>
      <c r="D79" s="1140"/>
      <c r="E79" s="1140"/>
      <c r="F79" s="1140"/>
      <c r="G79" s="1140"/>
      <c r="H79" s="1140"/>
      <c r="I79" s="1140"/>
      <c r="J79" s="1140"/>
      <c r="K79" s="1398"/>
      <c r="L79" s="1399"/>
      <c r="M79" s="1400"/>
      <c r="N79" s="1390"/>
      <c r="O79" s="1390"/>
      <c r="P79" s="1391"/>
      <c r="Q79" s="1314"/>
      <c r="R79" s="1209"/>
      <c r="S79" s="1209"/>
      <c r="T79" s="1209"/>
      <c r="U79" s="1209"/>
      <c r="V79" s="1209"/>
      <c r="W79" s="1209"/>
      <c r="X79" s="1209"/>
      <c r="Y79" s="1209"/>
      <c r="Z79" s="1209"/>
      <c r="AA79" s="1209"/>
      <c r="AB79" s="1209"/>
      <c r="AC79" s="1209"/>
    </row>
    <row r="80" spans="1:29" ht="15">
      <c r="A80" s="1341"/>
      <c r="B80" s="1342"/>
      <c r="C80" s="1347">
        <v>100</v>
      </c>
      <c r="D80" s="1347">
        <f t="shared" ref="D80:M80" si="21">IF($B$46="单位面积地价",C80+$K11,C80-$K11)</f>
        <v>100</v>
      </c>
      <c r="E80" s="1347">
        <f t="shared" si="21"/>
        <v>100</v>
      </c>
      <c r="F80" s="1347">
        <f t="shared" si="21"/>
        <v>100</v>
      </c>
      <c r="G80" s="1347">
        <f t="shared" si="21"/>
        <v>100</v>
      </c>
      <c r="H80" s="1347">
        <f t="shared" si="21"/>
        <v>100</v>
      </c>
      <c r="I80" s="1347">
        <f t="shared" si="21"/>
        <v>100</v>
      </c>
      <c r="J80" s="1347">
        <f t="shared" si="21"/>
        <v>100</v>
      </c>
      <c r="K80" s="1347">
        <f t="shared" si="21"/>
        <v>100</v>
      </c>
      <c r="L80" s="1347">
        <f t="shared" si="21"/>
        <v>100</v>
      </c>
      <c r="M80" s="1347">
        <f t="shared" si="21"/>
        <v>100</v>
      </c>
      <c r="N80" s="1393"/>
      <c r="O80" s="1393"/>
      <c r="P80" s="1391"/>
      <c r="Q80" s="1314"/>
      <c r="R80" s="1209"/>
      <c r="S80" s="1209"/>
      <c r="T80" s="1209"/>
      <c r="U80" s="1209"/>
      <c r="V80" s="1209"/>
      <c r="W80" s="1209"/>
      <c r="X80" s="1209"/>
      <c r="Y80" s="1209"/>
      <c r="Z80" s="1209"/>
      <c r="AA80" s="1209"/>
      <c r="AB80" s="1209"/>
      <c r="AC80" s="1209"/>
    </row>
    <row r="81" spans="1:29" s="1095" customFormat="1" ht="15">
      <c r="A81" s="1351"/>
      <c r="B81" s="1344" t="str">
        <f>B12</f>
        <v>配建</v>
      </c>
      <c r="C81" s="1352"/>
      <c r="D81" s="1352"/>
      <c r="E81" s="1352"/>
      <c r="F81" s="1352"/>
      <c r="G81" s="1352"/>
      <c r="H81" s="1353"/>
      <c r="I81" s="1353"/>
      <c r="J81" s="1353"/>
      <c r="K81" s="1353"/>
      <c r="L81" s="1401"/>
      <c r="M81" s="1402"/>
      <c r="N81" s="1403"/>
      <c r="O81" s="1403"/>
      <c r="P81" s="1404"/>
      <c r="Q81" s="1435"/>
      <c r="R81" s="1436"/>
      <c r="S81" s="1436"/>
      <c r="T81" s="1436"/>
      <c r="U81" s="1436"/>
      <c r="V81" s="1436"/>
      <c r="W81" s="1436"/>
      <c r="X81" s="1436"/>
      <c r="Y81" s="1436"/>
      <c r="Z81" s="1436"/>
      <c r="AA81" s="1436"/>
      <c r="AB81" s="1436"/>
      <c r="AC81" s="1436"/>
    </row>
    <row r="82" spans="1:29" s="1095" customFormat="1" ht="15">
      <c r="A82" s="1351"/>
      <c r="B82" s="1346"/>
      <c r="C82" s="1354"/>
      <c r="D82" s="1343"/>
      <c r="E82" s="1343"/>
      <c r="F82" s="1343"/>
      <c r="G82" s="1343"/>
      <c r="H82" s="1343"/>
      <c r="I82" s="1343"/>
      <c r="J82" s="1343"/>
      <c r="K82" s="1343"/>
      <c r="L82" s="1343"/>
      <c r="M82" s="1392"/>
      <c r="N82" s="1393"/>
      <c r="O82" s="1393"/>
      <c r="P82" s="1404"/>
      <c r="Q82" s="1435"/>
      <c r="R82" s="1436"/>
      <c r="S82" s="1436"/>
      <c r="T82" s="1436"/>
      <c r="U82" s="1436"/>
      <c r="V82" s="1436"/>
      <c r="W82" s="1436"/>
      <c r="X82" s="1436"/>
      <c r="Y82" s="1436"/>
      <c r="Z82" s="1436"/>
      <c r="AA82" s="1436"/>
      <c r="AB82" s="1436"/>
      <c r="AC82" s="1436"/>
    </row>
    <row r="83" spans="1:29" s="1095" customFormat="1" ht="15">
      <c r="A83" s="1351"/>
      <c r="B83" s="1344">
        <f>B13</f>
        <v>111</v>
      </c>
      <c r="C83" s="1352"/>
      <c r="D83" s="1352"/>
      <c r="E83" s="1352"/>
      <c r="F83" s="1352"/>
      <c r="G83" s="1352"/>
      <c r="H83" s="1353"/>
      <c r="I83" s="1353"/>
      <c r="J83" s="1353"/>
      <c r="K83" s="1353"/>
      <c r="L83" s="1401"/>
      <c r="M83" s="1402"/>
      <c r="N83" s="1403"/>
      <c r="O83" s="1403"/>
      <c r="P83" s="1280"/>
      <c r="Q83" s="1437"/>
      <c r="R83" s="1436"/>
      <c r="S83" s="1436"/>
      <c r="T83" s="1436"/>
      <c r="U83" s="1436"/>
      <c r="V83" s="1436"/>
      <c r="W83" s="1436"/>
      <c r="X83" s="1436"/>
      <c r="Y83" s="1436"/>
      <c r="Z83" s="1436"/>
      <c r="AA83" s="1436"/>
      <c r="AB83" s="1436"/>
      <c r="AC83" s="1436"/>
    </row>
    <row r="84" spans="1:29" s="1095" customFormat="1" ht="15">
      <c r="A84" s="1351"/>
      <c r="B84" s="1346"/>
      <c r="C84" s="1354"/>
      <c r="D84" s="1354"/>
      <c r="E84" s="1354"/>
      <c r="F84" s="1354"/>
      <c r="G84" s="1354"/>
      <c r="H84" s="1355"/>
      <c r="I84" s="1355"/>
      <c r="J84" s="1355"/>
      <c r="K84" s="1355"/>
      <c r="L84" s="1355"/>
      <c r="M84" s="1405"/>
      <c r="N84" s="1403"/>
      <c r="O84" s="1403"/>
      <c r="P84" s="1404"/>
      <c r="Q84" s="1435"/>
      <c r="R84" s="1436"/>
      <c r="S84" s="1436"/>
      <c r="T84" s="1436"/>
      <c r="U84" s="1436"/>
      <c r="V84" s="1436"/>
      <c r="W84" s="1436"/>
      <c r="X84" s="1436"/>
      <c r="Y84" s="1436"/>
      <c r="Z84" s="1436"/>
      <c r="AA84" s="1436"/>
      <c r="AB84" s="1436"/>
      <c r="AC84" s="1436"/>
    </row>
    <row r="85" spans="1:29" s="1095" customFormat="1" ht="15">
      <c r="A85" s="1351"/>
      <c r="B85" s="1348">
        <f>B14</f>
        <v>111</v>
      </c>
      <c r="C85" s="1336"/>
      <c r="D85" s="1336"/>
      <c r="E85" s="1336"/>
      <c r="F85" s="1336"/>
      <c r="G85" s="1336"/>
      <c r="H85" s="1356"/>
      <c r="I85" s="1356"/>
      <c r="J85" s="1356"/>
      <c r="K85" s="1356"/>
      <c r="L85" s="1406"/>
      <c r="M85" s="1407"/>
      <c r="N85" s="1403"/>
      <c r="O85" s="1403"/>
      <c r="P85" s="1408"/>
      <c r="Q85" s="1435"/>
      <c r="R85" s="1436"/>
      <c r="S85" s="1436"/>
      <c r="T85" s="1436"/>
      <c r="U85" s="1436"/>
      <c r="V85" s="1436"/>
      <c r="W85" s="1436"/>
      <c r="X85" s="1436"/>
      <c r="Y85" s="1436"/>
      <c r="Z85" s="1436"/>
      <c r="AA85" s="1436"/>
      <c r="AB85" s="1436"/>
      <c r="AC85" s="1436"/>
    </row>
    <row r="86" spans="1:29" s="1095" customFormat="1" ht="15">
      <c r="A86" s="1357"/>
      <c r="B86" s="1358"/>
      <c r="C86" s="1359"/>
      <c r="D86" s="1359"/>
      <c r="E86" s="1359"/>
      <c r="F86" s="1359"/>
      <c r="G86" s="1359"/>
      <c r="H86" s="1360"/>
      <c r="I86" s="1360"/>
      <c r="J86" s="1360"/>
      <c r="K86" s="1360"/>
      <c r="L86" s="1360"/>
      <c r="M86" s="1409"/>
      <c r="N86" s="1403"/>
      <c r="O86" s="1403"/>
      <c r="P86" s="1404"/>
      <c r="Q86" s="1435"/>
      <c r="R86" s="1436"/>
      <c r="S86" s="1436"/>
      <c r="T86" s="1436"/>
      <c r="U86" s="1436"/>
      <c r="V86" s="1436"/>
      <c r="W86" s="1436"/>
      <c r="X86" s="1436"/>
      <c r="Y86" s="1436"/>
      <c r="Z86" s="1436"/>
      <c r="AA86" s="1436"/>
      <c r="AB86" s="1436"/>
      <c r="AC86" s="1436"/>
    </row>
    <row r="87" spans="1:29">
      <c r="A87" s="1339" t="s">
        <v>1423</v>
      </c>
      <c r="B87" s="1340" t="s">
        <v>1961</v>
      </c>
      <c r="C87" s="1361" t="s">
        <v>1463</v>
      </c>
      <c r="D87" s="1361" t="s">
        <v>1464</v>
      </c>
      <c r="E87" s="1361" t="s">
        <v>1465</v>
      </c>
      <c r="F87" s="1361" t="s">
        <v>1466</v>
      </c>
      <c r="G87" s="1361" t="s">
        <v>1467</v>
      </c>
      <c r="H87" s="1362"/>
      <c r="I87" s="1362"/>
      <c r="J87" s="1362"/>
      <c r="K87" s="1410"/>
      <c r="L87" s="1411"/>
      <c r="M87" s="1412"/>
      <c r="N87" s="1390"/>
      <c r="O87" s="1390"/>
      <c r="P87" s="1413"/>
      <c r="Q87" s="1314"/>
      <c r="R87" s="1209"/>
      <c r="S87" s="1209"/>
      <c r="T87" s="1209"/>
      <c r="U87" s="1209"/>
      <c r="V87" s="1209"/>
      <c r="W87" s="1209"/>
      <c r="X87" s="1209"/>
      <c r="Y87" s="1209"/>
      <c r="Z87" s="1209"/>
      <c r="AA87" s="1209"/>
      <c r="AB87" s="1209"/>
      <c r="AC87" s="1209"/>
    </row>
    <row r="88" spans="1:29" ht="15">
      <c r="A88" s="1341"/>
      <c r="B88" s="1346"/>
      <c r="C88" s="1347">
        <v>100</v>
      </c>
      <c r="D88" s="1347">
        <f>C88-$K15</f>
        <v>100</v>
      </c>
      <c r="E88" s="1347">
        <f>D88-$K15</f>
        <v>100</v>
      </c>
      <c r="F88" s="1347">
        <f>E88-$K15</f>
        <v>100</v>
      </c>
      <c r="G88" s="1347">
        <f>F88-$K15</f>
        <v>100</v>
      </c>
      <c r="H88" s="1347"/>
      <c r="I88" s="1347"/>
      <c r="J88" s="1347"/>
      <c r="K88" s="1347"/>
      <c r="L88" s="1347"/>
      <c r="M88" s="1397"/>
      <c r="N88" s="1393"/>
      <c r="O88" s="1393"/>
      <c r="P88" s="1391"/>
      <c r="Q88" s="1314"/>
      <c r="R88" s="1209"/>
      <c r="S88" s="1209"/>
      <c r="T88" s="1209"/>
      <c r="U88" s="1209"/>
      <c r="V88" s="1209"/>
      <c r="W88" s="1209"/>
      <c r="X88" s="1209"/>
      <c r="Y88" s="1209"/>
      <c r="Z88" s="1209"/>
      <c r="AA88" s="1209"/>
      <c r="AB88" s="1209"/>
      <c r="AC88" s="1209"/>
    </row>
    <row r="89" spans="1:29" ht="15">
      <c r="A89" s="1341"/>
      <c r="B89" s="1344" t="s">
        <v>1997</v>
      </c>
      <c r="C89" s="1363" t="s">
        <v>1463</v>
      </c>
      <c r="D89" s="1363" t="s">
        <v>1464</v>
      </c>
      <c r="E89" s="1363" t="s">
        <v>1465</v>
      </c>
      <c r="F89" s="1363" t="s">
        <v>1466</v>
      </c>
      <c r="G89" s="1363" t="s">
        <v>1467</v>
      </c>
      <c r="H89" s="1345"/>
      <c r="I89" s="1345"/>
      <c r="J89" s="1345"/>
      <c r="K89" s="1394"/>
      <c r="L89" s="1395"/>
      <c r="M89" s="1396"/>
      <c r="N89" s="1390"/>
      <c r="O89" s="1390"/>
      <c r="P89" s="1391"/>
      <c r="Q89" s="1314"/>
      <c r="R89" s="1209"/>
      <c r="S89" s="1209"/>
      <c r="T89" s="1209"/>
      <c r="U89" s="1209"/>
      <c r="V89" s="1209"/>
      <c r="W89" s="1209"/>
      <c r="X89" s="1209"/>
      <c r="Y89" s="1209"/>
      <c r="Z89" s="1209"/>
      <c r="AA89" s="1209"/>
      <c r="AB89" s="1209"/>
      <c r="AC89" s="1209"/>
    </row>
    <row r="90" spans="1:29" ht="15">
      <c r="A90" s="1341"/>
      <c r="B90" s="1346"/>
      <c r="C90" s="1347">
        <v>100</v>
      </c>
      <c r="D90" s="1347">
        <f>C90-$K17</f>
        <v>100</v>
      </c>
      <c r="E90" s="1347">
        <f>D90-$K17</f>
        <v>100</v>
      </c>
      <c r="F90" s="1347">
        <f>E90-$K17</f>
        <v>100</v>
      </c>
      <c r="G90" s="1347">
        <f>F90-$K17</f>
        <v>100</v>
      </c>
      <c r="H90" s="1347"/>
      <c r="I90" s="1347"/>
      <c r="J90" s="1347"/>
      <c r="K90" s="1347"/>
      <c r="L90" s="1347"/>
      <c r="M90" s="1397"/>
      <c r="N90" s="1393"/>
      <c r="O90" s="1393"/>
      <c r="P90" s="1391"/>
      <c r="Q90" s="1314"/>
      <c r="R90" s="1209"/>
      <c r="S90" s="1209"/>
      <c r="T90" s="1209"/>
      <c r="U90" s="1209"/>
      <c r="V90" s="1209"/>
      <c r="W90" s="1209"/>
      <c r="X90" s="1209"/>
      <c r="Y90" s="1209"/>
      <c r="Z90" s="1209"/>
      <c r="AA90" s="1209"/>
      <c r="AB90" s="1209"/>
      <c r="AC90" s="1209"/>
    </row>
    <row r="91" spans="1:29" ht="15">
      <c r="A91" s="1341"/>
      <c r="B91" s="1344" t="s">
        <v>2008</v>
      </c>
      <c r="C91" s="1363" t="s">
        <v>1463</v>
      </c>
      <c r="D91" s="1363" t="s">
        <v>1464</v>
      </c>
      <c r="E91" s="1363" t="s">
        <v>1465</v>
      </c>
      <c r="F91" s="1363" t="s">
        <v>1466</v>
      </c>
      <c r="G91" s="1363" t="s">
        <v>1467</v>
      </c>
      <c r="H91" s="1345"/>
      <c r="I91" s="1345"/>
      <c r="J91" s="1345"/>
      <c r="K91" s="1394"/>
      <c r="L91" s="1395"/>
      <c r="M91" s="1396"/>
      <c r="N91" s="1390"/>
      <c r="O91" s="1390"/>
      <c r="P91" s="1391"/>
      <c r="Q91" s="1314"/>
      <c r="R91" s="1209"/>
      <c r="S91" s="1209"/>
      <c r="T91" s="1209"/>
      <c r="U91" s="1209"/>
      <c r="V91" s="1209"/>
      <c r="W91" s="1209"/>
      <c r="X91" s="1209"/>
      <c r="Y91" s="1209"/>
      <c r="Z91" s="1209"/>
      <c r="AA91" s="1209"/>
      <c r="AB91" s="1209"/>
      <c r="AC91" s="1209"/>
    </row>
    <row r="92" spans="1:29" ht="15">
      <c r="A92" s="1341"/>
      <c r="B92" s="1346"/>
      <c r="C92" s="1347">
        <v>100</v>
      </c>
      <c r="D92" s="1347">
        <f>C92-$K19</f>
        <v>100</v>
      </c>
      <c r="E92" s="1347">
        <f>D92-$K19</f>
        <v>100</v>
      </c>
      <c r="F92" s="1347">
        <f>E92-$K19</f>
        <v>100</v>
      </c>
      <c r="G92" s="1347">
        <f>F92-$K19</f>
        <v>100</v>
      </c>
      <c r="H92" s="1347"/>
      <c r="I92" s="1347"/>
      <c r="J92" s="1347"/>
      <c r="K92" s="1347"/>
      <c r="L92" s="1347"/>
      <c r="M92" s="1397"/>
      <c r="N92" s="1393"/>
      <c r="O92" s="1393"/>
      <c r="P92" s="1391"/>
      <c r="Q92" s="1314"/>
      <c r="R92" s="1209"/>
      <c r="S92" s="1209"/>
      <c r="T92" s="1209"/>
      <c r="U92" s="1209"/>
      <c r="V92" s="1209"/>
      <c r="W92" s="1209"/>
      <c r="X92" s="1209"/>
      <c r="Y92" s="1209"/>
      <c r="Z92" s="1209"/>
      <c r="AA92" s="1209"/>
      <c r="AB92" s="1209"/>
      <c r="AC92" s="1209"/>
    </row>
    <row r="93" spans="1:29" ht="15">
      <c r="A93" s="1341"/>
      <c r="B93" s="1344" t="s">
        <v>1424</v>
      </c>
      <c r="C93" s="1363" t="s">
        <v>1463</v>
      </c>
      <c r="D93" s="1363" t="s">
        <v>1464</v>
      </c>
      <c r="E93" s="1363" t="s">
        <v>1465</v>
      </c>
      <c r="F93" s="1363" t="s">
        <v>1466</v>
      </c>
      <c r="G93" s="1363" t="s">
        <v>1467</v>
      </c>
      <c r="H93" s="1345"/>
      <c r="I93" s="1345"/>
      <c r="J93" s="1345"/>
      <c r="K93" s="1394"/>
      <c r="L93" s="1395"/>
      <c r="M93" s="1396"/>
      <c r="N93" s="1390"/>
      <c r="O93" s="1390"/>
      <c r="P93" s="1391"/>
      <c r="Q93" s="1314"/>
      <c r="R93" s="1209"/>
      <c r="S93" s="1209"/>
      <c r="T93" s="1209"/>
      <c r="U93" s="1209"/>
      <c r="V93" s="1209"/>
      <c r="W93" s="1209"/>
      <c r="X93" s="1209"/>
      <c r="Y93" s="1209"/>
      <c r="Z93" s="1209"/>
      <c r="AA93" s="1209"/>
      <c r="AB93" s="1209"/>
      <c r="AC93" s="1209"/>
    </row>
    <row r="94" spans="1:29" ht="15">
      <c r="A94" s="1341"/>
      <c r="B94" s="1346"/>
      <c r="C94" s="1347">
        <v>100</v>
      </c>
      <c r="D94" s="1347">
        <f>C94-$K21</f>
        <v>100</v>
      </c>
      <c r="E94" s="1347">
        <f>D94-$K21</f>
        <v>100</v>
      </c>
      <c r="F94" s="1347">
        <f>E94-$K21</f>
        <v>100</v>
      </c>
      <c r="G94" s="1347">
        <f>F94-$K21</f>
        <v>100</v>
      </c>
      <c r="H94" s="1347"/>
      <c r="I94" s="1347"/>
      <c r="J94" s="1347"/>
      <c r="K94" s="1347"/>
      <c r="L94" s="1347"/>
      <c r="M94" s="1397"/>
      <c r="N94" s="1393"/>
      <c r="O94" s="1393"/>
      <c r="P94" s="1391"/>
      <c r="Q94" s="1314"/>
      <c r="R94" s="1209"/>
      <c r="S94" s="1209"/>
      <c r="T94" s="1209"/>
      <c r="U94" s="1209"/>
      <c r="V94" s="1209"/>
      <c r="W94" s="1209"/>
      <c r="X94" s="1209"/>
      <c r="Y94" s="1209"/>
      <c r="Z94" s="1209"/>
      <c r="AA94" s="1209"/>
      <c r="AB94" s="1209"/>
      <c r="AC94" s="1209"/>
    </row>
    <row r="95" spans="1:29" s="1093" customFormat="1" ht="15">
      <c r="A95" s="1364"/>
      <c r="B95" s="1344" t="s">
        <v>2025</v>
      </c>
      <c r="C95" s="1363" t="s">
        <v>1463</v>
      </c>
      <c r="D95" s="1363" t="s">
        <v>1464</v>
      </c>
      <c r="E95" s="1363" t="s">
        <v>1465</v>
      </c>
      <c r="F95" s="1363" t="s">
        <v>1466</v>
      </c>
      <c r="G95" s="1363" t="s">
        <v>1467</v>
      </c>
      <c r="H95" s="1363"/>
      <c r="I95" s="1363"/>
      <c r="J95" s="1363"/>
      <c r="K95" s="1363"/>
      <c r="L95" s="1414"/>
      <c r="M95" s="1415"/>
      <c r="N95" s="1384"/>
      <c r="O95" s="1384"/>
      <c r="P95" s="1391"/>
      <c r="Q95" s="1314"/>
      <c r="R95" s="1434"/>
      <c r="S95" s="1434"/>
      <c r="T95" s="1434"/>
      <c r="U95" s="1434"/>
      <c r="V95" s="1434"/>
      <c r="W95" s="1434"/>
      <c r="X95" s="1434"/>
      <c r="Y95" s="1434"/>
      <c r="Z95" s="1434"/>
      <c r="AA95" s="1434"/>
      <c r="AB95" s="1434"/>
      <c r="AC95" s="1434"/>
    </row>
    <row r="96" spans="1:29" s="1093" customFormat="1" ht="15">
      <c r="A96" s="1364"/>
      <c r="B96" s="1346"/>
      <c r="C96" s="1365">
        <v>100</v>
      </c>
      <c r="D96" s="1347">
        <f>C96-$K23</f>
        <v>100</v>
      </c>
      <c r="E96" s="1347">
        <f>D96-$K23</f>
        <v>100</v>
      </c>
      <c r="F96" s="1347">
        <f>E96-$K23</f>
        <v>100</v>
      </c>
      <c r="G96" s="1347">
        <f>F96-$K23</f>
        <v>100</v>
      </c>
      <c r="H96" s="1347"/>
      <c r="I96" s="1347"/>
      <c r="J96" s="1347"/>
      <c r="K96" s="1347"/>
      <c r="L96" s="1347"/>
      <c r="M96" s="1397"/>
      <c r="N96" s="1393"/>
      <c r="O96" s="1393"/>
      <c r="P96" s="1391"/>
      <c r="Q96" s="1314"/>
      <c r="R96" s="1434"/>
      <c r="S96" s="1434"/>
      <c r="T96" s="1434"/>
      <c r="U96" s="1434"/>
      <c r="V96" s="1434"/>
      <c r="W96" s="1434"/>
      <c r="X96" s="1434"/>
      <c r="Y96" s="1434"/>
      <c r="Z96" s="1434"/>
      <c r="AA96" s="1434"/>
      <c r="AB96" s="1434"/>
      <c r="AC96" s="1434"/>
    </row>
    <row r="97" spans="1:29" s="1093" customFormat="1" ht="27">
      <c r="A97" s="1364"/>
      <c r="B97" s="1344" t="s">
        <v>2026</v>
      </c>
      <c r="C97" s="1361" t="s">
        <v>1463</v>
      </c>
      <c r="D97" s="1361" t="s">
        <v>1464</v>
      </c>
      <c r="E97" s="1361" t="s">
        <v>1465</v>
      </c>
      <c r="F97" s="1361" t="s">
        <v>1466</v>
      </c>
      <c r="G97" s="1361" t="s">
        <v>1467</v>
      </c>
      <c r="H97" s="1363"/>
      <c r="I97" s="1363"/>
      <c r="J97" s="1363"/>
      <c r="K97" s="1363"/>
      <c r="L97" s="1363"/>
      <c r="M97" s="1415"/>
      <c r="N97" s="1384"/>
      <c r="O97" s="1384"/>
      <c r="P97" s="1391"/>
      <c r="Q97" s="1314"/>
      <c r="R97" s="1434"/>
      <c r="S97" s="1434"/>
      <c r="T97" s="1434"/>
      <c r="U97" s="1434"/>
      <c r="V97" s="1434"/>
      <c r="W97" s="1434"/>
      <c r="X97" s="1434"/>
      <c r="Y97" s="1434"/>
      <c r="Z97" s="1434"/>
      <c r="AA97" s="1434"/>
      <c r="AB97" s="1434"/>
      <c r="AC97" s="1434"/>
    </row>
    <row r="98" spans="1:29" s="1093" customFormat="1" ht="15">
      <c r="A98" s="1364"/>
      <c r="B98" s="1346"/>
      <c r="C98" s="1347">
        <v>100</v>
      </c>
      <c r="D98" s="1347">
        <f>C98-$K25</f>
        <v>100</v>
      </c>
      <c r="E98" s="1347">
        <f>D98-$K25</f>
        <v>100</v>
      </c>
      <c r="F98" s="1347">
        <f>E98-$K25</f>
        <v>100</v>
      </c>
      <c r="G98" s="1347">
        <f>F98-$K25</f>
        <v>100</v>
      </c>
      <c r="H98" s="1347"/>
      <c r="I98" s="1347"/>
      <c r="J98" s="1347"/>
      <c r="K98" s="1347"/>
      <c r="L98" s="1347"/>
      <c r="M98" s="1397"/>
      <c r="N98" s="1393"/>
      <c r="O98" s="1393"/>
      <c r="P98" s="1391"/>
      <c r="Q98" s="1314"/>
      <c r="R98" s="1434"/>
      <c r="S98" s="1434"/>
      <c r="T98" s="1434"/>
      <c r="U98" s="1434"/>
      <c r="V98" s="1434"/>
      <c r="W98" s="1434"/>
      <c r="X98" s="1434"/>
      <c r="Y98" s="1434"/>
      <c r="Z98" s="1434"/>
      <c r="AA98" s="1434"/>
      <c r="AB98" s="1434"/>
      <c r="AC98" s="1434"/>
    </row>
    <row r="99" spans="1:29" s="1095" customFormat="1" ht="15">
      <c r="A99" s="1351"/>
      <c r="B99" s="1344" t="s">
        <v>1427</v>
      </c>
      <c r="C99" s="1361" t="s">
        <v>1463</v>
      </c>
      <c r="D99" s="1361" t="s">
        <v>1464</v>
      </c>
      <c r="E99" s="1361" t="s">
        <v>1465</v>
      </c>
      <c r="F99" s="1361" t="s">
        <v>1466</v>
      </c>
      <c r="G99" s="1361" t="s">
        <v>1467</v>
      </c>
      <c r="H99" s="1366"/>
      <c r="I99" s="1366"/>
      <c r="J99" s="1366"/>
      <c r="K99" s="1366"/>
      <c r="L99" s="1416"/>
      <c r="M99" s="1417"/>
      <c r="N99" s="1403"/>
      <c r="O99" s="1403"/>
      <c r="P99" s="1404"/>
      <c r="Q99" s="1435"/>
      <c r="R99" s="1436"/>
      <c r="S99" s="1436"/>
      <c r="T99" s="1436"/>
      <c r="U99" s="1436"/>
      <c r="V99" s="1436"/>
      <c r="W99" s="1436"/>
      <c r="X99" s="1436"/>
      <c r="Y99" s="1436"/>
      <c r="Z99" s="1436"/>
      <c r="AA99" s="1436"/>
      <c r="AB99" s="1436"/>
      <c r="AC99" s="1436"/>
    </row>
    <row r="100" spans="1:29" s="1095" customFormat="1" ht="15">
      <c r="A100" s="1351"/>
      <c r="B100" s="1346"/>
      <c r="C100" s="1347">
        <v>100</v>
      </c>
      <c r="D100" s="1347">
        <f>C100-$K27</f>
        <v>100</v>
      </c>
      <c r="E100" s="1347">
        <f>D100-$K27</f>
        <v>100</v>
      </c>
      <c r="F100" s="1347">
        <f>E100-$K27</f>
        <v>100</v>
      </c>
      <c r="G100" s="1347">
        <f>F100-$K27</f>
        <v>100</v>
      </c>
      <c r="H100" s="1367"/>
      <c r="I100" s="1367"/>
      <c r="J100" s="1367"/>
      <c r="K100" s="1367"/>
      <c r="L100" s="1367"/>
      <c r="M100" s="1418"/>
      <c r="N100" s="1403"/>
      <c r="O100" s="1403"/>
      <c r="P100" s="1404"/>
      <c r="Q100" s="1435"/>
      <c r="R100" s="1436"/>
      <c r="S100" s="1436"/>
      <c r="T100" s="1436"/>
      <c r="U100" s="1436"/>
      <c r="V100" s="1436"/>
      <c r="W100" s="1436"/>
      <c r="X100" s="1436"/>
      <c r="Y100" s="1436"/>
      <c r="Z100" s="1436"/>
      <c r="AA100" s="1436"/>
      <c r="AB100" s="1436"/>
      <c r="AC100" s="1436"/>
    </row>
    <row r="101" spans="1:29" s="1095" customFormat="1" ht="15">
      <c r="A101" s="1351"/>
      <c r="B101" s="1348" t="s">
        <v>1429</v>
      </c>
      <c r="C101" s="1368" t="s">
        <v>1468</v>
      </c>
      <c r="D101" s="1368" t="s">
        <v>1469</v>
      </c>
      <c r="E101" s="1368" t="s">
        <v>1470</v>
      </c>
      <c r="F101" s="1368" t="s">
        <v>1471</v>
      </c>
      <c r="G101" s="1368" t="s">
        <v>1472</v>
      </c>
      <c r="H101" s="1366"/>
      <c r="I101" s="1366"/>
      <c r="J101" s="1366"/>
      <c r="K101" s="1366"/>
      <c r="L101" s="1366"/>
      <c r="M101" s="1419"/>
      <c r="N101" s="1403"/>
      <c r="O101" s="1403"/>
      <c r="P101" s="1404"/>
      <c r="Q101" s="1435"/>
      <c r="R101" s="1436"/>
      <c r="S101" s="1436"/>
      <c r="T101" s="1436"/>
      <c r="U101" s="1436"/>
      <c r="V101" s="1436"/>
      <c r="W101" s="1436"/>
      <c r="X101" s="1436"/>
      <c r="Y101" s="1436"/>
      <c r="Z101" s="1436"/>
      <c r="AA101" s="1436"/>
      <c r="AB101" s="1436"/>
      <c r="AC101" s="1436"/>
    </row>
    <row r="102" spans="1:29" s="1095" customFormat="1" ht="15">
      <c r="A102" s="1351"/>
      <c r="B102" s="1348"/>
      <c r="C102" s="1347">
        <v>100</v>
      </c>
      <c r="D102" s="1347">
        <f>C102-$K29</f>
        <v>100</v>
      </c>
      <c r="E102" s="1347">
        <f>D102-$K29</f>
        <v>100</v>
      </c>
      <c r="F102" s="1347">
        <f>E102-$K29</f>
        <v>100</v>
      </c>
      <c r="G102" s="1347">
        <f>F102-$K29</f>
        <v>100</v>
      </c>
      <c r="H102" s="1350"/>
      <c r="I102" s="1350"/>
      <c r="J102" s="1350"/>
      <c r="K102" s="1350"/>
      <c r="L102" s="1350"/>
      <c r="M102" s="1419"/>
      <c r="N102" s="1403"/>
      <c r="O102" s="1403"/>
      <c r="P102" s="1404"/>
      <c r="Q102" s="1435"/>
      <c r="R102" s="1436"/>
      <c r="S102" s="1436"/>
      <c r="T102" s="1436"/>
      <c r="U102" s="1436"/>
      <c r="V102" s="1436"/>
      <c r="W102" s="1436"/>
      <c r="X102" s="1436"/>
      <c r="Y102" s="1436"/>
      <c r="Z102" s="1436"/>
      <c r="AA102" s="1436"/>
      <c r="AB102" s="1436"/>
      <c r="AC102" s="1436"/>
    </row>
    <row r="103" spans="1:29" ht="15">
      <c r="A103" s="1341"/>
      <c r="B103" s="1344" t="str">
        <f>B31</f>
        <v>临街状况</v>
      </c>
      <c r="C103" s="1345" t="s">
        <v>2060</v>
      </c>
      <c r="D103" s="1345" t="s">
        <v>2061</v>
      </c>
      <c r="E103" s="1345" t="s">
        <v>2062</v>
      </c>
      <c r="F103" s="1345" t="s">
        <v>2063</v>
      </c>
      <c r="G103" s="1345"/>
      <c r="H103" s="1345"/>
      <c r="I103" s="1345"/>
      <c r="J103" s="1345"/>
      <c r="K103" s="1394"/>
      <c r="L103" s="1395"/>
      <c r="M103" s="1396"/>
      <c r="N103" s="1390"/>
      <c r="O103" s="1390"/>
      <c r="P103" s="1391"/>
      <c r="Q103" s="1314"/>
      <c r="R103" s="1209"/>
      <c r="S103" s="1209"/>
      <c r="T103" s="1209"/>
      <c r="U103" s="1209"/>
      <c r="V103" s="1209"/>
      <c r="W103" s="1209"/>
      <c r="X103" s="1209"/>
      <c r="Y103" s="1209"/>
      <c r="Z103" s="1209"/>
      <c r="AA103" s="1209"/>
      <c r="AB103" s="1209"/>
      <c r="AC103" s="1209"/>
    </row>
    <row r="104" spans="1:29" ht="15">
      <c r="A104" s="1341"/>
      <c r="B104" s="1346"/>
      <c r="C104" s="1347">
        <v>100</v>
      </c>
      <c r="D104" s="1347">
        <f t="shared" ref="D104:M104" si="22">C104-$K31</f>
        <v>100</v>
      </c>
      <c r="E104" s="1347">
        <f t="shared" si="22"/>
        <v>100</v>
      </c>
      <c r="F104" s="1347">
        <f t="shared" si="22"/>
        <v>100</v>
      </c>
      <c r="G104" s="1347">
        <f t="shared" si="22"/>
        <v>100</v>
      </c>
      <c r="H104" s="1347">
        <f t="shared" si="22"/>
        <v>100</v>
      </c>
      <c r="I104" s="1347">
        <f t="shared" si="22"/>
        <v>100</v>
      </c>
      <c r="J104" s="1347">
        <f t="shared" si="22"/>
        <v>100</v>
      </c>
      <c r="K104" s="1347">
        <f t="shared" si="22"/>
        <v>100</v>
      </c>
      <c r="L104" s="1347">
        <f t="shared" si="22"/>
        <v>100</v>
      </c>
      <c r="M104" s="1347">
        <f t="shared" si="22"/>
        <v>100</v>
      </c>
      <c r="N104" s="1393"/>
      <c r="O104" s="1393"/>
      <c r="P104" s="1391"/>
      <c r="Q104" s="1314"/>
      <c r="R104" s="1209"/>
      <c r="S104" s="1209"/>
      <c r="T104" s="1209"/>
      <c r="U104" s="1209"/>
      <c r="V104" s="1209"/>
      <c r="W104" s="1209"/>
      <c r="X104" s="1209"/>
      <c r="Y104" s="1209"/>
      <c r="Z104" s="1209"/>
      <c r="AA104" s="1209"/>
      <c r="AB104" s="1209"/>
      <c r="AC104" s="1209"/>
    </row>
    <row r="105" spans="1:29" ht="27">
      <c r="A105" s="1341"/>
      <c r="B105" s="1344" t="s">
        <v>2010</v>
      </c>
      <c r="C105" s="1352"/>
      <c r="D105" s="1352"/>
      <c r="E105" s="1352"/>
      <c r="F105" s="1352"/>
      <c r="G105" s="1352"/>
      <c r="H105" s="1369"/>
      <c r="I105" s="1369"/>
      <c r="J105" s="1369"/>
      <c r="K105" s="1420"/>
      <c r="L105" s="1421"/>
      <c r="M105" s="1422"/>
      <c r="N105" s="1390"/>
      <c r="O105" s="1390"/>
      <c r="P105" s="1391"/>
      <c r="Q105" s="1314"/>
      <c r="R105" s="1209"/>
      <c r="S105" s="1209"/>
      <c r="T105" s="1209"/>
      <c r="U105" s="1209"/>
      <c r="V105" s="1209"/>
      <c r="W105" s="1209"/>
      <c r="X105" s="1209"/>
      <c r="Y105" s="1209"/>
      <c r="Z105" s="1209"/>
      <c r="AA105" s="1209"/>
      <c r="AB105" s="1209"/>
      <c r="AC105" s="1209"/>
    </row>
    <row r="106" spans="1:29" ht="15">
      <c r="A106" s="1341"/>
      <c r="B106" s="1346"/>
      <c r="C106" s="1347">
        <v>100</v>
      </c>
      <c r="D106" s="1347">
        <f t="shared" ref="D106:M106" si="23">C106-$K32</f>
        <v>100</v>
      </c>
      <c r="E106" s="1347">
        <f t="shared" si="23"/>
        <v>100</v>
      </c>
      <c r="F106" s="1347">
        <f t="shared" si="23"/>
        <v>100</v>
      </c>
      <c r="G106" s="1347">
        <f t="shared" si="23"/>
        <v>100</v>
      </c>
      <c r="H106" s="1347">
        <f t="shared" si="23"/>
        <v>100</v>
      </c>
      <c r="I106" s="1347">
        <f t="shared" si="23"/>
        <v>100</v>
      </c>
      <c r="J106" s="1347">
        <f t="shared" si="23"/>
        <v>100</v>
      </c>
      <c r="K106" s="1347">
        <f t="shared" si="23"/>
        <v>100</v>
      </c>
      <c r="L106" s="1347">
        <f t="shared" si="23"/>
        <v>100</v>
      </c>
      <c r="M106" s="1347">
        <f t="shared" si="23"/>
        <v>100</v>
      </c>
      <c r="N106" s="1393"/>
      <c r="O106" s="1393"/>
      <c r="P106" s="1391"/>
      <c r="Q106" s="1314"/>
      <c r="R106" s="1209"/>
      <c r="S106" s="1209"/>
      <c r="T106" s="1209"/>
      <c r="U106" s="1209"/>
      <c r="V106" s="1209"/>
      <c r="W106" s="1209"/>
      <c r="X106" s="1209"/>
      <c r="Y106" s="1209"/>
      <c r="Z106" s="1209"/>
      <c r="AA106" s="1209"/>
      <c r="AB106" s="1209"/>
      <c r="AC106" s="1209"/>
    </row>
    <row r="107" spans="1:29" ht="15">
      <c r="A107" s="1341"/>
      <c r="B107" s="1344" t="s">
        <v>2027</v>
      </c>
      <c r="C107" s="1369"/>
      <c r="D107" s="1369"/>
      <c r="E107" s="1369"/>
      <c r="F107" s="1369"/>
      <c r="G107" s="1369"/>
      <c r="H107" s="1369"/>
      <c r="I107" s="1369"/>
      <c r="J107" s="1369"/>
      <c r="K107" s="1420"/>
      <c r="L107" s="1421"/>
      <c r="M107" s="1422"/>
      <c r="N107" s="1390"/>
      <c r="O107" s="1390"/>
      <c r="P107" s="1391"/>
      <c r="Q107" s="1314"/>
      <c r="R107" s="1209"/>
      <c r="S107" s="1209"/>
      <c r="T107" s="1209"/>
      <c r="U107" s="1209"/>
      <c r="V107" s="1209"/>
      <c r="W107" s="1209"/>
      <c r="X107" s="1209"/>
      <c r="Y107" s="1209"/>
      <c r="Z107" s="1209"/>
      <c r="AA107" s="1209"/>
      <c r="AB107" s="1209"/>
      <c r="AC107" s="1209"/>
    </row>
    <row r="108" spans="1:29" ht="15">
      <c r="A108" s="1341"/>
      <c r="B108" s="1346"/>
      <c r="C108" s="1347">
        <v>100</v>
      </c>
      <c r="D108" s="1347">
        <f t="shared" ref="D108:M108" si="24">C108-$K34</f>
        <v>100</v>
      </c>
      <c r="E108" s="1347">
        <f t="shared" si="24"/>
        <v>100</v>
      </c>
      <c r="F108" s="1347">
        <f t="shared" si="24"/>
        <v>100</v>
      </c>
      <c r="G108" s="1347">
        <f t="shared" si="24"/>
        <v>100</v>
      </c>
      <c r="H108" s="1347">
        <f t="shared" si="24"/>
        <v>100</v>
      </c>
      <c r="I108" s="1347">
        <f t="shared" si="24"/>
        <v>100</v>
      </c>
      <c r="J108" s="1347">
        <f t="shared" si="24"/>
        <v>100</v>
      </c>
      <c r="K108" s="1347">
        <f t="shared" si="24"/>
        <v>100</v>
      </c>
      <c r="L108" s="1347">
        <f t="shared" si="24"/>
        <v>100</v>
      </c>
      <c r="M108" s="1347">
        <f t="shared" si="24"/>
        <v>100</v>
      </c>
      <c r="N108" s="1393"/>
      <c r="O108" s="1393"/>
      <c r="P108" s="1391"/>
      <c r="Q108" s="1314"/>
      <c r="R108" s="1209"/>
      <c r="S108" s="1209"/>
      <c r="T108" s="1209"/>
      <c r="U108" s="1209"/>
      <c r="V108" s="1209"/>
      <c r="W108" s="1209"/>
      <c r="X108" s="1209"/>
      <c r="Y108" s="1209"/>
      <c r="Z108" s="1209"/>
      <c r="AA108" s="1209"/>
      <c r="AB108" s="1209"/>
      <c r="AC108" s="1209"/>
    </row>
    <row r="109" spans="1:29" ht="15">
      <c r="A109" s="1341"/>
      <c r="B109" s="1348">
        <f>B35</f>
        <v>111</v>
      </c>
      <c r="C109" s="1352"/>
      <c r="D109" s="1352"/>
      <c r="E109" s="1352"/>
      <c r="F109" s="1352"/>
      <c r="G109" s="1370"/>
      <c r="H109" s="1370"/>
      <c r="I109" s="1370"/>
      <c r="J109" s="1370"/>
      <c r="K109" s="1423"/>
      <c r="L109" s="1424"/>
      <c r="M109" s="1425"/>
      <c r="N109" s="1390"/>
      <c r="O109" s="1390"/>
      <c r="P109" s="1391"/>
      <c r="Q109" s="1314"/>
      <c r="R109" s="1209"/>
      <c r="S109" s="1209"/>
      <c r="T109" s="1209"/>
      <c r="U109" s="1209"/>
      <c r="V109" s="1209"/>
      <c r="W109" s="1209"/>
      <c r="X109" s="1209"/>
      <c r="Y109" s="1209"/>
      <c r="Z109" s="1209"/>
      <c r="AA109" s="1209"/>
      <c r="AB109" s="1209"/>
      <c r="AC109" s="1209"/>
    </row>
    <row r="110" spans="1:29" ht="15">
      <c r="A110" s="1341"/>
      <c r="B110" s="1358"/>
      <c r="C110" s="1354"/>
      <c r="D110" s="1354"/>
      <c r="E110" s="1354"/>
      <c r="F110" s="1354"/>
      <c r="G110" s="1371"/>
      <c r="H110" s="1371"/>
      <c r="I110" s="1371"/>
      <c r="J110" s="1371"/>
      <c r="K110" s="1371"/>
      <c r="L110" s="1371"/>
      <c r="M110" s="1426"/>
      <c r="N110" s="1393"/>
      <c r="O110" s="1393"/>
      <c r="P110" s="1391"/>
      <c r="Q110" s="1314"/>
      <c r="R110" s="1209"/>
      <c r="S110" s="1209"/>
      <c r="T110" s="1209"/>
      <c r="U110" s="1209"/>
      <c r="V110" s="1209"/>
      <c r="W110" s="1209"/>
      <c r="X110" s="1209"/>
      <c r="Y110" s="1209"/>
      <c r="Z110" s="1209"/>
      <c r="AA110" s="1209"/>
      <c r="AB110" s="1209"/>
      <c r="AC110" s="1209"/>
    </row>
    <row r="111" spans="1:29">
      <c r="A111" s="1175"/>
      <c r="B111" s="1344">
        <f>B36</f>
        <v>111</v>
      </c>
      <c r="C111" s="1336"/>
      <c r="D111" s="1336"/>
      <c r="E111" s="1336"/>
      <c r="F111" s="1336"/>
      <c r="G111" s="1369"/>
      <c r="H111" s="1369"/>
      <c r="I111" s="1369"/>
      <c r="J111" s="1369"/>
      <c r="K111" s="1420"/>
      <c r="L111" s="1421"/>
      <c r="M111" s="1422"/>
      <c r="N111" s="1390"/>
      <c r="O111" s="1390"/>
      <c r="P111" s="1391"/>
      <c r="Q111" s="1314"/>
      <c r="R111" s="1209"/>
      <c r="S111" s="1209"/>
      <c r="T111" s="1209"/>
      <c r="U111" s="1209"/>
      <c r="V111" s="1209"/>
      <c r="W111" s="1209"/>
      <c r="X111" s="1209"/>
      <c r="Y111" s="1209"/>
      <c r="Z111" s="1209"/>
      <c r="AA111" s="1209"/>
      <c r="AB111" s="1209"/>
      <c r="AC111" s="1209"/>
    </row>
    <row r="112" spans="1:29" ht="15">
      <c r="A112" s="1341"/>
      <c r="B112" s="1346"/>
      <c r="C112" s="1359"/>
      <c r="D112" s="1359"/>
      <c r="E112" s="1359"/>
      <c r="F112" s="1359"/>
      <c r="G112" s="1343"/>
      <c r="H112" s="1343"/>
      <c r="I112" s="1343"/>
      <c r="J112" s="1343"/>
      <c r="K112" s="1343"/>
      <c r="L112" s="1343"/>
      <c r="M112" s="1392"/>
      <c r="N112" s="1393"/>
      <c r="O112" s="1393"/>
      <c r="P112" s="1391"/>
      <c r="Q112" s="1314"/>
      <c r="R112" s="1209"/>
      <c r="S112" s="1209"/>
      <c r="T112" s="1209"/>
      <c r="U112" s="1209"/>
      <c r="V112" s="1209"/>
      <c r="W112" s="1209"/>
      <c r="X112" s="1209"/>
      <c r="Y112" s="1209"/>
      <c r="Z112" s="1209"/>
      <c r="AA112" s="1209"/>
      <c r="AB112" s="1209"/>
      <c r="AC112" s="1209"/>
    </row>
    <row r="113" spans="1:29" s="1095" customFormat="1">
      <c r="A113" s="1372"/>
      <c r="B113" s="1373">
        <f>B37</f>
        <v>111</v>
      </c>
      <c r="C113" s="1328"/>
      <c r="D113" s="1328"/>
      <c r="E113" s="1328"/>
      <c r="F113" s="1328"/>
      <c r="G113" s="1328"/>
      <c r="H113" s="1328"/>
      <c r="I113" s="1328"/>
      <c r="J113" s="1427"/>
      <c r="K113" s="1427"/>
      <c r="L113" s="1428"/>
      <c r="M113" s="1429"/>
      <c r="N113" s="1403"/>
      <c r="O113" s="1403"/>
      <c r="P113" s="1404"/>
      <c r="Q113" s="1435"/>
      <c r="R113" s="1436"/>
      <c r="S113" s="1436"/>
      <c r="T113" s="1436"/>
      <c r="U113" s="1436"/>
      <c r="V113" s="1436"/>
      <c r="W113" s="1436"/>
      <c r="X113" s="1436"/>
      <c r="Y113" s="1436"/>
      <c r="Z113" s="1436"/>
      <c r="AA113" s="1436"/>
      <c r="AB113" s="1436"/>
      <c r="AC113" s="1436"/>
    </row>
    <row r="114" spans="1:29" s="1095" customFormat="1" ht="15">
      <c r="A114" s="1351"/>
      <c r="B114" s="1348"/>
      <c r="C114" s="1338"/>
      <c r="D114" s="1374"/>
      <c r="E114" s="1374"/>
      <c r="F114" s="1374"/>
      <c r="G114" s="1374"/>
      <c r="H114" s="1374"/>
      <c r="I114" s="1374"/>
      <c r="J114" s="1374"/>
      <c r="K114" s="1374"/>
      <c r="L114" s="1374"/>
      <c r="M114" s="1430"/>
      <c r="N114" s="1393"/>
      <c r="O114" s="1393"/>
      <c r="P114" s="1404"/>
      <c r="Q114" s="1435"/>
      <c r="R114" s="1436"/>
      <c r="S114" s="1436"/>
      <c r="T114" s="1436"/>
      <c r="U114" s="1436"/>
      <c r="V114" s="1436"/>
      <c r="W114" s="1436"/>
      <c r="X114" s="1436"/>
      <c r="Y114" s="1436"/>
      <c r="Z114" s="1436"/>
      <c r="AA114" s="1436"/>
      <c r="AB114" s="1436"/>
      <c r="AC114" s="1436"/>
    </row>
    <row r="115" spans="1:29">
      <c r="A115" s="1339" t="s">
        <v>1434</v>
      </c>
      <c r="B115" s="1340" t="s">
        <v>2028</v>
      </c>
      <c r="C115" s="1362" t="str">
        <f>C116&amp;"(含)"&amp;"-"&amp;D116</f>
        <v>(含)-</v>
      </c>
      <c r="D115" s="1362" t="str">
        <f t="shared" ref="D115:M115" si="25">D116&amp;"(含)"&amp;"-"&amp;E116</f>
        <v>(含)-</v>
      </c>
      <c r="E115" s="1362" t="str">
        <f t="shared" si="25"/>
        <v>(含)-</v>
      </c>
      <c r="F115" s="1362" t="str">
        <f t="shared" si="25"/>
        <v>(含)-</v>
      </c>
      <c r="G115" s="1362" t="str">
        <f t="shared" si="25"/>
        <v>(含)-</v>
      </c>
      <c r="H115" s="1362" t="str">
        <f t="shared" si="25"/>
        <v>(含)-</v>
      </c>
      <c r="I115" s="1362" t="str">
        <f t="shared" si="25"/>
        <v>(含)-</v>
      </c>
      <c r="J115" s="1362" t="str">
        <f t="shared" si="25"/>
        <v>(含)-</v>
      </c>
      <c r="K115" s="1362" t="str">
        <f t="shared" si="25"/>
        <v>(含)-</v>
      </c>
      <c r="L115" s="1362" t="str">
        <f t="shared" si="25"/>
        <v>(含)-</v>
      </c>
      <c r="M115" s="1362" t="str">
        <f t="shared" si="25"/>
        <v>(含)-</v>
      </c>
      <c r="N115" s="1390"/>
      <c r="O115" s="1390"/>
      <c r="P115" s="1391"/>
      <c r="Q115" s="1314"/>
      <c r="R115" s="1209"/>
      <c r="S115" s="1209"/>
      <c r="T115" s="1209"/>
      <c r="U115" s="1209"/>
      <c r="V115" s="1209"/>
      <c r="W115" s="1209"/>
      <c r="X115" s="1209"/>
      <c r="Y115" s="1209"/>
      <c r="Z115" s="1209"/>
      <c r="AA115" s="1209"/>
      <c r="AB115" s="1209"/>
      <c r="AC115" s="1209"/>
    </row>
    <row r="116" spans="1:29" ht="15">
      <c r="A116" s="1341"/>
      <c r="B116" s="1348"/>
      <c r="C116" s="1328"/>
      <c r="D116" s="1328"/>
      <c r="E116" s="1328"/>
      <c r="F116" s="1328"/>
      <c r="G116" s="1328"/>
      <c r="H116" s="1328"/>
      <c r="I116" s="1328"/>
      <c r="J116" s="1427"/>
      <c r="K116" s="1427"/>
      <c r="L116" s="1428"/>
      <c r="M116" s="1429"/>
      <c r="N116" s="1390"/>
      <c r="O116" s="1390"/>
      <c r="P116" s="1391"/>
      <c r="Q116" s="1314"/>
      <c r="R116" s="1209"/>
      <c r="S116" s="1209"/>
      <c r="T116" s="1209"/>
      <c r="U116" s="1209"/>
      <c r="V116" s="1209"/>
      <c r="W116" s="1209"/>
      <c r="X116" s="1209"/>
      <c r="Y116" s="1209"/>
      <c r="Z116" s="1209"/>
      <c r="AA116" s="1209"/>
      <c r="AB116" s="1209"/>
      <c r="AC116" s="1209"/>
    </row>
    <row r="117" spans="1:29" ht="15">
      <c r="A117" s="1341"/>
      <c r="B117" s="1346"/>
      <c r="C117" s="1359"/>
      <c r="D117" s="1371"/>
      <c r="E117" s="1371"/>
      <c r="F117" s="1371"/>
      <c r="G117" s="1371"/>
      <c r="H117" s="1371"/>
      <c r="I117" s="1371"/>
      <c r="J117" s="1371"/>
      <c r="K117" s="1371"/>
      <c r="L117" s="1371"/>
      <c r="M117" s="1426"/>
      <c r="N117" s="1393"/>
      <c r="O117" s="1393"/>
      <c r="P117" s="1391"/>
      <c r="Q117" s="1314"/>
      <c r="R117" s="1209"/>
      <c r="S117" s="1209"/>
      <c r="T117" s="1209"/>
      <c r="U117" s="1209"/>
      <c r="V117" s="1209"/>
      <c r="W117" s="1209"/>
      <c r="X117" s="1209"/>
      <c r="Y117" s="1209"/>
      <c r="Z117" s="1209"/>
      <c r="AA117" s="1209"/>
      <c r="AB117" s="1209"/>
      <c r="AC117" s="1209"/>
    </row>
    <row r="118" spans="1:29">
      <c r="A118" s="1375"/>
      <c r="B118" s="1344" t="s">
        <v>2029</v>
      </c>
      <c r="C118" s="1369"/>
      <c r="D118" s="1369"/>
      <c r="E118" s="1369"/>
      <c r="F118" s="1369"/>
      <c r="G118" s="1369"/>
      <c r="H118" s="1369"/>
      <c r="I118" s="1369"/>
      <c r="J118" s="1369"/>
      <c r="K118" s="1420"/>
      <c r="L118" s="1421"/>
      <c r="M118" s="1422"/>
      <c r="N118" s="1390"/>
      <c r="O118" s="1390"/>
      <c r="P118" s="1391"/>
      <c r="Q118" s="1314"/>
      <c r="R118" s="1209"/>
      <c r="S118" s="1209"/>
      <c r="T118" s="1209"/>
      <c r="U118" s="1209"/>
      <c r="V118" s="1209"/>
      <c r="W118" s="1209"/>
      <c r="X118" s="1209"/>
      <c r="Y118" s="1209"/>
      <c r="Z118" s="1209"/>
      <c r="AA118" s="1209"/>
      <c r="AB118" s="1209"/>
      <c r="AC118" s="1209"/>
    </row>
    <row r="119" spans="1:29" ht="15">
      <c r="A119" s="1341"/>
      <c r="B119" s="1346"/>
      <c r="C119" s="1347">
        <v>100</v>
      </c>
      <c r="D119" s="1347">
        <f t="shared" ref="D119:M119" si="26">C119-$K39</f>
        <v>100</v>
      </c>
      <c r="E119" s="1347">
        <f t="shared" si="26"/>
        <v>100</v>
      </c>
      <c r="F119" s="1347">
        <f t="shared" si="26"/>
        <v>100</v>
      </c>
      <c r="G119" s="1347">
        <f t="shared" si="26"/>
        <v>100</v>
      </c>
      <c r="H119" s="1347">
        <f t="shared" si="26"/>
        <v>100</v>
      </c>
      <c r="I119" s="1347">
        <f t="shared" si="26"/>
        <v>100</v>
      </c>
      <c r="J119" s="1347">
        <f t="shared" si="26"/>
        <v>100</v>
      </c>
      <c r="K119" s="1347">
        <f t="shared" si="26"/>
        <v>100</v>
      </c>
      <c r="L119" s="1347">
        <f t="shared" si="26"/>
        <v>100</v>
      </c>
      <c r="M119" s="1397">
        <f t="shared" si="26"/>
        <v>100</v>
      </c>
      <c r="N119" s="1393"/>
      <c r="O119" s="1393"/>
      <c r="P119" s="1391"/>
      <c r="Q119" s="1314"/>
      <c r="R119" s="1209"/>
      <c r="S119" s="1209"/>
      <c r="T119" s="1209"/>
      <c r="U119" s="1209"/>
      <c r="V119" s="1209"/>
      <c r="W119" s="1209"/>
      <c r="X119" s="1209"/>
      <c r="Y119" s="1209"/>
      <c r="Z119" s="1209"/>
      <c r="AA119" s="1209"/>
      <c r="AB119" s="1209"/>
      <c r="AC119" s="1209"/>
    </row>
    <row r="120" spans="1:29">
      <c r="A120" s="1375"/>
      <c r="B120" s="1344" t="s">
        <v>2030</v>
      </c>
      <c r="C120" s="1352"/>
      <c r="D120" s="1352"/>
      <c r="E120" s="1352"/>
      <c r="F120" s="1369"/>
      <c r="G120" s="1369"/>
      <c r="H120" s="1369"/>
      <c r="I120" s="1369"/>
      <c r="J120" s="1369"/>
      <c r="K120" s="1420"/>
      <c r="L120" s="1421"/>
      <c r="M120" s="1422"/>
      <c r="N120" s="1390"/>
      <c r="O120" s="1390"/>
      <c r="P120" s="1391"/>
      <c r="Q120" s="1314"/>
      <c r="R120" s="1209"/>
      <c r="S120" s="1209"/>
      <c r="T120" s="1209"/>
      <c r="U120" s="1209"/>
      <c r="V120" s="1209"/>
      <c r="W120" s="1209"/>
      <c r="X120" s="1209"/>
      <c r="Y120" s="1209"/>
      <c r="Z120" s="1209"/>
      <c r="AA120" s="1209"/>
      <c r="AB120" s="1209"/>
      <c r="AC120" s="1209"/>
    </row>
    <row r="121" spans="1:29" ht="15">
      <c r="A121" s="1341"/>
      <c r="B121" s="1346"/>
      <c r="C121" s="1347">
        <v>100</v>
      </c>
      <c r="D121" s="1347">
        <f t="shared" ref="D121:M121" si="27">C121-$K40</f>
        <v>100</v>
      </c>
      <c r="E121" s="1347">
        <f t="shared" si="27"/>
        <v>100</v>
      </c>
      <c r="F121" s="1347">
        <f t="shared" si="27"/>
        <v>100</v>
      </c>
      <c r="G121" s="1347">
        <f t="shared" si="27"/>
        <v>100</v>
      </c>
      <c r="H121" s="1347">
        <f t="shared" si="27"/>
        <v>100</v>
      </c>
      <c r="I121" s="1347">
        <f t="shared" si="27"/>
        <v>100</v>
      </c>
      <c r="J121" s="1347">
        <f t="shared" si="27"/>
        <v>100</v>
      </c>
      <c r="K121" s="1347">
        <f t="shared" si="27"/>
        <v>100</v>
      </c>
      <c r="L121" s="1347">
        <f t="shared" si="27"/>
        <v>100</v>
      </c>
      <c r="M121" s="1397">
        <f t="shared" si="27"/>
        <v>100</v>
      </c>
      <c r="N121" s="1393"/>
      <c r="O121" s="1393"/>
      <c r="P121" s="1391"/>
      <c r="Q121" s="1314"/>
      <c r="R121" s="1209"/>
      <c r="S121" s="1209"/>
      <c r="T121" s="1209"/>
      <c r="U121" s="1209"/>
      <c r="V121" s="1209"/>
      <c r="W121" s="1209"/>
      <c r="X121" s="1209"/>
      <c r="Y121" s="1209"/>
      <c r="Z121" s="1209"/>
      <c r="AA121" s="1209"/>
      <c r="AB121" s="1209"/>
      <c r="AC121" s="1209"/>
    </row>
    <row r="122" spans="1:29" s="1095" customFormat="1">
      <c r="A122" s="1372"/>
      <c r="B122" s="1344" t="s">
        <v>2031</v>
      </c>
      <c r="C122" s="1352"/>
      <c r="D122" s="1352"/>
      <c r="E122" s="1352"/>
      <c r="F122" s="1352"/>
      <c r="G122" s="1352"/>
      <c r="H122" s="1369"/>
      <c r="I122" s="1369"/>
      <c r="J122" s="1369"/>
      <c r="K122" s="1420"/>
      <c r="L122" s="1421"/>
      <c r="M122" s="1422"/>
      <c r="N122" s="1403"/>
      <c r="O122" s="1403"/>
      <c r="P122" s="1404"/>
      <c r="Q122" s="1435"/>
      <c r="R122" s="1436"/>
      <c r="S122" s="1436"/>
      <c r="T122" s="1436"/>
      <c r="U122" s="1436"/>
      <c r="V122" s="1436"/>
      <c r="W122" s="1436"/>
      <c r="X122" s="1436"/>
      <c r="Y122" s="1436"/>
      <c r="Z122" s="1436"/>
      <c r="AA122" s="1436"/>
      <c r="AB122" s="1436"/>
      <c r="AC122" s="1436"/>
    </row>
    <row r="123" spans="1:29" s="1095" customFormat="1" ht="15">
      <c r="A123" s="1351"/>
      <c r="B123" s="1346"/>
      <c r="C123" s="1347">
        <v>100</v>
      </c>
      <c r="D123" s="1347">
        <f t="shared" ref="D123:M123" si="28">C123-$K41</f>
        <v>100</v>
      </c>
      <c r="E123" s="1347">
        <f t="shared" si="28"/>
        <v>100</v>
      </c>
      <c r="F123" s="1347">
        <f t="shared" si="28"/>
        <v>100</v>
      </c>
      <c r="G123" s="1347">
        <f t="shared" si="28"/>
        <v>100</v>
      </c>
      <c r="H123" s="1347">
        <f t="shared" si="28"/>
        <v>100</v>
      </c>
      <c r="I123" s="1347">
        <f t="shared" si="28"/>
        <v>100</v>
      </c>
      <c r="J123" s="1347">
        <f t="shared" si="28"/>
        <v>100</v>
      </c>
      <c r="K123" s="1347">
        <f t="shared" si="28"/>
        <v>100</v>
      </c>
      <c r="L123" s="1347">
        <f t="shared" si="28"/>
        <v>100</v>
      </c>
      <c r="M123" s="1397">
        <f t="shared" si="28"/>
        <v>100</v>
      </c>
      <c r="N123" s="1403"/>
      <c r="O123" s="1403"/>
      <c r="P123" s="1404"/>
      <c r="Q123" s="1435"/>
      <c r="R123" s="1436"/>
      <c r="S123" s="1436"/>
      <c r="T123" s="1436"/>
      <c r="U123" s="1436"/>
      <c r="V123" s="1436"/>
      <c r="W123" s="1436"/>
      <c r="X123" s="1436"/>
      <c r="Y123" s="1436"/>
      <c r="Z123" s="1436"/>
      <c r="AA123" s="1436"/>
      <c r="AB123" s="1436"/>
      <c r="AC123" s="1436"/>
    </row>
    <row r="124" spans="1:29">
      <c r="A124" s="1375"/>
      <c r="B124" s="1344" t="s">
        <v>2032</v>
      </c>
      <c r="C124" s="1352"/>
      <c r="D124" s="1352"/>
      <c r="E124" s="1369"/>
      <c r="F124" s="1369"/>
      <c r="G124" s="1369"/>
      <c r="H124" s="1369"/>
      <c r="I124" s="1369"/>
      <c r="J124" s="1369"/>
      <c r="K124" s="1420"/>
      <c r="L124" s="1421"/>
      <c r="M124" s="1422"/>
      <c r="N124" s="1390"/>
      <c r="O124" s="1390"/>
      <c r="P124" s="1391"/>
      <c r="Q124" s="1314"/>
      <c r="R124" s="1209"/>
      <c r="S124" s="1209"/>
      <c r="T124" s="1209"/>
      <c r="U124" s="1209"/>
      <c r="V124" s="1209"/>
      <c r="W124" s="1209"/>
      <c r="X124" s="1209"/>
      <c r="Y124" s="1209"/>
      <c r="Z124" s="1209"/>
      <c r="AA124" s="1209"/>
      <c r="AB124" s="1209"/>
      <c r="AC124" s="1209"/>
    </row>
    <row r="125" spans="1:29" ht="15">
      <c r="A125" s="1341"/>
      <c r="B125" s="1346"/>
      <c r="C125" s="1347">
        <v>100</v>
      </c>
      <c r="D125" s="1347">
        <f t="shared" ref="D125:M125" si="29">C125-$K42</f>
        <v>100</v>
      </c>
      <c r="E125" s="1347">
        <f t="shared" si="29"/>
        <v>100</v>
      </c>
      <c r="F125" s="1347">
        <f t="shared" si="29"/>
        <v>100</v>
      </c>
      <c r="G125" s="1347">
        <f t="shared" si="29"/>
        <v>100</v>
      </c>
      <c r="H125" s="1347">
        <f t="shared" si="29"/>
        <v>100</v>
      </c>
      <c r="I125" s="1347">
        <f t="shared" si="29"/>
        <v>100</v>
      </c>
      <c r="J125" s="1347">
        <f t="shared" si="29"/>
        <v>100</v>
      </c>
      <c r="K125" s="1347">
        <f t="shared" si="29"/>
        <v>100</v>
      </c>
      <c r="L125" s="1347">
        <f t="shared" si="29"/>
        <v>100</v>
      </c>
      <c r="M125" s="1397">
        <f t="shared" si="29"/>
        <v>100</v>
      </c>
      <c r="N125" s="1393"/>
      <c r="O125" s="1393"/>
      <c r="P125" s="1391"/>
      <c r="Q125" s="1314"/>
      <c r="R125" s="1209"/>
      <c r="S125" s="1209"/>
      <c r="T125" s="1209"/>
      <c r="U125" s="1209"/>
      <c r="V125" s="1209"/>
      <c r="W125" s="1209"/>
      <c r="X125" s="1209"/>
      <c r="Y125" s="1209"/>
      <c r="Z125" s="1209"/>
      <c r="AA125" s="1209"/>
      <c r="AB125" s="1209"/>
      <c r="AC125" s="1209"/>
    </row>
    <row r="126" spans="1:29">
      <c r="A126" s="1375"/>
      <c r="B126" s="1344">
        <f>B43</f>
        <v>111</v>
      </c>
      <c r="C126" s="1352"/>
      <c r="D126" s="1352"/>
      <c r="E126" s="1352"/>
      <c r="F126" s="1352"/>
      <c r="G126" s="1352"/>
      <c r="H126" s="1369"/>
      <c r="I126" s="1369"/>
      <c r="J126" s="1369"/>
      <c r="K126" s="1420"/>
      <c r="L126" s="1421"/>
      <c r="M126" s="1422"/>
      <c r="N126" s="1390"/>
      <c r="O126" s="1390"/>
      <c r="P126" s="1391"/>
      <c r="Q126" s="1314"/>
      <c r="R126" s="1209"/>
      <c r="S126" s="1209"/>
      <c r="T126" s="1209"/>
      <c r="U126" s="1209"/>
      <c r="V126" s="1209"/>
      <c r="W126" s="1209"/>
      <c r="X126" s="1209"/>
      <c r="Y126" s="1209"/>
      <c r="Z126" s="1209"/>
      <c r="AA126" s="1209"/>
      <c r="AB126" s="1209"/>
      <c r="AC126" s="1209"/>
    </row>
    <row r="127" spans="1:29" ht="15">
      <c r="A127" s="1341"/>
      <c r="B127" s="1346"/>
      <c r="C127" s="1354"/>
      <c r="D127" s="1354"/>
      <c r="E127" s="1354"/>
      <c r="F127" s="1354"/>
      <c r="G127" s="1343"/>
      <c r="H127" s="1343"/>
      <c r="I127" s="1343"/>
      <c r="J127" s="1343"/>
      <c r="K127" s="1343"/>
      <c r="L127" s="1343"/>
      <c r="M127" s="1392"/>
      <c r="N127" s="1393"/>
      <c r="O127" s="1393"/>
      <c r="P127" s="1391"/>
      <c r="Q127" s="1314"/>
      <c r="R127" s="1209"/>
      <c r="S127" s="1209"/>
      <c r="T127" s="1209"/>
      <c r="U127" s="1209"/>
      <c r="V127" s="1209"/>
      <c r="W127" s="1209"/>
      <c r="X127" s="1209"/>
      <c r="Y127" s="1209"/>
      <c r="Z127" s="1209"/>
      <c r="AA127" s="1209"/>
      <c r="AB127" s="1209"/>
      <c r="AC127" s="1209"/>
    </row>
    <row r="128" spans="1:29">
      <c r="A128" s="1375"/>
      <c r="B128" s="1344">
        <f>B44</f>
        <v>111</v>
      </c>
      <c r="C128" s="1336"/>
      <c r="D128" s="1336"/>
      <c r="E128" s="1336"/>
      <c r="F128" s="1336"/>
      <c r="G128" s="1369"/>
      <c r="H128" s="1369"/>
      <c r="I128" s="1369"/>
      <c r="J128" s="1369"/>
      <c r="K128" s="1420"/>
      <c r="L128" s="1421"/>
      <c r="M128" s="1422"/>
      <c r="N128" s="1390"/>
      <c r="O128" s="1390"/>
      <c r="P128" s="1391"/>
      <c r="Q128" s="1314"/>
      <c r="R128" s="1209"/>
      <c r="S128" s="1209"/>
      <c r="T128" s="1209"/>
      <c r="U128" s="1209"/>
      <c r="V128" s="1209"/>
      <c r="W128" s="1209"/>
      <c r="X128" s="1209"/>
      <c r="Y128" s="1209"/>
      <c r="Z128" s="1209"/>
      <c r="AA128" s="1209"/>
      <c r="AB128" s="1209"/>
      <c r="AC128" s="1209"/>
    </row>
    <row r="129" spans="1:29" ht="15">
      <c r="A129" s="1341"/>
      <c r="B129" s="1346"/>
      <c r="C129" s="1359"/>
      <c r="D129" s="1359"/>
      <c r="E129" s="1359"/>
      <c r="F129" s="1359"/>
      <c r="G129" s="1343"/>
      <c r="H129" s="1343"/>
      <c r="I129" s="1343"/>
      <c r="J129" s="1343"/>
      <c r="K129" s="1343"/>
      <c r="L129" s="1343"/>
      <c r="M129" s="1392"/>
      <c r="N129" s="1393"/>
      <c r="O129" s="1393"/>
      <c r="P129" s="1391"/>
      <c r="Q129" s="1314"/>
      <c r="R129" s="1209"/>
      <c r="S129" s="1209"/>
      <c r="T129" s="1209"/>
      <c r="U129" s="1209"/>
      <c r="V129" s="1209"/>
      <c r="W129" s="1209"/>
      <c r="X129" s="1209"/>
      <c r="Y129" s="1209"/>
      <c r="Z129" s="1209"/>
      <c r="AA129" s="1209"/>
      <c r="AB129" s="1209"/>
      <c r="AC129" s="1209"/>
    </row>
    <row r="130" spans="1:29" s="1095" customFormat="1">
      <c r="A130" s="1372"/>
      <c r="B130" s="1344">
        <f>B45</f>
        <v>111</v>
      </c>
      <c r="C130" s="1336"/>
      <c r="D130" s="1336"/>
      <c r="E130" s="1336"/>
      <c r="F130" s="1336"/>
      <c r="G130" s="1353"/>
      <c r="H130" s="1353"/>
      <c r="I130" s="1353"/>
      <c r="J130" s="1353"/>
      <c r="K130" s="1353"/>
      <c r="L130" s="1401"/>
      <c r="M130" s="1402"/>
      <c r="N130" s="1403"/>
      <c r="O130" s="1403"/>
      <c r="P130" s="1404"/>
      <c r="Q130" s="1435"/>
      <c r="R130" s="1436"/>
      <c r="S130" s="1436"/>
      <c r="T130" s="1436"/>
      <c r="U130" s="1436"/>
      <c r="V130" s="1436"/>
      <c r="W130" s="1436"/>
      <c r="X130" s="1436"/>
      <c r="Y130" s="1436"/>
      <c r="Z130" s="1436"/>
      <c r="AA130" s="1436"/>
      <c r="AB130" s="1436"/>
      <c r="AC130" s="1436"/>
    </row>
    <row r="131" spans="1:29" s="1095" customFormat="1" ht="15">
      <c r="A131" s="1357"/>
      <c r="B131" s="1376"/>
      <c r="C131" s="1359"/>
      <c r="D131" s="1359"/>
      <c r="E131" s="1359"/>
      <c r="F131" s="1359"/>
      <c r="G131" s="1371"/>
      <c r="H131" s="1371"/>
      <c r="I131" s="1371"/>
      <c r="J131" s="1371"/>
      <c r="K131" s="1371"/>
      <c r="L131" s="1371"/>
      <c r="M131" s="1426"/>
      <c r="N131" s="1403"/>
      <c r="O131" s="1403"/>
      <c r="P131" s="1404"/>
      <c r="Q131" s="1435"/>
      <c r="R131" s="1436"/>
      <c r="S131" s="1436"/>
      <c r="T131" s="1436"/>
      <c r="U131" s="1436"/>
      <c r="V131" s="1436"/>
      <c r="W131" s="1436"/>
      <c r="X131" s="1436"/>
      <c r="Y131" s="1436"/>
      <c r="Z131" s="1436"/>
      <c r="AA131" s="1436"/>
      <c r="AB131" s="1436"/>
      <c r="AC131" s="143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99" customWidth="1"/>
    <col min="2" max="2" width="15.75" style="1099" customWidth="1"/>
    <col min="3" max="3" width="14.37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4.5" style="1099" customWidth="1"/>
    <col min="10" max="10" width="12.25" style="1099" customWidth="1"/>
    <col min="11" max="11" width="12.25" style="1100" customWidth="1"/>
    <col min="12" max="12" width="12.25" style="1101" customWidth="1"/>
    <col min="13" max="15" width="12.25" style="1099" customWidth="1"/>
    <col min="16" max="16" width="4.75" style="10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pans="1:29" s="1092" customFormat="1" ht="28.5" customHeight="1">
      <c r="A1" s="1102" t="s">
        <v>2022</v>
      </c>
      <c r="B1" s="1103"/>
      <c r="C1" s="1104" t="s">
        <v>2014</v>
      </c>
      <c r="D1" s="1105"/>
      <c r="E1" s="1105"/>
      <c r="F1" s="1106" t="s">
        <v>1391</v>
      </c>
      <c r="G1" s="1105"/>
      <c r="H1" s="1105"/>
      <c r="I1" s="1105"/>
      <c r="J1" s="1105"/>
      <c r="K1" s="1252"/>
      <c r="L1" s="1253"/>
      <c r="M1" s="1254"/>
      <c r="N1" s="1254"/>
      <c r="O1" s="1254"/>
      <c r="P1" s="1255"/>
      <c r="Q1" s="1255"/>
      <c r="R1" s="1255"/>
      <c r="S1" s="1255"/>
      <c r="T1" s="1255"/>
      <c r="U1" s="1255"/>
      <c r="V1" s="1255"/>
      <c r="W1" s="1255"/>
      <c r="X1" s="1255"/>
      <c r="Y1" s="1255"/>
      <c r="Z1" s="1255"/>
      <c r="AA1" s="1255"/>
      <c r="AB1" s="1255"/>
      <c r="AC1" s="1315"/>
    </row>
    <row r="2" spans="1:29" s="1092" customFormat="1" ht="28.5" customHeight="1">
      <c r="A2" s="386" t="s">
        <v>1392</v>
      </c>
      <c r="B2" s="1107" t="e">
        <f>F61</f>
        <v>#DIV/0!</v>
      </c>
      <c r="C2" s="1108"/>
      <c r="D2" s="1108"/>
      <c r="E2" s="1108"/>
      <c r="F2" s="1109"/>
      <c r="G2" s="1108"/>
      <c r="H2" s="1108"/>
      <c r="I2" s="1108"/>
      <c r="J2" s="1108"/>
      <c r="K2" s="1256"/>
      <c r="L2" s="1257"/>
      <c r="M2" s="1258"/>
      <c r="N2" s="1258"/>
      <c r="O2" s="1258"/>
      <c r="P2" s="1255"/>
      <c r="Q2" s="1255"/>
      <c r="R2" s="1255"/>
      <c r="S2" s="1255"/>
      <c r="T2" s="1255"/>
      <c r="U2" s="1255"/>
      <c r="V2" s="1255"/>
      <c r="W2" s="1255"/>
      <c r="X2" s="1255"/>
      <c r="Y2" s="1255"/>
      <c r="Z2" s="1255"/>
      <c r="AA2" s="1255"/>
      <c r="AB2" s="1255"/>
      <c r="AC2" s="1315"/>
    </row>
    <row r="3" spans="1:29" s="1092" customFormat="1" ht="28.5" customHeight="1">
      <c r="A3" s="389" t="s">
        <v>1394</v>
      </c>
      <c r="B3" s="1110" t="e">
        <f>ROUND(IF(D3="",B2*10000/'数据-汇总表'!E3,B2*10000/D3),0)</f>
        <v>#DIV/0!</v>
      </c>
      <c r="C3" s="389" t="s">
        <v>1395</v>
      </c>
      <c r="D3" s="1111"/>
      <c r="E3" s="1108"/>
      <c r="F3" s="1109"/>
      <c r="G3" s="1108"/>
      <c r="H3" s="1108"/>
      <c r="I3" s="1108"/>
      <c r="J3" s="1108"/>
      <c r="K3" s="1256"/>
      <c r="L3" s="1257"/>
      <c r="M3" s="1258"/>
      <c r="N3" s="1258"/>
      <c r="O3" s="1258"/>
      <c r="P3" s="1255"/>
      <c r="Q3" s="1255"/>
      <c r="R3" s="1255"/>
      <c r="S3" s="1255"/>
      <c r="T3" s="1255"/>
      <c r="U3" s="1255"/>
      <c r="V3" s="1255"/>
      <c r="W3" s="1255"/>
      <c r="X3" s="1255"/>
      <c r="Y3" s="1255"/>
      <c r="Z3" s="1255"/>
      <c r="AA3" s="1255"/>
      <c r="AB3" s="1316"/>
      <c r="AC3" s="1317"/>
    </row>
    <row r="4" spans="1:29" ht="15">
      <c r="A4" s="1112" t="s">
        <v>1397</v>
      </c>
      <c r="B4" s="1113"/>
      <c r="C4" s="3679" t="s">
        <v>1398</v>
      </c>
      <c r="D4" s="3680"/>
      <c r="E4" s="3681" t="s">
        <v>1399</v>
      </c>
      <c r="F4" s="3682"/>
      <c r="G4" s="3679" t="s">
        <v>1400</v>
      </c>
      <c r="H4" s="3680"/>
      <c r="I4" s="3679" t="s">
        <v>1401</v>
      </c>
      <c r="J4" s="3680"/>
      <c r="K4" s="1259" t="s">
        <v>1402</v>
      </c>
      <c r="L4" s="1260"/>
      <c r="M4" s="1261"/>
      <c r="N4" s="1261"/>
      <c r="O4" s="1261"/>
      <c r="P4" s="3707" t="s">
        <v>1403</v>
      </c>
      <c r="Q4" s="3708"/>
      <c r="R4" s="3713" t="s">
        <v>1399</v>
      </c>
      <c r="S4" s="3714"/>
      <c r="T4" s="3713" t="s">
        <v>1400</v>
      </c>
      <c r="U4" s="3714"/>
      <c r="V4" s="3719" t="s">
        <v>1401</v>
      </c>
      <c r="W4" s="3719"/>
      <c r="X4" s="1303"/>
      <c r="Y4" s="3713" t="s">
        <v>1403</v>
      </c>
      <c r="Z4" s="3714"/>
      <c r="AA4" s="3704" t="s">
        <v>1399</v>
      </c>
      <c r="AB4" s="3705" t="s">
        <v>1400</v>
      </c>
      <c r="AC4" s="3704" t="s">
        <v>1401</v>
      </c>
    </row>
    <row r="5" spans="1:29" ht="15">
      <c r="A5" s="1114"/>
      <c r="B5" s="1115"/>
      <c r="C5" s="3683" t="s">
        <v>1404</v>
      </c>
      <c r="D5" s="3684"/>
      <c r="E5" s="3749" t="s">
        <v>1957</v>
      </c>
      <c r="F5" s="3686"/>
      <c r="G5" s="3683" t="s">
        <v>1958</v>
      </c>
      <c r="H5" s="3684"/>
      <c r="I5" s="3683" t="s">
        <v>1959</v>
      </c>
      <c r="J5" s="3684"/>
      <c r="K5" s="1259"/>
      <c r="L5" s="1260"/>
      <c r="M5" s="1261"/>
      <c r="N5" s="1261"/>
      <c r="O5" s="1261"/>
      <c r="P5" s="3709"/>
      <c r="Q5" s="3710"/>
      <c r="R5" s="3715"/>
      <c r="S5" s="3716"/>
      <c r="T5" s="3715"/>
      <c r="U5" s="3716"/>
      <c r="V5" s="3719"/>
      <c r="W5" s="3719"/>
      <c r="X5" s="1303"/>
      <c r="Y5" s="3715"/>
      <c r="Z5" s="3716"/>
      <c r="AA5" s="3705"/>
      <c r="AB5" s="3705"/>
      <c r="AC5" s="3705"/>
    </row>
    <row r="6" spans="1:29" ht="15">
      <c r="A6" s="1116"/>
      <c r="B6" s="1117"/>
      <c r="C6" s="3776" t="s">
        <v>2064</v>
      </c>
      <c r="D6" s="3777"/>
      <c r="E6" s="3778" t="s">
        <v>2064</v>
      </c>
      <c r="F6" s="3779"/>
      <c r="G6" s="3776" t="s">
        <v>2064</v>
      </c>
      <c r="H6" s="3777"/>
      <c r="I6" s="3776" t="s">
        <v>2064</v>
      </c>
      <c r="J6" s="3777"/>
      <c r="K6" s="1259" t="s">
        <v>1409</v>
      </c>
      <c r="L6" s="1260"/>
      <c r="M6" s="1261"/>
      <c r="N6" s="1261"/>
      <c r="O6" s="1261"/>
      <c r="P6" s="3711"/>
      <c r="Q6" s="3712"/>
      <c r="R6" s="3715"/>
      <c r="S6" s="3716"/>
      <c r="T6" s="3717"/>
      <c r="U6" s="3718"/>
      <c r="V6" s="3719"/>
      <c r="W6" s="3719"/>
      <c r="X6" s="1303"/>
      <c r="Y6" s="3717"/>
      <c r="Z6" s="3718"/>
      <c r="AA6" s="3706"/>
      <c r="AB6" s="3706"/>
      <c r="AC6" s="3706"/>
    </row>
    <row r="7" spans="1:29" s="1093" customFormat="1" ht="15">
      <c r="A7" s="1118" t="s">
        <v>1410</v>
      </c>
      <c r="B7" s="1119"/>
      <c r="C7" s="1120">
        <f>'数据-取费表'!B2</f>
        <v>45911</v>
      </c>
      <c r="D7" s="1121">
        <v>100</v>
      </c>
      <c r="E7" s="1122"/>
      <c r="F7" s="1123">
        <f>SUMIF(65:65,YEAR(E7)&amp;"-"&amp;INT((MONTH(E7)+2)/3),66:66)</f>
        <v>0</v>
      </c>
      <c r="G7" s="1124"/>
      <c r="H7" s="1121">
        <f>SUMIF(65:65,YEAR(G7)&amp;"-"&amp;INT((MONTH(G7)+2)/3),66:66)</f>
        <v>0</v>
      </c>
      <c r="I7" s="1124"/>
      <c r="J7" s="1121">
        <f>SUMIF(65:65,YEAR(I7)&amp;"-"&amp;INT((MONTH(I7)+2)/3),66:66)</f>
        <v>0</v>
      </c>
      <c r="K7" s="1262"/>
      <c r="L7" s="1263"/>
      <c r="M7" s="1264"/>
      <c r="N7" s="1264"/>
      <c r="O7" s="1264"/>
      <c r="P7" s="3692" t="s">
        <v>1411</v>
      </c>
      <c r="Q7" s="3693"/>
      <c r="R7" s="1304" t="s">
        <v>1412</v>
      </c>
      <c r="S7" s="1305">
        <f t="shared" ref="S7:S15" si="0">F7</f>
        <v>0</v>
      </c>
      <c r="T7" s="1304" t="s">
        <v>1412</v>
      </c>
      <c r="U7" s="1305">
        <f t="shared" ref="U7:U15" si="1">H7</f>
        <v>0</v>
      </c>
      <c r="V7" s="1304" t="s">
        <v>1412</v>
      </c>
      <c r="W7" s="1305">
        <f t="shared" ref="W7:W15" si="2">J7</f>
        <v>0</v>
      </c>
      <c r="X7" s="1306"/>
      <c r="Y7" s="3692" t="s">
        <v>1411</v>
      </c>
      <c r="Z7" s="3694"/>
      <c r="AA7" s="1318" t="e">
        <f>D7/F7</f>
        <v>#DIV/0!</v>
      </c>
      <c r="AB7" s="1318" t="e">
        <f>D7/H7</f>
        <v>#DIV/0!</v>
      </c>
      <c r="AC7" s="1318" t="e">
        <f>D7/J7</f>
        <v>#DIV/0!</v>
      </c>
    </row>
    <row r="8" spans="1:29" s="1093" customFormat="1" ht="15">
      <c r="A8" s="1118" t="s">
        <v>1413</v>
      </c>
      <c r="B8" s="1119"/>
      <c r="C8" s="1125" t="s">
        <v>1459</v>
      </c>
      <c r="D8" s="1121">
        <v>100</v>
      </c>
      <c r="E8" s="1125"/>
      <c r="F8" s="1123">
        <f>SUMIF(68:68,E8,69:69)-SUMIF(68:68,C8,69:69)+100</f>
        <v>0</v>
      </c>
      <c r="G8" s="1125"/>
      <c r="H8" s="1121">
        <f>SUMIF(68:68,G8,69:69)-SUMIF(68:68,C8,69:69)+100</f>
        <v>0</v>
      </c>
      <c r="I8" s="1125"/>
      <c r="J8" s="1121">
        <f>SUMIF(68:68,I8,69:69)-SUMIF(68:68,C8,69:69)+100</f>
        <v>0</v>
      </c>
      <c r="K8" s="1262"/>
      <c r="L8" s="1263"/>
      <c r="M8" s="1264"/>
      <c r="N8" s="1264"/>
      <c r="O8" s="1264"/>
      <c r="P8" s="3692" t="s">
        <v>1415</v>
      </c>
      <c r="Q8" s="3694"/>
      <c r="R8" s="1304" t="s">
        <v>1412</v>
      </c>
      <c r="S8" s="1305">
        <f t="shared" si="0"/>
        <v>0</v>
      </c>
      <c r="T8" s="1304" t="s">
        <v>1412</v>
      </c>
      <c r="U8" s="1305">
        <f t="shared" si="1"/>
        <v>0</v>
      </c>
      <c r="V8" s="1304" t="s">
        <v>1412</v>
      </c>
      <c r="W8" s="1305">
        <f t="shared" si="2"/>
        <v>0</v>
      </c>
      <c r="X8" s="1306"/>
      <c r="Y8" s="3692" t="s">
        <v>1415</v>
      </c>
      <c r="Z8" s="3694"/>
      <c r="AA8" s="1318" t="e">
        <f t="shared" ref="AA8:AA40" si="3">D8/F8</f>
        <v>#DIV/0!</v>
      </c>
      <c r="AB8" s="1318" t="e">
        <f t="shared" ref="AB8:AB40" si="4">D8/H8</f>
        <v>#DIV/0!</v>
      </c>
      <c r="AC8" s="1318" t="e">
        <f t="shared" ref="AC8:AC40" si="5">D8/J8</f>
        <v>#DIV/0!</v>
      </c>
    </row>
    <row r="9" spans="1:29" s="1093" customFormat="1">
      <c r="A9" s="1126" t="s">
        <v>1416</v>
      </c>
      <c r="B9" s="1127" t="s">
        <v>1417</v>
      </c>
      <c r="C9" s="1128"/>
      <c r="D9" s="1129">
        <v>100</v>
      </c>
      <c r="E9" s="1128"/>
      <c r="F9" s="1129">
        <f>SUMIF(70:70,E9,71:71)-SUMIF(70:70,C9,71:71)+100</f>
        <v>100</v>
      </c>
      <c r="G9" s="1128"/>
      <c r="H9" s="1129">
        <f>SUMIF(70:70,G9,71:71)-SUMIF(70:70,C9,71:71)+100</f>
        <v>100</v>
      </c>
      <c r="I9" s="1128"/>
      <c r="J9" s="1129">
        <f>SUMIF(70:70,I9,71:71)-SUMIF(70:70,C9,71:71)+100</f>
        <v>100</v>
      </c>
      <c r="K9" s="1262"/>
      <c r="L9" s="1263"/>
      <c r="M9" s="1264"/>
      <c r="N9" s="1264"/>
      <c r="O9" s="1265"/>
      <c r="P9" s="3695" t="s">
        <v>1418</v>
      </c>
      <c r="Q9" s="1308" t="str">
        <f t="shared" ref="Q9:Q15" si="6">B9</f>
        <v>用途</v>
      </c>
      <c r="R9" s="1304" t="s">
        <v>1412</v>
      </c>
      <c r="S9" s="1305">
        <f t="shared" si="0"/>
        <v>100</v>
      </c>
      <c r="T9" s="1304" t="s">
        <v>1412</v>
      </c>
      <c r="U9" s="1305">
        <f t="shared" si="1"/>
        <v>100</v>
      </c>
      <c r="V9" s="1304" t="s">
        <v>1412</v>
      </c>
      <c r="W9" s="1305">
        <f t="shared" si="2"/>
        <v>100</v>
      </c>
      <c r="X9" s="1306"/>
      <c r="Y9" s="3660" t="s">
        <v>1419</v>
      </c>
      <c r="Z9" s="1319" t="str">
        <f t="shared" ref="Z9:Z15" si="7">Q9</f>
        <v>用途</v>
      </c>
      <c r="AA9" s="1318">
        <f t="shared" si="3"/>
        <v>1</v>
      </c>
      <c r="AB9" s="1318">
        <f t="shared" si="4"/>
        <v>1</v>
      </c>
      <c r="AC9" s="1318">
        <f t="shared" si="5"/>
        <v>1</v>
      </c>
    </row>
    <row r="10" spans="1:29" s="1094" customFormat="1" ht="27">
      <c r="A10" s="1130"/>
      <c r="B10" s="1131" t="s">
        <v>1420</v>
      </c>
      <c r="C10" s="1132"/>
      <c r="D10" s="1133">
        <v>100</v>
      </c>
      <c r="E10" s="1132"/>
      <c r="F10" s="1133">
        <f>ROUND(100/'数据-取费表'!G16,0)</f>
        <v>111</v>
      </c>
      <c r="G10" s="1132"/>
      <c r="H10" s="1133">
        <f>ROUND(100/'数据-取费表'!G16,0)</f>
        <v>111</v>
      </c>
      <c r="I10" s="1132"/>
      <c r="J10" s="1133">
        <f>ROUND(100/'数据-取费表'!G16,0)</f>
        <v>111</v>
      </c>
      <c r="K10" s="1266"/>
      <c r="L10" s="1267"/>
      <c r="M10" s="1268"/>
      <c r="N10" s="1268"/>
      <c r="O10" s="1269"/>
      <c r="P10" s="3695"/>
      <c r="Q10" s="1308" t="str">
        <f t="shared" si="6"/>
        <v>土地使用年限（年）</v>
      </c>
      <c r="R10" s="1304" t="s">
        <v>1412</v>
      </c>
      <c r="S10" s="1305">
        <f t="shared" si="0"/>
        <v>111</v>
      </c>
      <c r="T10" s="1304" t="s">
        <v>1412</v>
      </c>
      <c r="U10" s="1305">
        <f t="shared" si="1"/>
        <v>111</v>
      </c>
      <c r="V10" s="1304" t="s">
        <v>1412</v>
      </c>
      <c r="W10" s="1305">
        <f t="shared" si="2"/>
        <v>111</v>
      </c>
      <c r="X10" s="1306"/>
      <c r="Y10" s="3660"/>
      <c r="Z10" s="1319" t="str">
        <f t="shared" si="7"/>
        <v>土地使用年限（年）</v>
      </c>
      <c r="AA10" s="1318">
        <f t="shared" si="3"/>
        <v>0.90090090090090102</v>
      </c>
      <c r="AB10" s="1318">
        <f t="shared" si="4"/>
        <v>0.90090090090090102</v>
      </c>
      <c r="AC10" s="1318">
        <f t="shared" si="5"/>
        <v>0.90090090090090102</v>
      </c>
    </row>
    <row r="11" spans="1:29" ht="15">
      <c r="A11" s="1134"/>
      <c r="B11" s="1131" t="s">
        <v>1960</v>
      </c>
      <c r="C11" s="1135"/>
      <c r="D11" s="1133">
        <v>100</v>
      </c>
      <c r="E11" s="1135"/>
      <c r="F11" s="1133" t="e">
        <f>LOOKUP(E11,75:75,76:76)-LOOKUP(C11,75:75,76:76)+100</f>
        <v>#N/A</v>
      </c>
      <c r="G11" s="1136"/>
      <c r="H11" s="1133" t="e">
        <f>LOOKUP(G11,75:75,76:76)-LOOKUP(C11,75:75,76:76)+100</f>
        <v>#N/A</v>
      </c>
      <c r="I11" s="1135"/>
      <c r="J11" s="1133" t="e">
        <f>LOOKUP(I11,75:75,76:76)-LOOKUP(C11,75:75,76:76)+100</f>
        <v>#N/A</v>
      </c>
      <c r="K11" s="1270"/>
      <c r="L11" s="1271"/>
      <c r="M11" s="1261"/>
      <c r="N11" s="1261"/>
      <c r="O11" s="1272"/>
      <c r="P11" s="3695"/>
      <c r="Q11" s="1308" t="str">
        <f t="shared" si="6"/>
        <v>容积率</v>
      </c>
      <c r="R11" s="1304" t="s">
        <v>1412</v>
      </c>
      <c r="S11" s="1305" t="e">
        <f t="shared" si="0"/>
        <v>#N/A</v>
      </c>
      <c r="T11" s="1304" t="s">
        <v>1412</v>
      </c>
      <c r="U11" s="1305" t="e">
        <f t="shared" si="1"/>
        <v>#N/A</v>
      </c>
      <c r="V11" s="1304" t="s">
        <v>1412</v>
      </c>
      <c r="W11" s="1305" t="e">
        <f t="shared" si="2"/>
        <v>#N/A</v>
      </c>
      <c r="X11" s="1306"/>
      <c r="Y11" s="3660"/>
      <c r="Z11" s="1319" t="str">
        <f t="shared" si="7"/>
        <v>容积率</v>
      </c>
      <c r="AA11" s="1318" t="e">
        <f t="shared" si="3"/>
        <v>#N/A</v>
      </c>
      <c r="AB11" s="1318" t="e">
        <f t="shared" si="4"/>
        <v>#N/A</v>
      </c>
      <c r="AC11" s="1318" t="e">
        <f t="shared" si="5"/>
        <v>#N/A</v>
      </c>
    </row>
    <row r="12" spans="1:29" s="1093" customFormat="1" ht="15">
      <c r="A12" s="1137"/>
      <c r="B12" s="1138">
        <v>111</v>
      </c>
      <c r="C12" s="1132"/>
      <c r="D12" s="1139">
        <v>100</v>
      </c>
      <c r="E12" s="1140"/>
      <c r="F12" s="1133">
        <f>SUMIF(77:77,E12,78:78)-SUMIF(77:77,C12,78:78)+100</f>
        <v>100</v>
      </c>
      <c r="G12" s="1141"/>
      <c r="H12" s="1133">
        <f>SUMIF(77:77,G12,78:78)-SUMIF(77:77,C12,78:78)+100</f>
        <v>100</v>
      </c>
      <c r="I12" s="1140"/>
      <c r="J12" s="1133">
        <f>SUMIF(77:77,I12,78:78)-SUMIF(77:77,C12,78:78)+100</f>
        <v>100</v>
      </c>
      <c r="K12" s="1266"/>
      <c r="L12" s="1263"/>
      <c r="M12" s="1264"/>
      <c r="N12" s="1264"/>
      <c r="O12" s="1265"/>
      <c r="P12" s="3695"/>
      <c r="Q12" s="1308">
        <f t="shared" si="6"/>
        <v>111</v>
      </c>
      <c r="R12" s="1304" t="s">
        <v>1412</v>
      </c>
      <c r="S12" s="1305">
        <f t="shared" si="0"/>
        <v>100</v>
      </c>
      <c r="T12" s="1304" t="s">
        <v>1412</v>
      </c>
      <c r="U12" s="1305">
        <f t="shared" si="1"/>
        <v>100</v>
      </c>
      <c r="V12" s="1304" t="s">
        <v>1412</v>
      </c>
      <c r="W12" s="1305">
        <f t="shared" si="2"/>
        <v>100</v>
      </c>
      <c r="X12" s="1306"/>
      <c r="Y12" s="3660"/>
      <c r="Z12" s="1319">
        <f t="shared" si="7"/>
        <v>111</v>
      </c>
      <c r="AA12" s="1318">
        <f t="shared" si="3"/>
        <v>1</v>
      </c>
      <c r="AB12" s="1318">
        <f t="shared" si="4"/>
        <v>1</v>
      </c>
      <c r="AC12" s="1318">
        <f t="shared" si="5"/>
        <v>1</v>
      </c>
    </row>
    <row r="13" spans="1:29" ht="15">
      <c r="A13" s="1134"/>
      <c r="B13" s="1138">
        <v>111</v>
      </c>
      <c r="C13" s="1142"/>
      <c r="D13" s="1143">
        <v>100</v>
      </c>
      <c r="E13" s="1140"/>
      <c r="F13" s="1133">
        <f>SUMIF(79:79,E13,80:80)-SUMIF(79:79,C13,80:80)+100</f>
        <v>100</v>
      </c>
      <c r="G13" s="1141"/>
      <c r="H13" s="1143">
        <f>SUMIF(79:79,G13,80:80)-SUMIF(79:79,C13,80:80)+100</f>
        <v>100</v>
      </c>
      <c r="I13" s="1140"/>
      <c r="J13" s="1143">
        <f>SUMIF(79:79,I13,80:80)-SUMIF(79:79,C13,80:80)+100</f>
        <v>100</v>
      </c>
      <c r="K13" s="1266"/>
      <c r="L13" s="1273"/>
      <c r="M13" s="1261"/>
      <c r="N13" s="1261"/>
      <c r="O13" s="1272"/>
      <c r="P13" s="3695"/>
      <c r="Q13" s="1308">
        <f t="shared" si="6"/>
        <v>111</v>
      </c>
      <c r="R13" s="1304" t="s">
        <v>1412</v>
      </c>
      <c r="S13" s="1305">
        <f t="shared" si="0"/>
        <v>100</v>
      </c>
      <c r="T13" s="1304" t="s">
        <v>1412</v>
      </c>
      <c r="U13" s="1305">
        <f t="shared" si="1"/>
        <v>100</v>
      </c>
      <c r="V13" s="1304" t="s">
        <v>1412</v>
      </c>
      <c r="W13" s="1305">
        <f t="shared" si="2"/>
        <v>100</v>
      </c>
      <c r="X13" s="1306"/>
      <c r="Y13" s="3660"/>
      <c r="Z13" s="1319">
        <f t="shared" si="7"/>
        <v>111</v>
      </c>
      <c r="AA13" s="1318">
        <f t="shared" si="3"/>
        <v>1</v>
      </c>
      <c r="AB13" s="1318">
        <f t="shared" si="4"/>
        <v>1</v>
      </c>
      <c r="AC13" s="1318">
        <f t="shared" si="5"/>
        <v>1</v>
      </c>
    </row>
    <row r="14" spans="1:29" ht="15">
      <c r="A14" s="1144"/>
      <c r="B14" s="1145">
        <v>111</v>
      </c>
      <c r="C14" s="1146"/>
      <c r="D14" s="1147">
        <v>100</v>
      </c>
      <c r="E14" s="1140"/>
      <c r="F14" s="1147">
        <f>SUMIF(81:81,E14,82:82)-SUMIF(81:81,C14,82:82)+100</f>
        <v>100</v>
      </c>
      <c r="G14" s="1141"/>
      <c r="H14" s="1147">
        <f>SUMIF(81:81,G14,82:82)-SUMIF(81:81,C14,82:82)+100</f>
        <v>100</v>
      </c>
      <c r="I14" s="1140"/>
      <c r="J14" s="1147">
        <f>SUMIF(81:81,I14,82:82)-SUMIF(81:81,C14,82:82)+100</f>
        <v>100</v>
      </c>
      <c r="K14" s="1266"/>
      <c r="L14" s="1273"/>
      <c r="M14" s="1261"/>
      <c r="N14" s="1261"/>
      <c r="O14" s="1272"/>
      <c r="P14" s="3695"/>
      <c r="Q14" s="1308">
        <f t="shared" si="6"/>
        <v>111</v>
      </c>
      <c r="R14" s="1304" t="s">
        <v>1412</v>
      </c>
      <c r="S14" s="1305">
        <f t="shared" si="0"/>
        <v>100</v>
      </c>
      <c r="T14" s="1304" t="s">
        <v>1412</v>
      </c>
      <c r="U14" s="1305">
        <f t="shared" si="1"/>
        <v>100</v>
      </c>
      <c r="V14" s="1304" t="s">
        <v>1412</v>
      </c>
      <c r="W14" s="1305">
        <f t="shared" si="2"/>
        <v>100</v>
      </c>
      <c r="X14" s="1306"/>
      <c r="Y14" s="3660"/>
      <c r="Z14" s="1319">
        <f t="shared" si="7"/>
        <v>111</v>
      </c>
      <c r="AA14" s="1318">
        <f t="shared" si="3"/>
        <v>1</v>
      </c>
      <c r="AB14" s="1318">
        <f t="shared" si="4"/>
        <v>1</v>
      </c>
      <c r="AC14" s="1318">
        <f t="shared" si="5"/>
        <v>1</v>
      </c>
    </row>
    <row r="15" spans="1:29" ht="57">
      <c r="A15" s="1148" t="s">
        <v>1423</v>
      </c>
      <c r="B15" s="1149" t="s">
        <v>2015</v>
      </c>
      <c r="C15" s="1150" t="str">
        <f>估价对象房地状况!G15</f>
        <v>估价对象位于XX开发区，园区建设成熟度XX，产业集聚程度XX</v>
      </c>
      <c r="D15" s="1151">
        <v>100</v>
      </c>
      <c r="E15" s="1152"/>
      <c r="F15" s="1151">
        <f>SUMIF(83:83,E16,84:84)-SUMIF(83:83,C16,84:84)+100</f>
        <v>100</v>
      </c>
      <c r="G15" s="1152"/>
      <c r="H15" s="1151">
        <f>SUMIF(83:83,G16,84:84)-SUMIF(83:83,C16,84:84)+100</f>
        <v>100</v>
      </c>
      <c r="I15" s="1274"/>
      <c r="J15" s="1151">
        <f>SUMIF(83:83,I16,84:84)-SUMIF(83:83,C16,84:84)+100</f>
        <v>100</v>
      </c>
      <c r="K15" s="1270"/>
      <c r="L15" s="1273"/>
      <c r="M15" s="1261"/>
      <c r="N15" s="1261"/>
      <c r="O15" s="1272"/>
      <c r="P15" s="3700" t="s">
        <v>1425</v>
      </c>
      <c r="Q15" s="816" t="str">
        <f t="shared" si="6"/>
        <v>产业集聚程度</v>
      </c>
      <c r="R15" s="1309" t="s">
        <v>1412</v>
      </c>
      <c r="S15" s="1310">
        <f t="shared" si="0"/>
        <v>100</v>
      </c>
      <c r="T15" s="1309" t="s">
        <v>1412</v>
      </c>
      <c r="U15" s="1310">
        <f t="shared" si="1"/>
        <v>100</v>
      </c>
      <c r="V15" s="1309" t="s">
        <v>1412</v>
      </c>
      <c r="W15" s="1310">
        <f t="shared" si="2"/>
        <v>100</v>
      </c>
      <c r="X15" s="1303"/>
      <c r="Y15" s="3700" t="s">
        <v>1425</v>
      </c>
      <c r="Z15" s="1293" t="str">
        <f t="shared" si="7"/>
        <v>产业集聚程度</v>
      </c>
      <c r="AA15" s="1320">
        <f t="shared" si="3"/>
        <v>1</v>
      </c>
      <c r="AB15" s="1320">
        <f t="shared" si="4"/>
        <v>1</v>
      </c>
      <c r="AC15" s="1320">
        <f t="shared" si="5"/>
        <v>1</v>
      </c>
    </row>
    <row r="16" spans="1:29" ht="15">
      <c r="A16" s="1134"/>
      <c r="B16" s="1153"/>
      <c r="C16" s="1154"/>
      <c r="D16" s="1155"/>
      <c r="E16" s="1156"/>
      <c r="F16" s="1155"/>
      <c r="G16" s="1156"/>
      <c r="H16" s="1157"/>
      <c r="I16" s="1156"/>
      <c r="J16" s="1155"/>
      <c r="K16" s="1266"/>
      <c r="L16" s="1273"/>
      <c r="M16" s="1261"/>
      <c r="N16" s="1261"/>
      <c r="O16" s="1272"/>
      <c r="P16" s="3701"/>
      <c r="Q16" s="816"/>
      <c r="R16" s="1309"/>
      <c r="S16" s="1310"/>
      <c r="T16" s="1309"/>
      <c r="U16" s="1310"/>
      <c r="V16" s="1309"/>
      <c r="W16" s="1310"/>
      <c r="X16" s="1303"/>
      <c r="Y16" s="3701"/>
      <c r="Z16" s="1293"/>
      <c r="AA16" s="1320">
        <v>1</v>
      </c>
      <c r="AB16" s="1320">
        <v>1</v>
      </c>
      <c r="AC16" s="1320">
        <v>1</v>
      </c>
    </row>
    <row r="17" spans="1:29" ht="85.5">
      <c r="A17" s="1134"/>
      <c r="B17" s="1158" t="s">
        <v>1424</v>
      </c>
      <c r="C17" s="1159" t="str">
        <f>估价对象房地状况!G16</f>
        <v>估价对象周边道路状况、公共交通通达情况、停车便捷程度，综合评价交通便捷度较好</v>
      </c>
      <c r="D17" s="1157">
        <v>100</v>
      </c>
      <c r="E17" s="1160"/>
      <c r="F17" s="1161">
        <f>SUMIF(85:85,E18,86:86)-SUMIF(85:85,C18,86:86)+100</f>
        <v>100</v>
      </c>
      <c r="G17" s="1160"/>
      <c r="H17" s="1161">
        <f>SUMIF(85:85,G18,86:86)-SUMIF(85:85,C18,86:86)+100</f>
        <v>100</v>
      </c>
      <c r="I17" s="1275"/>
      <c r="J17" s="1157">
        <f>SUMIF(85:85,I18,86:86)-SUMIF(85:85,C18,86:86)+100</f>
        <v>100</v>
      </c>
      <c r="K17" s="1270"/>
      <c r="L17" s="1273"/>
      <c r="M17" s="1261"/>
      <c r="N17" s="1261"/>
      <c r="O17" s="1272"/>
      <c r="P17" s="3701"/>
      <c r="Q17" s="816" t="str">
        <f>B17</f>
        <v>交通便捷度</v>
      </c>
      <c r="R17" s="1309" t="s">
        <v>1412</v>
      </c>
      <c r="S17" s="1310">
        <f>F17</f>
        <v>100</v>
      </c>
      <c r="T17" s="1309" t="s">
        <v>1412</v>
      </c>
      <c r="U17" s="1310">
        <f>H17</f>
        <v>100</v>
      </c>
      <c r="V17" s="1309" t="s">
        <v>1412</v>
      </c>
      <c r="W17" s="1310">
        <f>J17</f>
        <v>100</v>
      </c>
      <c r="X17" s="1303"/>
      <c r="Y17" s="3701"/>
      <c r="Z17" s="1293" t="str">
        <f>Q17</f>
        <v>交通便捷度</v>
      </c>
      <c r="AA17" s="1320">
        <f t="shared" si="3"/>
        <v>1</v>
      </c>
      <c r="AB17" s="1320">
        <f t="shared" si="4"/>
        <v>1</v>
      </c>
      <c r="AC17" s="1320">
        <f t="shared" si="5"/>
        <v>1</v>
      </c>
    </row>
    <row r="18" spans="1:29" ht="15">
      <c r="A18" s="1134"/>
      <c r="B18" s="1162"/>
      <c r="C18" s="1154"/>
      <c r="D18" s="1155"/>
      <c r="E18" s="1163"/>
      <c r="F18" s="1155"/>
      <c r="G18" s="1163"/>
      <c r="H18" s="1155"/>
      <c r="I18" s="1276"/>
      <c r="J18" s="1155"/>
      <c r="K18" s="1266"/>
      <c r="L18" s="1273"/>
      <c r="M18" s="1261"/>
      <c r="N18" s="1261"/>
      <c r="O18" s="1272"/>
      <c r="P18" s="3701"/>
      <c r="Q18" s="816"/>
      <c r="R18" s="1309"/>
      <c r="S18" s="1310"/>
      <c r="T18" s="1309"/>
      <c r="U18" s="1310"/>
      <c r="V18" s="1309"/>
      <c r="W18" s="1310"/>
      <c r="X18" s="1303"/>
      <c r="Y18" s="3701"/>
      <c r="Z18" s="1293"/>
      <c r="AA18" s="1320">
        <v>1</v>
      </c>
      <c r="AB18" s="1320">
        <v>1</v>
      </c>
      <c r="AC18" s="1320">
        <v>1</v>
      </c>
    </row>
    <row r="19" spans="1:29" ht="15">
      <c r="A19" s="1134"/>
      <c r="B19" s="1158" t="s">
        <v>2025</v>
      </c>
      <c r="C19" s="1159">
        <f>估价对象房地状况!G17</f>
        <v>0</v>
      </c>
      <c r="D19" s="1157">
        <v>100</v>
      </c>
      <c r="E19" s="1160"/>
      <c r="F19" s="1161">
        <f>SUMIF(87:87,E20,88:88)-SUMIF(87:87,C20,88:88)+100</f>
        <v>100</v>
      </c>
      <c r="G19" s="1160"/>
      <c r="H19" s="1161">
        <f>SUMIF(87:87,G20,88:88)-SUMIF(87:87,C20,88:88)+100</f>
        <v>100</v>
      </c>
      <c r="I19" s="1160"/>
      <c r="J19" s="1161">
        <f>SUMIF(87:87,I20,88:88)-SUMIF(87:87,C20,88:88)+100</f>
        <v>100</v>
      </c>
      <c r="K19" s="1270"/>
      <c r="L19" s="1273"/>
      <c r="M19" s="1261"/>
      <c r="N19" s="1261"/>
      <c r="O19" s="1272"/>
      <c r="P19" s="3701"/>
      <c r="Q19" s="816" t="str">
        <f t="shared" ref="Q19:Q34" si="8">B19</f>
        <v>区域土地利用方向</v>
      </c>
      <c r="R19" s="1309" t="s">
        <v>1412</v>
      </c>
      <c r="S19" s="1310">
        <f>F19</f>
        <v>100</v>
      </c>
      <c r="T19" s="1309" t="s">
        <v>1412</v>
      </c>
      <c r="U19" s="1310">
        <f>H19</f>
        <v>100</v>
      </c>
      <c r="V19" s="1309" t="s">
        <v>1412</v>
      </c>
      <c r="W19" s="1310">
        <f>J19</f>
        <v>100</v>
      </c>
      <c r="X19" s="1303"/>
      <c r="Y19" s="3701"/>
      <c r="Z19" s="1293" t="str">
        <f>Q19</f>
        <v>区域土地利用方向</v>
      </c>
      <c r="AA19" s="1320">
        <f t="shared" si="3"/>
        <v>1</v>
      </c>
      <c r="AB19" s="1320">
        <f t="shared" si="4"/>
        <v>1</v>
      </c>
      <c r="AC19" s="1320">
        <f t="shared" si="5"/>
        <v>1</v>
      </c>
    </row>
    <row r="20" spans="1:29" ht="15">
      <c r="A20" s="1114"/>
      <c r="B20" s="1162"/>
      <c r="C20" s="1154"/>
      <c r="D20" s="1155"/>
      <c r="E20" s="1163"/>
      <c r="F20" s="1155"/>
      <c r="G20" s="1163"/>
      <c r="H20" s="1155"/>
      <c r="I20" s="1163"/>
      <c r="J20" s="1155"/>
      <c r="K20" s="1277"/>
      <c r="L20" s="1273"/>
      <c r="M20" s="1261"/>
      <c r="N20" s="1261"/>
      <c r="O20" s="1272"/>
      <c r="P20" s="3701"/>
      <c r="Q20" s="816"/>
      <c r="R20" s="1309"/>
      <c r="S20" s="1310"/>
      <c r="T20" s="1309"/>
      <c r="U20" s="1310"/>
      <c r="V20" s="1309"/>
      <c r="W20" s="1310"/>
      <c r="X20" s="1303"/>
      <c r="Y20" s="3701"/>
      <c r="Z20" s="1293"/>
      <c r="AA20" s="1320"/>
      <c r="AB20" s="1320"/>
      <c r="AC20" s="1320"/>
    </row>
    <row r="21" spans="1:29" ht="71.25">
      <c r="A21" s="1114"/>
      <c r="B21" s="1158" t="s">
        <v>2065</v>
      </c>
      <c r="C21" s="1159" t="str">
        <f>估价对象房地状况!G18</f>
        <v>该园区内是否有污染型企业，绿化情况，卫生条件，整体环境状况判断</v>
      </c>
      <c r="D21" s="1157">
        <v>100</v>
      </c>
      <c r="E21" s="1160"/>
      <c r="F21" s="1157">
        <f>SUMIF(89:89,E22,90:90)-SUMIF(89:89,C22,90:90)+100</f>
        <v>100</v>
      </c>
      <c r="G21" s="1160"/>
      <c r="H21" s="1157">
        <f>SUMIF(89:89,G22,90:90)-SUMIF(89:89,C22,90:90)+100</f>
        <v>100</v>
      </c>
      <c r="I21" s="1275"/>
      <c r="J21" s="1157">
        <f>SUMIF(89:89,I22,90:90)-SUMIF(89:89,C22,90:90)+100</f>
        <v>100</v>
      </c>
      <c r="K21" s="1270"/>
      <c r="L21" s="1273"/>
      <c r="M21" s="1261"/>
      <c r="N21" s="1261"/>
      <c r="O21" s="1272"/>
      <c r="P21" s="3701"/>
      <c r="Q21" s="816" t="str">
        <f t="shared" si="8"/>
        <v>环境状况</v>
      </c>
      <c r="R21" s="1309" t="s">
        <v>1412</v>
      </c>
      <c r="S21" s="1310">
        <f>F21</f>
        <v>100</v>
      </c>
      <c r="T21" s="1309" t="s">
        <v>1412</v>
      </c>
      <c r="U21" s="1310">
        <f>H21</f>
        <v>100</v>
      </c>
      <c r="V21" s="1309" t="s">
        <v>1412</v>
      </c>
      <c r="W21" s="1310">
        <f>J21</f>
        <v>100</v>
      </c>
      <c r="X21" s="1303"/>
      <c r="Y21" s="3701"/>
      <c r="Z21" s="1293" t="str">
        <f>Q21</f>
        <v>环境状况</v>
      </c>
      <c r="AA21" s="1320">
        <f t="shared" si="3"/>
        <v>1</v>
      </c>
      <c r="AB21" s="1320">
        <f t="shared" si="4"/>
        <v>1</v>
      </c>
      <c r="AC21" s="1320">
        <f t="shared" si="5"/>
        <v>1</v>
      </c>
    </row>
    <row r="22" spans="1:29" ht="15">
      <c r="A22" s="1114"/>
      <c r="B22" s="1162"/>
      <c r="C22" s="1154"/>
      <c r="D22" s="1155"/>
      <c r="E22" s="1156"/>
      <c r="F22" s="1155"/>
      <c r="G22" s="1156"/>
      <c r="H22" s="1155"/>
      <c r="I22" s="1154"/>
      <c r="J22" s="1155"/>
      <c r="K22" s="1266"/>
      <c r="L22" s="1273"/>
      <c r="M22" s="1261"/>
      <c r="N22" s="1261"/>
      <c r="O22" s="1272"/>
      <c r="P22" s="3701"/>
      <c r="Q22" s="816"/>
      <c r="R22" s="1309"/>
      <c r="S22" s="1310"/>
      <c r="T22" s="1309"/>
      <c r="U22" s="1310"/>
      <c r="V22" s="1309"/>
      <c r="W22" s="1310"/>
      <c r="X22" s="1303"/>
      <c r="Y22" s="3701"/>
      <c r="Z22" s="1293"/>
      <c r="AA22" s="1320">
        <v>1</v>
      </c>
      <c r="AB22" s="1320">
        <v>1</v>
      </c>
      <c r="AC22" s="1320">
        <v>1</v>
      </c>
    </row>
    <row r="23" spans="1:29" s="1093" customFormat="1" ht="42.75">
      <c r="A23" s="1164"/>
      <c r="B23" s="1165" t="s">
        <v>1427</v>
      </c>
      <c r="C23" s="1159" t="str">
        <f>估价对象房地状况!G19</f>
        <v>估价对象所在区域公共配套设施齐备情况</v>
      </c>
      <c r="D23" s="1157">
        <v>100</v>
      </c>
      <c r="E23" s="1160"/>
      <c r="F23" s="1157">
        <f>SUMIF(91:91,E24,92:92)-SUMIF(91:91,C24,92:92)+100</f>
        <v>100</v>
      </c>
      <c r="G23" s="1160"/>
      <c r="H23" s="1157">
        <f>SUMIF(91:91,G24,92:92)-SUMIF(91:91,C24,92:92)+100</f>
        <v>100</v>
      </c>
      <c r="I23" s="1275"/>
      <c r="J23" s="1157">
        <f>SUMIF(91:91,I24,92:92)-SUMIF(91:91,C24,92:92)+100</f>
        <v>100</v>
      </c>
      <c r="K23" s="1270"/>
      <c r="L23" s="1263"/>
      <c r="M23" s="1264"/>
      <c r="N23" s="1264"/>
      <c r="O23" s="1265"/>
      <c r="P23" s="3701"/>
      <c r="Q23" s="1308" t="str">
        <f t="shared" si="8"/>
        <v>公共配套设施</v>
      </c>
      <c r="R23" s="1304" t="s">
        <v>1412</v>
      </c>
      <c r="S23" s="1305">
        <f>F23</f>
        <v>100</v>
      </c>
      <c r="T23" s="1304" t="s">
        <v>1412</v>
      </c>
      <c r="U23" s="1305">
        <f>H23</f>
        <v>100</v>
      </c>
      <c r="V23" s="1304" t="s">
        <v>1412</v>
      </c>
      <c r="W23" s="1305">
        <f>J23</f>
        <v>100</v>
      </c>
      <c r="X23" s="1306"/>
      <c r="Y23" s="3701"/>
      <c r="Z23" s="1319" t="str">
        <f>Q23</f>
        <v>公共配套设施</v>
      </c>
      <c r="AA23" s="1320">
        <f>D23/F23</f>
        <v>1</v>
      </c>
      <c r="AB23" s="1320">
        <f>D23/H23</f>
        <v>1</v>
      </c>
      <c r="AC23" s="1320">
        <f>D23/J23</f>
        <v>1</v>
      </c>
    </row>
    <row r="24" spans="1:29" s="1093" customFormat="1" ht="15">
      <c r="A24" s="1164"/>
      <c r="B24" s="1162"/>
      <c r="C24" s="1166"/>
      <c r="D24" s="1155"/>
      <c r="E24" s="1156"/>
      <c r="F24" s="1155"/>
      <c r="G24" s="1156"/>
      <c r="H24" s="1155"/>
      <c r="I24" s="1154"/>
      <c r="J24" s="1155"/>
      <c r="K24" s="1266"/>
      <c r="L24" s="1263"/>
      <c r="M24" s="1264"/>
      <c r="N24" s="1264"/>
      <c r="O24" s="1265"/>
      <c r="P24" s="3701"/>
      <c r="Q24" s="1308"/>
      <c r="R24" s="1304"/>
      <c r="S24" s="1305"/>
      <c r="T24" s="1304"/>
      <c r="U24" s="1305"/>
      <c r="V24" s="1304"/>
      <c r="W24" s="1305"/>
      <c r="X24" s="1306"/>
      <c r="Y24" s="3701"/>
      <c r="Z24" s="1319"/>
      <c r="AA24" s="1318">
        <v>1</v>
      </c>
      <c r="AB24" s="1318">
        <v>1</v>
      </c>
      <c r="AC24" s="1318">
        <v>1</v>
      </c>
    </row>
    <row r="25" spans="1:29" s="1093" customFormat="1" ht="28.5">
      <c r="A25" s="1164"/>
      <c r="B25" s="1165" t="s">
        <v>1429</v>
      </c>
      <c r="C25" s="1159" t="str">
        <f>估价对象房地状况!G20</f>
        <v>估价对象所在区域基础设施水平</v>
      </c>
      <c r="D25" s="1157">
        <v>100</v>
      </c>
      <c r="E25" s="1160"/>
      <c r="F25" s="1157">
        <f>SUMIF(93:93,E26,94:94)-SUMIF(93:93,C26,94:94)+100</f>
        <v>100</v>
      </c>
      <c r="G25" s="1160"/>
      <c r="H25" s="1157">
        <f>SUMIF(93:93,G26,94:94)-SUMIF(93:93,C26,94:94)+100</f>
        <v>100</v>
      </c>
      <c r="I25" s="1275"/>
      <c r="J25" s="1157">
        <f>SUMIF(93:93,I26,94:94)-SUMIF(93:93,C26,94:94)+100</f>
        <v>100</v>
      </c>
      <c r="K25" s="1270"/>
      <c r="L25" s="1263"/>
      <c r="M25" s="1264"/>
      <c r="N25" s="1264"/>
      <c r="O25" s="1265"/>
      <c r="P25" s="3701"/>
      <c r="Q25" s="1308" t="str">
        <f t="shared" ref="Q25" si="9">B25</f>
        <v>基础设施水平</v>
      </c>
      <c r="R25" s="1304" t="s">
        <v>1412</v>
      </c>
      <c r="S25" s="1305">
        <f>F25</f>
        <v>100</v>
      </c>
      <c r="T25" s="1304" t="s">
        <v>1412</v>
      </c>
      <c r="U25" s="1305">
        <f>H25</f>
        <v>100</v>
      </c>
      <c r="V25" s="1304" t="s">
        <v>1412</v>
      </c>
      <c r="W25" s="1305">
        <f>J25</f>
        <v>100</v>
      </c>
      <c r="X25" s="1306"/>
      <c r="Y25" s="3701"/>
      <c r="Z25" s="1319" t="str">
        <f>Q25</f>
        <v>基础设施水平</v>
      </c>
      <c r="AA25" s="1320">
        <f>D25/F25</f>
        <v>1</v>
      </c>
      <c r="AB25" s="1320">
        <f>D25/H25</f>
        <v>1</v>
      </c>
      <c r="AC25" s="1320">
        <f>D25/J25</f>
        <v>1</v>
      </c>
    </row>
    <row r="26" spans="1:29" s="1093" customFormat="1" ht="15">
      <c r="A26" s="1164"/>
      <c r="B26" s="1162"/>
      <c r="C26" s="1166"/>
      <c r="D26" s="1155"/>
      <c r="E26" s="1167"/>
      <c r="F26" s="1155"/>
      <c r="G26" s="1167"/>
      <c r="H26" s="1155"/>
      <c r="I26" s="1167"/>
      <c r="J26" s="1155"/>
      <c r="K26" s="1266"/>
      <c r="L26" s="1263"/>
      <c r="M26" s="1264"/>
      <c r="N26" s="1264"/>
      <c r="O26" s="1265"/>
      <c r="P26" s="3701"/>
      <c r="Q26" s="1308"/>
      <c r="R26" s="1304"/>
      <c r="S26" s="1305"/>
      <c r="T26" s="1304"/>
      <c r="U26" s="1305"/>
      <c r="V26" s="1304"/>
      <c r="W26" s="1305"/>
      <c r="X26" s="1306"/>
      <c r="Y26" s="3701"/>
      <c r="Z26" s="1319"/>
      <c r="AA26" s="1318">
        <v>1</v>
      </c>
      <c r="AB26" s="1318">
        <v>1</v>
      </c>
      <c r="AC26" s="1318">
        <v>1</v>
      </c>
    </row>
    <row r="27" spans="1:29" ht="15">
      <c r="A27" s="1134"/>
      <c r="B27" s="1162" t="s">
        <v>1998</v>
      </c>
      <c r="C27" s="1168"/>
      <c r="D27" s="1143">
        <v>100</v>
      </c>
      <c r="E27" s="1169"/>
      <c r="F27" s="1143">
        <f>SUMIF(95:95,E27,96:96)-SUMIF(95:95,C27,96:96)+100</f>
        <v>100</v>
      </c>
      <c r="G27" s="1169"/>
      <c r="H27" s="1143">
        <f>SUMIF(95:95,G27,96:96)-SUMIF(95:95,C27,96:96)+100</f>
        <v>100</v>
      </c>
      <c r="I27" s="1169"/>
      <c r="J27" s="1143">
        <f>SUMIF(95:95,I27,96:96)-SUMIF(95:95,C27,96:96)+100</f>
        <v>100</v>
      </c>
      <c r="K27" s="1270"/>
      <c r="L27" s="1273"/>
      <c r="M27" s="1261"/>
      <c r="N27" s="1261"/>
      <c r="O27" s="1272"/>
      <c r="P27" s="3701"/>
      <c r="Q27" s="816" t="str">
        <f t="shared" si="8"/>
        <v>临街状况</v>
      </c>
      <c r="R27" s="1309" t="s">
        <v>1412</v>
      </c>
      <c r="S27" s="1310">
        <f t="shared" ref="S27:S40" si="10">F27</f>
        <v>100</v>
      </c>
      <c r="T27" s="1309" t="s">
        <v>1412</v>
      </c>
      <c r="U27" s="1310">
        <f t="shared" ref="U27:U40" si="11">H27</f>
        <v>100</v>
      </c>
      <c r="V27" s="1309" t="s">
        <v>1412</v>
      </c>
      <c r="W27" s="1310">
        <f t="shared" ref="W27:W40" si="12">J27</f>
        <v>100</v>
      </c>
      <c r="X27" s="1303"/>
      <c r="Y27" s="3701"/>
      <c r="Z27" s="1293" t="str">
        <f t="shared" ref="Z27:Z40" si="13">Q27</f>
        <v>临街状况</v>
      </c>
      <c r="AA27" s="1320">
        <f t="shared" si="3"/>
        <v>1</v>
      </c>
      <c r="AB27" s="1320">
        <f t="shared" si="4"/>
        <v>1</v>
      </c>
      <c r="AC27" s="1320">
        <f t="shared" si="5"/>
        <v>1</v>
      </c>
    </row>
    <row r="28" spans="1:29" ht="27">
      <c r="A28" s="1134"/>
      <c r="B28" s="1165" t="s">
        <v>2010</v>
      </c>
      <c r="C28" s="1170">
        <f>估价对象房地状况!G22</f>
        <v>0</v>
      </c>
      <c r="D28" s="1157">
        <v>100</v>
      </c>
      <c r="E28" s="1160"/>
      <c r="F28" s="1157">
        <f>SUMIF(97:97,E29,98:98)-SUMIF(97:97,C29,98:98)+100</f>
        <v>100</v>
      </c>
      <c r="G28" s="1160"/>
      <c r="H28" s="1157">
        <f>SUMIF(97:97,G29,98:98)-SUMIF(97:97,C29,98:98)+100</f>
        <v>100</v>
      </c>
      <c r="I28" s="1275"/>
      <c r="J28" s="1157">
        <f>SUMIF(97:97,I29,98:98)-SUMIF(97:97,C29,98:98)+100</f>
        <v>100</v>
      </c>
      <c r="K28" s="1270"/>
      <c r="L28" s="1273"/>
      <c r="M28" s="1261"/>
      <c r="N28" s="1261"/>
      <c r="O28" s="1272"/>
      <c r="P28" s="3701"/>
      <c r="Q28" s="816" t="str">
        <f t="shared" si="8"/>
        <v>毗邻道路的类型与等级</v>
      </c>
      <c r="R28" s="1309" t="s">
        <v>1412</v>
      </c>
      <c r="S28" s="1310">
        <f t="shared" si="10"/>
        <v>100</v>
      </c>
      <c r="T28" s="1309" t="s">
        <v>1412</v>
      </c>
      <c r="U28" s="1310">
        <f t="shared" si="11"/>
        <v>100</v>
      </c>
      <c r="V28" s="1309" t="s">
        <v>1412</v>
      </c>
      <c r="W28" s="1310">
        <f t="shared" si="12"/>
        <v>100</v>
      </c>
      <c r="X28" s="1303"/>
      <c r="Y28" s="3701"/>
      <c r="Z28" s="1293" t="str">
        <f t="shared" si="13"/>
        <v>毗邻道路的类型与等级</v>
      </c>
      <c r="AA28" s="1320">
        <f t="shared" si="3"/>
        <v>1</v>
      </c>
      <c r="AB28" s="1320">
        <f t="shared" si="4"/>
        <v>1</v>
      </c>
      <c r="AC28" s="1320">
        <f t="shared" si="5"/>
        <v>1</v>
      </c>
    </row>
    <row r="29" spans="1:29" ht="15">
      <c r="A29" s="1134"/>
      <c r="B29" s="1162"/>
      <c r="C29" s="1154"/>
      <c r="D29" s="1155"/>
      <c r="E29" s="1156"/>
      <c r="F29" s="1155"/>
      <c r="G29" s="1156"/>
      <c r="H29" s="1155"/>
      <c r="I29" s="1156"/>
      <c r="J29" s="1155"/>
      <c r="K29" s="1278"/>
      <c r="L29" s="1273"/>
      <c r="M29" s="1261"/>
      <c r="N29" s="1261"/>
      <c r="O29" s="1272"/>
      <c r="P29" s="3701"/>
      <c r="Q29" s="816"/>
      <c r="R29" s="1309"/>
      <c r="S29" s="1310"/>
      <c r="T29" s="1309"/>
      <c r="U29" s="1310"/>
      <c r="V29" s="1309"/>
      <c r="W29" s="1310"/>
      <c r="X29" s="1303"/>
      <c r="Y29" s="3701"/>
      <c r="Z29" s="1293"/>
      <c r="AA29" s="1320">
        <v>1</v>
      </c>
      <c r="AB29" s="1320">
        <v>1</v>
      </c>
      <c r="AC29" s="1320">
        <v>1</v>
      </c>
    </row>
    <row r="30" spans="1:29" ht="15">
      <c r="A30" s="1134"/>
      <c r="B30" s="1171" t="s">
        <v>2027</v>
      </c>
      <c r="C30" s="1172">
        <f>估价对象房地状况!G23</f>
        <v>0</v>
      </c>
      <c r="D30" s="1143">
        <v>100</v>
      </c>
      <c r="E30" s="1169"/>
      <c r="F30" s="1143">
        <f>SUMIF(99:99,E30,100:100)-SUMIF(99:99,C30,100:100)+100</f>
        <v>100</v>
      </c>
      <c r="G30" s="1169"/>
      <c r="H30" s="1143">
        <f>SUMIF(99:99,G30,100:100)-SUMIF(99:99,C30,100:100)+100</f>
        <v>100</v>
      </c>
      <c r="I30" s="1169"/>
      <c r="J30" s="1143">
        <f>SUMIF(99:99,I30,100:100)-SUMIF(99:99,C30,100:100)+100</f>
        <v>100</v>
      </c>
      <c r="K30" s="1279"/>
      <c r="L30" s="1273"/>
      <c r="M30" s="1261"/>
      <c r="N30" s="1261"/>
      <c r="O30" s="1272"/>
      <c r="P30" s="3701"/>
      <c r="Q30" s="816" t="str">
        <f t="shared" si="8"/>
        <v>土地级别</v>
      </c>
      <c r="R30" s="1309" t="s">
        <v>1412</v>
      </c>
      <c r="S30" s="1310">
        <f t="shared" si="10"/>
        <v>100</v>
      </c>
      <c r="T30" s="1309" t="s">
        <v>1412</v>
      </c>
      <c r="U30" s="1310">
        <f t="shared" si="11"/>
        <v>100</v>
      </c>
      <c r="V30" s="1309" t="s">
        <v>1412</v>
      </c>
      <c r="W30" s="1310">
        <f t="shared" si="12"/>
        <v>100</v>
      </c>
      <c r="X30" s="1303"/>
      <c r="Y30" s="3701"/>
      <c r="Z30" s="1293" t="str">
        <f t="shared" si="13"/>
        <v>土地级别</v>
      </c>
      <c r="AA30" s="1320">
        <f t="shared" si="3"/>
        <v>1</v>
      </c>
      <c r="AB30" s="1320">
        <f t="shared" si="4"/>
        <v>1</v>
      </c>
      <c r="AC30" s="1320">
        <f t="shared" si="5"/>
        <v>1</v>
      </c>
    </row>
    <row r="31" spans="1:29" ht="15">
      <c r="A31" s="1114"/>
      <c r="B31" s="1173">
        <v>111</v>
      </c>
      <c r="C31" s="1141"/>
      <c r="D31" s="1143">
        <v>100</v>
      </c>
      <c r="E31" s="1174"/>
      <c r="F31" s="1143">
        <f>SUMIF(101:101,E31,102:102)-SUMIF(101:101,C31,102:102)+100</f>
        <v>100</v>
      </c>
      <c r="G31" s="1174"/>
      <c r="H31" s="1143">
        <f>SUMIF(101:101,G31,102:102)-SUMIF(101:101,C31,102:102)+100</f>
        <v>100</v>
      </c>
      <c r="I31" s="1140"/>
      <c r="J31" s="1143">
        <f>SUMIF(101:101,I31,102:102)-SUMIF(101:101,C31,102:102)+100</f>
        <v>100</v>
      </c>
      <c r="K31" s="1278"/>
      <c r="L31" s="1273"/>
      <c r="M31" s="1261"/>
      <c r="N31" s="1261"/>
      <c r="O31" s="1272"/>
      <c r="P31" s="3701"/>
      <c r="Q31" s="816">
        <f t="shared" si="8"/>
        <v>111</v>
      </c>
      <c r="R31" s="1309" t="s">
        <v>1412</v>
      </c>
      <c r="S31" s="1310">
        <f t="shared" si="10"/>
        <v>100</v>
      </c>
      <c r="T31" s="1309" t="s">
        <v>1412</v>
      </c>
      <c r="U31" s="1310">
        <f t="shared" si="11"/>
        <v>100</v>
      </c>
      <c r="V31" s="1309" t="s">
        <v>1412</v>
      </c>
      <c r="W31" s="1310">
        <f t="shared" si="12"/>
        <v>100</v>
      </c>
      <c r="X31" s="1303"/>
      <c r="Y31" s="3701"/>
      <c r="Z31" s="1293">
        <f t="shared" si="13"/>
        <v>111</v>
      </c>
      <c r="AA31" s="1320">
        <f t="shared" si="3"/>
        <v>1</v>
      </c>
      <c r="AB31" s="1320">
        <f t="shared" si="4"/>
        <v>1</v>
      </c>
      <c r="AC31" s="1320">
        <f t="shared" si="5"/>
        <v>1</v>
      </c>
    </row>
    <row r="32" spans="1:29" ht="15">
      <c r="A32" s="1175"/>
      <c r="B32" s="1176">
        <v>111</v>
      </c>
      <c r="C32" s="1141"/>
      <c r="D32" s="1143">
        <v>100</v>
      </c>
      <c r="E32" s="1174"/>
      <c r="F32" s="1143">
        <f>SUMIF(103:103,E33,104:104)-SUMIF(103:103,C33,104:104)+100</f>
        <v>100</v>
      </c>
      <c r="G32" s="1174"/>
      <c r="H32" s="1143">
        <f>SUMIF(103:103,G32,104:104)-SUMIF(103:103,C32,104:104)+100</f>
        <v>100</v>
      </c>
      <c r="I32" s="1141"/>
      <c r="J32" s="1143">
        <f>SUMIF(103:103,I32,104:104)-SUMIF(103:103,C32,104:104)+100</f>
        <v>100</v>
      </c>
      <c r="K32" s="1278"/>
      <c r="L32" s="1273"/>
      <c r="M32" s="1261"/>
      <c r="N32" s="1261"/>
      <c r="O32" s="1272"/>
      <c r="P32" s="3702" t="s">
        <v>1436</v>
      </c>
      <c r="Q32" s="816">
        <f t="shared" si="8"/>
        <v>111</v>
      </c>
      <c r="R32" s="1309" t="s">
        <v>1412</v>
      </c>
      <c r="S32" s="1310">
        <f t="shared" si="10"/>
        <v>100</v>
      </c>
      <c r="T32" s="1309" t="s">
        <v>1412</v>
      </c>
      <c r="U32" s="1310">
        <f t="shared" si="11"/>
        <v>100</v>
      </c>
      <c r="V32" s="1309" t="s">
        <v>1412</v>
      </c>
      <c r="W32" s="1310">
        <f t="shared" si="12"/>
        <v>100</v>
      </c>
      <c r="X32" s="1303"/>
      <c r="Y32" s="3703" t="s">
        <v>1436</v>
      </c>
      <c r="Z32" s="1293">
        <f t="shared" si="13"/>
        <v>111</v>
      </c>
      <c r="AA32" s="1320">
        <f t="shared" si="3"/>
        <v>1</v>
      </c>
      <c r="AB32" s="1320">
        <f t="shared" si="4"/>
        <v>1</v>
      </c>
      <c r="AC32" s="1320">
        <f t="shared" si="5"/>
        <v>1</v>
      </c>
    </row>
    <row r="33" spans="1:31" s="1095" customFormat="1" ht="15">
      <c r="A33" s="1177"/>
      <c r="B33" s="1178">
        <v>111</v>
      </c>
      <c r="C33" s="1179"/>
      <c r="D33" s="1180">
        <v>100</v>
      </c>
      <c r="E33" s="1181"/>
      <c r="F33" s="1147">
        <f>SUMIF(105:105,E33,106:106)-SUMIF(105:105,C33,106:106)+100</f>
        <v>100</v>
      </c>
      <c r="G33" s="1181"/>
      <c r="H33" s="1147">
        <f>SUMIF(105:105,G33,106:106)-SUMIF(105:105,C33,106:106)+100</f>
        <v>100</v>
      </c>
      <c r="I33" s="1179"/>
      <c r="J33" s="1147">
        <f>SUMIF(105:105,I33,106:106)-SUMIF(105:105,C33,106:106)+100</f>
        <v>100</v>
      </c>
      <c r="K33" s="1278"/>
      <c r="L33" s="1271"/>
      <c r="M33" s="1280"/>
      <c r="N33" s="1280"/>
      <c r="O33" s="1281"/>
      <c r="P33" s="3703"/>
      <c r="Q33" s="816">
        <f t="shared" si="8"/>
        <v>111</v>
      </c>
      <c r="R33" s="1311" t="s">
        <v>1412</v>
      </c>
      <c r="S33" s="1312">
        <f t="shared" si="10"/>
        <v>100</v>
      </c>
      <c r="T33" s="1311" t="s">
        <v>1412</v>
      </c>
      <c r="U33" s="1312">
        <f t="shared" si="11"/>
        <v>100</v>
      </c>
      <c r="V33" s="1311" t="s">
        <v>1412</v>
      </c>
      <c r="W33" s="1312">
        <f t="shared" si="12"/>
        <v>100</v>
      </c>
      <c r="X33" s="1313"/>
      <c r="Y33" s="3703"/>
      <c r="Z33" s="1321">
        <f t="shared" si="13"/>
        <v>111</v>
      </c>
      <c r="AA33" s="1320">
        <f t="shared" si="3"/>
        <v>1</v>
      </c>
      <c r="AB33" s="1320">
        <f t="shared" si="4"/>
        <v>1</v>
      </c>
      <c r="AC33" s="1320">
        <f t="shared" si="5"/>
        <v>1</v>
      </c>
    </row>
    <row r="34" spans="1:31" ht="15">
      <c r="A34" s="1148" t="s">
        <v>1434</v>
      </c>
      <c r="B34" s="1182" t="s">
        <v>2028</v>
      </c>
      <c r="C34" s="1183"/>
      <c r="D34" s="1184">
        <v>100</v>
      </c>
      <c r="E34" s="1183"/>
      <c r="F34" s="1184" t="e">
        <f>LOOKUP(E34,108:108,109:109)-LOOKUP(C34,108:108,109:109)+100</f>
        <v>#N/A</v>
      </c>
      <c r="G34" s="1183"/>
      <c r="H34" s="1184" t="e">
        <f>LOOKUP(G34,108:108,109:109)-LOOKUP(C34,108:108,109:109)+100</f>
        <v>#N/A</v>
      </c>
      <c r="I34" s="1282"/>
      <c r="J34" s="1184" t="e">
        <f>LOOKUP(I34,108:108,109:109)-LOOKUP(C34,108:108,109:109)+100</f>
        <v>#N/A</v>
      </c>
      <c r="K34" s="1278"/>
      <c r="L34" s="1273"/>
      <c r="M34" s="1261"/>
      <c r="N34" s="1261"/>
      <c r="O34" s="1272"/>
      <c r="P34" s="3703"/>
      <c r="Q34" s="816" t="str">
        <f t="shared" si="8"/>
        <v>宗地面积</v>
      </c>
      <c r="R34" s="1309" t="s">
        <v>1412</v>
      </c>
      <c r="S34" s="1310" t="e">
        <f t="shared" si="10"/>
        <v>#N/A</v>
      </c>
      <c r="T34" s="1309" t="s">
        <v>1412</v>
      </c>
      <c r="U34" s="1310" t="e">
        <f t="shared" si="11"/>
        <v>#N/A</v>
      </c>
      <c r="V34" s="1309" t="s">
        <v>1412</v>
      </c>
      <c r="W34" s="1310" t="e">
        <f t="shared" si="12"/>
        <v>#N/A</v>
      </c>
      <c r="X34" s="1303"/>
      <c r="Y34" s="3703"/>
      <c r="Z34" s="1293" t="str">
        <f t="shared" si="13"/>
        <v>宗地面积</v>
      </c>
      <c r="AA34" s="1320" t="e">
        <f t="shared" si="3"/>
        <v>#N/A</v>
      </c>
      <c r="AB34" s="1320" t="e">
        <f t="shared" si="4"/>
        <v>#N/A</v>
      </c>
      <c r="AC34" s="1320" t="e">
        <f t="shared" si="5"/>
        <v>#N/A</v>
      </c>
    </row>
    <row r="35" spans="1:31" ht="15">
      <c r="A35" s="1185"/>
      <c r="B35" s="1131" t="s">
        <v>2029</v>
      </c>
      <c r="C35" s="1186"/>
      <c r="D35" s="1143">
        <v>100</v>
      </c>
      <c r="E35" s="1186"/>
      <c r="F35" s="1143">
        <f>SUMIF(110:110,E35,111:111)-SUMIF(110:110,C35,111:111)+100</f>
        <v>100</v>
      </c>
      <c r="G35" s="1186"/>
      <c r="H35" s="1143">
        <f>SUMIF(110:110,G35,111:111)-SUMIF(110:110,C35,111:111)+100</f>
        <v>100</v>
      </c>
      <c r="I35" s="1186"/>
      <c r="J35" s="1143">
        <f>SUMIF(110:110,I35,111:111)-SUMIF(110:110,C35,111:111)+100</f>
        <v>100</v>
      </c>
      <c r="K35" s="1279"/>
      <c r="L35" s="1273"/>
      <c r="M35" s="1261"/>
      <c r="N35" s="1261"/>
      <c r="O35" s="1272"/>
      <c r="P35" s="3703"/>
      <c r="Q35" s="816" t="str">
        <f t="shared" ref="Q35:Q40" si="14">B35</f>
        <v>宗地形状</v>
      </c>
      <c r="R35" s="1309" t="s">
        <v>1412</v>
      </c>
      <c r="S35" s="1310">
        <f t="shared" si="10"/>
        <v>100</v>
      </c>
      <c r="T35" s="1309" t="s">
        <v>1412</v>
      </c>
      <c r="U35" s="1310">
        <f t="shared" si="11"/>
        <v>100</v>
      </c>
      <c r="V35" s="1309" t="s">
        <v>1412</v>
      </c>
      <c r="W35" s="1310">
        <f t="shared" si="12"/>
        <v>100</v>
      </c>
      <c r="X35" s="1303"/>
      <c r="Y35" s="3703"/>
      <c r="Z35" s="1293" t="str">
        <f t="shared" si="13"/>
        <v>宗地形状</v>
      </c>
      <c r="AA35" s="1320">
        <f t="shared" si="3"/>
        <v>1</v>
      </c>
      <c r="AB35" s="1320">
        <f t="shared" si="4"/>
        <v>1</v>
      </c>
      <c r="AC35" s="1320">
        <f t="shared" si="5"/>
        <v>1</v>
      </c>
    </row>
    <row r="36" spans="1:31" s="1093" customFormat="1" ht="15">
      <c r="A36" s="1187"/>
      <c r="B36" s="1131" t="s">
        <v>2031</v>
      </c>
      <c r="C36" s="1188"/>
      <c r="D36" s="1133">
        <v>100</v>
      </c>
      <c r="E36" s="1188"/>
      <c r="F36" s="1143">
        <f>SUMIF(112:112,E36,113:113)-SUMIF(112:112,C36,113:113)+100</f>
        <v>100</v>
      </c>
      <c r="G36" s="1188"/>
      <c r="H36" s="1143">
        <f>SUMIF(112:112,G36,113:113)-SUMIF(112:112,C36,113:113)+100</f>
        <v>100</v>
      </c>
      <c r="I36" s="1188"/>
      <c r="J36" s="1143">
        <f>SUMIF(112:112,I36,113:113)-SUMIF(112:112,C36,113:113)+100</f>
        <v>100</v>
      </c>
      <c r="K36" s="1279"/>
      <c r="L36" s="1263"/>
      <c r="M36" s="1264"/>
      <c r="N36" s="1264"/>
      <c r="O36" s="1265"/>
      <c r="P36" s="3703"/>
      <c r="Q36" s="816" t="str">
        <f t="shared" si="14"/>
        <v>宗地开发程度</v>
      </c>
      <c r="R36" s="1304" t="s">
        <v>1412</v>
      </c>
      <c r="S36" s="1305">
        <f t="shared" si="10"/>
        <v>100</v>
      </c>
      <c r="T36" s="1304" t="s">
        <v>1412</v>
      </c>
      <c r="U36" s="1305">
        <f t="shared" si="11"/>
        <v>100</v>
      </c>
      <c r="V36" s="1304" t="s">
        <v>1412</v>
      </c>
      <c r="W36" s="1305">
        <f t="shared" si="12"/>
        <v>100</v>
      </c>
      <c r="X36" s="1306"/>
      <c r="Y36" s="3703"/>
      <c r="Z36" s="1319" t="str">
        <f t="shared" si="13"/>
        <v>宗地开发程度</v>
      </c>
      <c r="AA36" s="1318">
        <f t="shared" si="3"/>
        <v>1</v>
      </c>
      <c r="AB36" s="1318">
        <f t="shared" si="4"/>
        <v>1</v>
      </c>
      <c r="AC36" s="1318">
        <f t="shared" si="5"/>
        <v>1</v>
      </c>
    </row>
    <row r="37" spans="1:31" ht="15">
      <c r="A37" s="1185"/>
      <c r="B37" s="1131" t="s">
        <v>2032</v>
      </c>
      <c r="C37" s="1186"/>
      <c r="D37" s="1143">
        <v>100</v>
      </c>
      <c r="E37" s="1186"/>
      <c r="F37" s="1143">
        <f>SUMIF(114:114,E37,115:115)-SUMIF(114:114,C37,115:115)+100</f>
        <v>100</v>
      </c>
      <c r="G37" s="1186"/>
      <c r="H37" s="1143">
        <f>SUMIF(114:114,G37,115:115)-SUMIF(114:114,C37,115:115)+100</f>
        <v>100</v>
      </c>
      <c r="I37" s="1186"/>
      <c r="J37" s="1143">
        <f>SUMIF(114:114,I37,115:115)-SUMIF(114:114,C37,115:115)+100</f>
        <v>100</v>
      </c>
      <c r="K37" s="1279"/>
      <c r="L37" s="1273"/>
      <c r="M37" s="1261"/>
      <c r="N37" s="1261"/>
      <c r="O37" s="1272"/>
      <c r="P37" s="3703" t="s">
        <v>1436</v>
      </c>
      <c r="Q37" s="816" t="str">
        <f t="shared" si="14"/>
        <v>工程地质条件</v>
      </c>
      <c r="R37" s="1309" t="s">
        <v>1412</v>
      </c>
      <c r="S37" s="1310">
        <f t="shared" si="10"/>
        <v>100</v>
      </c>
      <c r="T37" s="1309" t="s">
        <v>1412</v>
      </c>
      <c r="U37" s="1310">
        <f t="shared" si="11"/>
        <v>100</v>
      </c>
      <c r="V37" s="1309" t="s">
        <v>1412</v>
      </c>
      <c r="W37" s="1310">
        <f t="shared" si="12"/>
        <v>100</v>
      </c>
      <c r="X37" s="1303"/>
      <c r="Y37" s="3703" t="s">
        <v>1436</v>
      </c>
      <c r="Z37" s="1293" t="str">
        <f t="shared" si="13"/>
        <v>工程地质条件</v>
      </c>
      <c r="AA37" s="1320">
        <f t="shared" si="3"/>
        <v>1</v>
      </c>
      <c r="AB37" s="1320">
        <f t="shared" si="4"/>
        <v>1</v>
      </c>
      <c r="AC37" s="1320">
        <f t="shared" si="5"/>
        <v>1</v>
      </c>
    </row>
    <row r="38" spans="1:31" ht="15">
      <c r="A38" s="1185"/>
      <c r="B38" s="1189">
        <v>111</v>
      </c>
      <c r="C38" s="1141"/>
      <c r="D38" s="1143">
        <v>100</v>
      </c>
      <c r="E38" s="1141"/>
      <c r="F38" s="1143">
        <f>SUMIF(116:116,E38,117:117)-SUMIF(116:116,C38,117:117)+100</f>
        <v>100</v>
      </c>
      <c r="G38" s="1141"/>
      <c r="H38" s="1143">
        <f>SUMIF(116:116,G38,117:117)-SUMIF(116:116,C38,117:117)+100</f>
        <v>100</v>
      </c>
      <c r="I38" s="1140"/>
      <c r="J38" s="1143">
        <f>SUMIF(116:116,I38,117:117)-SUMIF(116:116,C38,117:117)+100</f>
        <v>100</v>
      </c>
      <c r="K38" s="1278"/>
      <c r="L38" s="1273"/>
      <c r="M38" s="1261"/>
      <c r="N38" s="1261"/>
      <c r="O38" s="1272"/>
      <c r="P38" s="3703"/>
      <c r="Q38" s="816">
        <f t="shared" si="14"/>
        <v>111</v>
      </c>
      <c r="R38" s="1309" t="s">
        <v>1412</v>
      </c>
      <c r="S38" s="1310">
        <f t="shared" si="10"/>
        <v>100</v>
      </c>
      <c r="T38" s="1309" t="s">
        <v>1412</v>
      </c>
      <c r="U38" s="1310">
        <f t="shared" si="11"/>
        <v>100</v>
      </c>
      <c r="V38" s="1309" t="s">
        <v>1412</v>
      </c>
      <c r="W38" s="1310">
        <f t="shared" si="12"/>
        <v>100</v>
      </c>
      <c r="X38" s="1303"/>
      <c r="Y38" s="3703"/>
      <c r="Z38" s="1293">
        <f t="shared" si="13"/>
        <v>111</v>
      </c>
      <c r="AA38" s="1320">
        <f t="shared" si="3"/>
        <v>1</v>
      </c>
      <c r="AB38" s="1320">
        <f t="shared" si="4"/>
        <v>1</v>
      </c>
      <c r="AC38" s="1320">
        <f t="shared" si="5"/>
        <v>1</v>
      </c>
    </row>
    <row r="39" spans="1:31" ht="15">
      <c r="A39" s="1185"/>
      <c r="B39" s="1189">
        <v>111</v>
      </c>
      <c r="C39" s="1141"/>
      <c r="D39" s="1143">
        <v>100</v>
      </c>
      <c r="E39" s="1141"/>
      <c r="F39" s="1143">
        <f>SUMIF(118:118,E39,119:119)-SUMIF(118:118,C39,119:119)+100</f>
        <v>100</v>
      </c>
      <c r="G39" s="1141"/>
      <c r="H39" s="1143">
        <f>SUMIF(118:118,G39,119:119)-SUMIF(118:118,C39,119:119)+100</f>
        <v>100</v>
      </c>
      <c r="I39" s="1140"/>
      <c r="J39" s="1143">
        <f>SUMIF(118:118,I39,119:119)-SUMIF(118:118,C39,119:119)+100</f>
        <v>100</v>
      </c>
      <c r="K39" s="1278"/>
      <c r="L39" s="1273"/>
      <c r="M39" s="1261"/>
      <c r="N39" s="1261"/>
      <c r="O39" s="1272"/>
      <c r="P39" s="3703"/>
      <c r="Q39" s="816">
        <f t="shared" si="14"/>
        <v>111</v>
      </c>
      <c r="R39" s="1309" t="s">
        <v>1412</v>
      </c>
      <c r="S39" s="1310">
        <f t="shared" si="10"/>
        <v>100</v>
      </c>
      <c r="T39" s="1309" t="s">
        <v>1412</v>
      </c>
      <c r="U39" s="1310">
        <f t="shared" si="11"/>
        <v>100</v>
      </c>
      <c r="V39" s="1309" t="s">
        <v>1412</v>
      </c>
      <c r="W39" s="1310">
        <f t="shared" si="12"/>
        <v>100</v>
      </c>
      <c r="X39" s="1303"/>
      <c r="Y39" s="3703"/>
      <c r="Z39" s="1293">
        <f t="shared" si="13"/>
        <v>111</v>
      </c>
      <c r="AA39" s="1320">
        <f t="shared" si="3"/>
        <v>1</v>
      </c>
      <c r="AB39" s="1320">
        <f t="shared" si="4"/>
        <v>1</v>
      </c>
      <c r="AC39" s="1320">
        <f t="shared" si="5"/>
        <v>1</v>
      </c>
    </row>
    <row r="40" spans="1:31" s="1095" customFormat="1" ht="15">
      <c r="A40" s="1190"/>
      <c r="B40" s="1189">
        <v>111</v>
      </c>
      <c r="C40" s="1191"/>
      <c r="D40" s="1180">
        <v>100</v>
      </c>
      <c r="E40" s="1141"/>
      <c r="F40" s="1147">
        <f>SUMIF(120:120,E40,121:121)-SUMIF(120:120,C40,121:121)+100</f>
        <v>100</v>
      </c>
      <c r="G40" s="1141"/>
      <c r="H40" s="1147">
        <f>SUMIF(120:120,G40,121:121)-SUMIF(120:120,C40,121:121)+100</f>
        <v>100</v>
      </c>
      <c r="I40" s="1140"/>
      <c r="J40" s="1147">
        <f>SUMIF(120:120,I40,121:121)-SUMIF(120:120,C40,121:121)+100</f>
        <v>100</v>
      </c>
      <c r="K40" s="1283"/>
      <c r="L40" s="1271"/>
      <c r="M40" s="1280"/>
      <c r="N40" s="1280"/>
      <c r="O40" s="1281"/>
      <c r="P40" s="3703"/>
      <c r="Q40" s="816">
        <f t="shared" si="14"/>
        <v>111</v>
      </c>
      <c r="R40" s="1311" t="s">
        <v>1412</v>
      </c>
      <c r="S40" s="1312">
        <f t="shared" si="10"/>
        <v>100</v>
      </c>
      <c r="T40" s="1311" t="s">
        <v>1412</v>
      </c>
      <c r="U40" s="1312">
        <f t="shared" si="11"/>
        <v>100</v>
      </c>
      <c r="V40" s="1311" t="s">
        <v>1412</v>
      </c>
      <c r="W40" s="1312">
        <f t="shared" si="12"/>
        <v>100</v>
      </c>
      <c r="X40" s="1313"/>
      <c r="Y40" s="3703"/>
      <c r="Z40" s="1321">
        <f t="shared" si="13"/>
        <v>111</v>
      </c>
      <c r="AA40" s="1320">
        <f t="shared" si="3"/>
        <v>1</v>
      </c>
      <c r="AB40" s="1320">
        <f t="shared" si="4"/>
        <v>1</v>
      </c>
      <c r="AC40" s="1320">
        <f t="shared" si="5"/>
        <v>1</v>
      </c>
    </row>
    <row r="41" spans="1:31" ht="15">
      <c r="A41" s="1192" t="s">
        <v>1449</v>
      </c>
      <c r="B41" s="1193" t="s">
        <v>2066</v>
      </c>
      <c r="C41" s="1194" t="s">
        <v>124</v>
      </c>
      <c r="D41" s="1195"/>
      <c r="E41" s="1196"/>
      <c r="F41" s="1197"/>
      <c r="G41" s="1198"/>
      <c r="H41" s="1199"/>
      <c r="I41" s="1196"/>
      <c r="J41" s="1199"/>
      <c r="K41" s="1284"/>
      <c r="L41" s="1285"/>
      <c r="M41" s="1261"/>
      <c r="N41" s="1261"/>
      <c r="O41" s="1209"/>
      <c r="P41" s="3695" t="str">
        <f>A41</f>
        <v>成交单价</v>
      </c>
      <c r="Q41" s="3695"/>
      <c r="R41" s="3719">
        <f>E41</f>
        <v>0</v>
      </c>
      <c r="S41" s="3719"/>
      <c r="T41" s="3719">
        <f>G41</f>
        <v>0</v>
      </c>
      <c r="U41" s="3719"/>
      <c r="V41" s="3719">
        <f>I41</f>
        <v>0</v>
      </c>
      <c r="W41" s="3719"/>
      <c r="X41" s="1249"/>
      <c r="Y41" s="1322"/>
      <c r="Z41" s="1249"/>
      <c r="AA41" s="1249"/>
      <c r="AB41" s="1249"/>
      <c r="AC41" s="1249"/>
    </row>
    <row r="42" spans="1:31" ht="15">
      <c r="A42" s="1200" t="s">
        <v>1451</v>
      </c>
      <c r="B42" s="1201"/>
      <c r="C42" s="1202" t="e">
        <f>R43</f>
        <v>#DIV/0!</v>
      </c>
      <c r="D42" s="1203" t="s">
        <v>1452</v>
      </c>
      <c r="E42" s="1202" t="e">
        <f>R42</f>
        <v>#DIV/0!</v>
      </c>
      <c r="F42" s="1204"/>
      <c r="G42" s="1205" t="e">
        <f>T42</f>
        <v>#DIV/0!</v>
      </c>
      <c r="H42" s="1204"/>
      <c r="I42" s="1202" t="e">
        <f>V42</f>
        <v>#DIV/0!</v>
      </c>
      <c r="J42" s="1204"/>
      <c r="K42" s="1286">
        <f>F42+H42+J42</f>
        <v>0</v>
      </c>
      <c r="L42" s="1285"/>
      <c r="M42" s="1261"/>
      <c r="N42" s="1261"/>
      <c r="O42" s="1209"/>
      <c r="P42" s="3695" t="str">
        <f>A42</f>
        <v>比较价值（元/平方米）</v>
      </c>
      <c r="Q42" s="3695"/>
      <c r="R42" s="3773" t="e">
        <f>ROUND(PRODUCT(R41,AA7:AA40),0)</f>
        <v>#DIV/0!</v>
      </c>
      <c r="S42" s="3773"/>
      <c r="T42" s="3773" t="e">
        <f>ROUND(PRODUCT(T41,AB7:AB40),0)</f>
        <v>#DIV/0!</v>
      </c>
      <c r="U42" s="3773"/>
      <c r="V42" s="3773" t="e">
        <f>ROUND(PRODUCT(V41,AC7:AC40),0)</f>
        <v>#DIV/0!</v>
      </c>
      <c r="W42" s="3773"/>
      <c r="X42" s="1249"/>
      <c r="Y42" s="1249"/>
      <c r="Z42" s="1249"/>
      <c r="AA42" s="1249"/>
      <c r="AB42" s="1249"/>
      <c r="AC42" s="1249"/>
    </row>
    <row r="43" spans="1:31" ht="15">
      <c r="A43" s="1206" t="s">
        <v>1975</v>
      </c>
      <c r="B43" s="1207"/>
      <c r="C43" s="1208" t="e">
        <f>R43</f>
        <v>#DIV/0!</v>
      </c>
      <c r="D43" s="1208"/>
      <c r="E43" s="1208"/>
      <c r="F43" s="1208"/>
      <c r="G43" s="1208"/>
      <c r="H43" s="1208"/>
      <c r="I43" s="1208"/>
      <c r="J43" s="1208"/>
      <c r="K43" s="1287"/>
      <c r="L43" s="1285"/>
      <c r="M43" s="1261"/>
      <c r="N43" s="1261"/>
      <c r="O43" s="1209"/>
      <c r="P43" s="3697" t="str">
        <f>A43</f>
        <v>估价对象XX用房的比较价值（楼面单价，元/平方米）</v>
      </c>
      <c r="Q43" s="3698"/>
      <c r="R43" s="3774" t="e">
        <f>ROUND(IF(D42="简单平均",AVERAGE(R42:W42),R42*F42+T42*H42+V42*J42),0)</f>
        <v>#DIV/0!</v>
      </c>
      <c r="S43" s="3774"/>
      <c r="T43" s="3774"/>
      <c r="U43" s="3774"/>
      <c r="V43" s="3774"/>
      <c r="W43" s="3774"/>
      <c r="X43" s="1249"/>
      <c r="Y43" s="1249"/>
      <c r="Z43" s="1249"/>
      <c r="AA43" s="1249"/>
      <c r="AB43" s="1249"/>
      <c r="AC43" s="1249"/>
    </row>
    <row r="44" spans="1:31">
      <c r="A44" s="1209"/>
      <c r="B44" s="1209"/>
      <c r="C44" s="1209"/>
      <c r="D44" s="1209"/>
      <c r="E44" s="1209"/>
      <c r="F44" s="1209"/>
      <c r="G44" s="1210"/>
      <c r="H44" s="1209"/>
      <c r="I44" s="1209"/>
      <c r="J44" s="1209"/>
      <c r="K44" s="1289"/>
      <c r="L44" s="1290"/>
      <c r="M44" s="1261"/>
      <c r="N44" s="1261"/>
      <c r="O44" s="1209"/>
      <c r="P44" s="1209"/>
      <c r="Q44" s="1209"/>
      <c r="R44" s="1209"/>
      <c r="S44" s="1209"/>
      <c r="T44" s="1209"/>
      <c r="U44" s="1209"/>
      <c r="V44" s="1209"/>
      <c r="W44" s="1209"/>
      <c r="X44" s="1209"/>
      <c r="Y44" s="1209"/>
      <c r="Z44" s="1209"/>
      <c r="AA44" s="1209"/>
      <c r="AB44" s="1209"/>
      <c r="AC44" s="1209"/>
      <c r="AD44" s="1209"/>
      <c r="AE44" s="1209"/>
    </row>
    <row r="45" spans="1:31">
      <c r="A45" s="1209"/>
      <c r="B45" s="1209"/>
      <c r="C45" s="1209"/>
      <c r="D45" s="1209"/>
      <c r="E45" s="1209"/>
      <c r="F45" s="1209"/>
      <c r="G45" s="1209"/>
      <c r="H45" s="1209"/>
      <c r="I45" s="1209"/>
      <c r="J45" s="1209"/>
      <c r="K45" s="1289"/>
      <c r="L45" s="1290"/>
      <c r="M45" s="1261"/>
      <c r="N45" s="1261"/>
      <c r="O45" s="1209"/>
      <c r="P45" s="1209"/>
      <c r="Q45" s="1209"/>
      <c r="R45" s="1209"/>
      <c r="S45" s="1209"/>
      <c r="T45" s="1209"/>
      <c r="U45" s="1209"/>
      <c r="V45" s="1209"/>
      <c r="W45" s="1209"/>
      <c r="X45" s="1209"/>
      <c r="Y45" s="1209"/>
      <c r="Z45" s="1209"/>
      <c r="AA45" s="1209"/>
      <c r="AB45" s="1209"/>
      <c r="AC45" s="1209"/>
      <c r="AD45" s="1209"/>
      <c r="AE45" s="1209"/>
    </row>
    <row r="46" spans="1:31" ht="13.5" customHeight="1">
      <c r="A46" s="1209"/>
      <c r="B46" s="1209"/>
      <c r="C46" s="1211" t="s">
        <v>1454</v>
      </c>
      <c r="D46" s="860"/>
      <c r="E46" s="1212" t="e">
        <f>IF(E41&lt;E42,E42/E41-1,E41/E42-1)</f>
        <v>#DIV/0!</v>
      </c>
      <c r="F46" s="1213" t="e">
        <f>IF(OR(E46&gt;=0.3,E46&lt;=-0.3),"超过30%","")</f>
        <v>#DIV/0!</v>
      </c>
      <c r="G46" s="1212" t="e">
        <f>IF(G41&lt;G42,G42/G41-1,G41/G42-1)</f>
        <v>#DIV/0!</v>
      </c>
      <c r="H46" s="1213" t="e">
        <f>IF(OR(G46&gt;=0.3,G46&lt;=-0.3),"超过30%","")</f>
        <v>#DIV/0!</v>
      </c>
      <c r="I46" s="1212" t="e">
        <f>IF(I41&lt;I42,I42/I41-1,I41/I42-1)</f>
        <v>#DIV/0!</v>
      </c>
      <c r="J46" s="1213" t="e">
        <f>IF(OR(I46&gt;=0.3,I46&lt;=-0.3),"超过30%","")</f>
        <v>#DIV/0!</v>
      </c>
      <c r="K46" s="1289"/>
      <c r="L46" s="1290"/>
      <c r="M46" s="1261"/>
      <c r="N46" s="1261"/>
      <c r="O46" s="1209"/>
      <c r="P46" s="1209"/>
      <c r="Q46" s="1209"/>
      <c r="R46" s="1209"/>
      <c r="S46" s="1209"/>
      <c r="T46" s="1209"/>
      <c r="U46" s="1209"/>
      <c r="V46" s="1209"/>
      <c r="W46" s="1209"/>
      <c r="X46" s="1209"/>
      <c r="Y46" s="1209"/>
      <c r="Z46" s="1209"/>
      <c r="AA46" s="1209"/>
      <c r="AB46" s="1209"/>
      <c r="AC46" s="1209"/>
      <c r="AD46" s="1209"/>
      <c r="AE46" s="1209"/>
    </row>
    <row r="47" spans="1:31" ht="13.5" customHeight="1">
      <c r="A47" s="1209"/>
      <c r="B47" s="1209"/>
      <c r="C47" s="1211" t="s">
        <v>1455</v>
      </c>
      <c r="D47" s="859"/>
      <c r="E47" s="1212" t="e">
        <f>IF(E42&lt;G42,G42/E42-1,E42/G42-1)</f>
        <v>#DIV/0!</v>
      </c>
      <c r="F47" s="1213" t="e">
        <f>IF(OR(E47&gt;=0.2,E47&lt;=-0.2),"超过20%","")</f>
        <v>#DIV/0!</v>
      </c>
      <c r="G47" s="1212" t="e">
        <f>IF(G42&lt;I42,I42/G42-1,G42/I42-1)</f>
        <v>#DIV/0!</v>
      </c>
      <c r="H47" s="1213" t="e">
        <f>IF(OR(G47&gt;=0.2,G47&lt;=-0.2),"超过20%","")</f>
        <v>#DIV/0!</v>
      </c>
      <c r="I47" s="1212" t="e">
        <f>IF(I42&lt;E42,E42/I42-1,I42/E42-1)</f>
        <v>#DIV/0!</v>
      </c>
      <c r="J47" s="1213" t="e">
        <f>IF(OR(I47&gt;=0.2,I47&lt;=-0.2),"超过20%","")</f>
        <v>#DIV/0!</v>
      </c>
      <c r="K47" s="1289"/>
      <c r="L47" s="1290"/>
      <c r="M47" s="1209"/>
      <c r="N47" s="1209"/>
      <c r="O47" s="1209"/>
      <c r="P47" s="1209"/>
      <c r="Q47" s="1209"/>
      <c r="R47" s="1209"/>
      <c r="S47" s="1209"/>
      <c r="T47" s="1209"/>
      <c r="U47" s="1209"/>
      <c r="V47" s="1209"/>
      <c r="W47" s="1209"/>
      <c r="X47" s="1209"/>
      <c r="Y47" s="1209"/>
      <c r="Z47" s="1209"/>
      <c r="AA47" s="1209"/>
      <c r="AB47" s="1209"/>
      <c r="AC47" s="1209"/>
      <c r="AD47" s="1209"/>
      <c r="AE47" s="1209"/>
    </row>
    <row r="48" spans="1:31" s="1096" customFormat="1" ht="13.5" customHeight="1">
      <c r="A48" s="1214"/>
      <c r="B48" s="1214"/>
      <c r="C48" s="1211" t="s">
        <v>1456</v>
      </c>
      <c r="D48" s="859"/>
      <c r="E48" s="1212" t="e">
        <f>IF(E41&lt;G41,G41/E41-1,E41/G41-1)</f>
        <v>#DIV/0!</v>
      </c>
      <c r="F48" s="1213" t="e">
        <f>IF(OR(E48&gt;=0.3,E48&lt;=-0.3),"超过30%","")</f>
        <v>#DIV/0!</v>
      </c>
      <c r="G48" s="1212" t="e">
        <f>IF(G41&lt;I41,I41/G41-1,G41/I41-1)</f>
        <v>#DIV/0!</v>
      </c>
      <c r="H48" s="1213" t="e">
        <f>IF(OR(G48&gt;=0.3,G48&lt;=-0.3),"超过30%","")</f>
        <v>#DIV/0!</v>
      </c>
      <c r="I48" s="1212" t="e">
        <f>IF(I41&lt;E41,E41/I41-1,I41/E41-1)</f>
        <v>#DIV/0!</v>
      </c>
      <c r="J48" s="1213" t="e">
        <f>IF(OR(I48&gt;=0.3,I48&lt;=-0.3),"超过30%","")</f>
        <v>#DIV/0!</v>
      </c>
      <c r="K48" s="1291"/>
      <c r="L48" s="1292"/>
      <c r="M48" s="1214"/>
      <c r="N48" s="1214"/>
      <c r="O48" s="1214"/>
      <c r="P48" s="1214"/>
      <c r="Q48" s="1214"/>
      <c r="R48" s="1214"/>
      <c r="S48" s="1214"/>
      <c r="T48" s="1214"/>
      <c r="U48" s="1214"/>
      <c r="V48" s="1214"/>
      <c r="W48" s="1214"/>
      <c r="X48" s="1214"/>
      <c r="Y48" s="1214"/>
      <c r="Z48" s="1214"/>
      <c r="AA48" s="1214"/>
      <c r="AB48" s="1214"/>
      <c r="AC48" s="1214"/>
      <c r="AD48" s="1214"/>
      <c r="AE48" s="1214"/>
    </row>
    <row r="49" spans="1:31" s="1096" customFormat="1">
      <c r="A49" s="1214"/>
      <c r="B49" s="1215"/>
      <c r="C49" s="1216"/>
      <c r="D49" s="1217"/>
      <c r="E49" s="1217"/>
      <c r="F49" s="1217"/>
      <c r="G49" s="1217"/>
      <c r="H49" s="1217"/>
      <c r="I49" s="1217"/>
      <c r="J49" s="1217"/>
      <c r="K49" s="1291"/>
      <c r="L49" s="1292"/>
      <c r="M49" s="1214"/>
      <c r="N49" s="1214"/>
      <c r="O49" s="1214"/>
      <c r="P49" s="1214"/>
      <c r="Q49" s="1214"/>
      <c r="R49" s="1214"/>
      <c r="S49" s="1214"/>
      <c r="T49" s="1214"/>
      <c r="U49" s="1214"/>
      <c r="V49" s="1214"/>
      <c r="W49" s="1214"/>
      <c r="X49" s="1214"/>
      <c r="Y49" s="1214"/>
      <c r="Z49" s="1214"/>
      <c r="AA49" s="1214"/>
      <c r="AB49" s="1214"/>
      <c r="AC49" s="1214"/>
      <c r="AD49" s="1214"/>
      <c r="AE49" s="1214"/>
    </row>
    <row r="50" spans="1:31" ht="27">
      <c r="A50" s="1218" t="s">
        <v>2035</v>
      </c>
      <c r="B50" s="1219" t="s">
        <v>2036</v>
      </c>
      <c r="C50" s="1220" t="s">
        <v>2037</v>
      </c>
      <c r="D50" s="1221" t="s">
        <v>2038</v>
      </c>
      <c r="E50" s="1222" t="s">
        <v>2039</v>
      </c>
      <c r="F50" s="1223" t="s">
        <v>2040</v>
      </c>
      <c r="G50" s="3679" t="s">
        <v>2041</v>
      </c>
      <c r="H50" s="3775"/>
      <c r="I50" s="1293" t="s">
        <v>2067</v>
      </c>
      <c r="J50" s="1293">
        <f>项目基本情况!F35</f>
        <v>0</v>
      </c>
      <c r="K50" s="1294" t="s">
        <v>2043</v>
      </c>
      <c r="L50" s="1290"/>
      <c r="M50" s="1209"/>
      <c r="N50" s="1209"/>
      <c r="O50" s="1209"/>
      <c r="P50" s="1209"/>
      <c r="Q50" s="1209"/>
      <c r="R50" s="1209"/>
      <c r="S50" s="1209"/>
      <c r="T50" s="1209"/>
      <c r="U50" s="1209"/>
      <c r="V50" s="1209"/>
      <c r="W50" s="1209"/>
      <c r="X50" s="1209"/>
      <c r="Y50" s="1209"/>
      <c r="Z50" s="1209"/>
      <c r="AA50" s="1209"/>
      <c r="AB50" s="1209"/>
      <c r="AC50" s="1209"/>
      <c r="AD50" s="1209"/>
      <c r="AE50" s="1209"/>
    </row>
    <row r="51" spans="1:31" s="1097" customFormat="1">
      <c r="A51" s="1224" t="s">
        <v>2044</v>
      </c>
      <c r="B51" s="1225" t="e">
        <f>C43</f>
        <v>#DIV/0!</v>
      </c>
      <c r="C51" s="1226">
        <v>1</v>
      </c>
      <c r="D51" s="1227">
        <v>1</v>
      </c>
      <c r="E51" s="1226">
        <f>'数据-汇总表'!E8+'数据-汇总表'!E9</f>
        <v>0</v>
      </c>
      <c r="F51" s="1228" t="e">
        <f t="shared" ref="F51:F60" si="15">ROUND(B51*E51/10000,0)</f>
        <v>#DIV/0!</v>
      </c>
      <c r="G51" s="3751"/>
      <c r="H51" s="3695"/>
      <c r="I51" s="846">
        <v>1</v>
      </c>
      <c r="J51" s="846">
        <v>1</v>
      </c>
      <c r="K51" s="1214"/>
      <c r="L51" s="1295"/>
      <c r="M51" s="1295"/>
      <c r="N51" s="1295"/>
      <c r="O51" s="1295"/>
      <c r="P51" s="1295"/>
      <c r="Q51" s="1295"/>
      <c r="R51" s="1295"/>
      <c r="S51" s="1295"/>
      <c r="T51" s="1295"/>
      <c r="U51" s="1295"/>
      <c r="V51" s="1295"/>
      <c r="W51" s="1295"/>
      <c r="X51" s="1295"/>
      <c r="Y51" s="1295"/>
      <c r="Z51" s="1295"/>
      <c r="AA51" s="1295"/>
      <c r="AB51" s="1295"/>
      <c r="AC51" s="1295"/>
      <c r="AD51" s="1295"/>
      <c r="AE51" s="1295"/>
    </row>
    <row r="52" spans="1:31" s="1097" customFormat="1">
      <c r="A52" s="1229" t="s">
        <v>2045</v>
      </c>
      <c r="B52" s="403" t="e">
        <f>ROUND($C$43*C52*D52,0)</f>
        <v>#DIV/0!</v>
      </c>
      <c r="C52" s="734">
        <f t="shared" ref="C52:C60" si="16">IF($C$50="北京市系数",I52,J52)</f>
        <v>0.5</v>
      </c>
      <c r="D52" s="1230">
        <v>0.25</v>
      </c>
      <c r="E52" s="1231"/>
      <c r="F52" s="1228" t="e">
        <f t="shared" si="15"/>
        <v>#DIV/0!</v>
      </c>
      <c r="G52" s="1232" t="s">
        <v>2046</v>
      </c>
      <c r="H52" s="1233" t="str">
        <f>项目基本情况!B37</f>
        <v>九级</v>
      </c>
      <c r="I52" s="846">
        <f>SUMIF(修正!A59:A70,H52,修正!B59:B70)</f>
        <v>0.5</v>
      </c>
      <c r="J52" s="1296"/>
      <c r="K52" s="1209"/>
      <c r="L52" s="1295"/>
      <c r="M52" s="1295"/>
      <c r="N52" s="1295"/>
      <c r="O52" s="1295"/>
      <c r="P52" s="1295"/>
      <c r="Q52" s="1295"/>
      <c r="R52" s="1295"/>
      <c r="S52" s="1295"/>
      <c r="T52" s="1295"/>
      <c r="U52" s="1295"/>
      <c r="V52" s="1295"/>
      <c r="W52" s="1295"/>
      <c r="X52" s="1295"/>
      <c r="Y52" s="1295"/>
      <c r="Z52" s="1295"/>
      <c r="AA52" s="1295"/>
      <c r="AB52" s="1295"/>
      <c r="AC52" s="1295"/>
      <c r="AD52" s="1295"/>
      <c r="AE52" s="1295"/>
    </row>
    <row r="53" spans="1:31" s="1097" customFormat="1">
      <c r="A53" s="1229" t="s">
        <v>2047</v>
      </c>
      <c r="B53" s="403" t="e">
        <f t="shared" ref="B53:B60" si="17">ROUND($C$43*C53*D53,0)</f>
        <v>#DIV/0!</v>
      </c>
      <c r="C53" s="734">
        <f t="shared" si="16"/>
        <v>0.2</v>
      </c>
      <c r="D53" s="1230">
        <v>0.25</v>
      </c>
      <c r="E53" s="1231"/>
      <c r="F53" s="1228" t="e">
        <f t="shared" si="15"/>
        <v>#DIV/0!</v>
      </c>
      <c r="G53" s="1234"/>
      <c r="H53" s="1233" t="str">
        <f>项目基本情况!B37</f>
        <v>九级</v>
      </c>
      <c r="I53" s="846">
        <f>SUMIF(修正!A59:A70,H53,修正!C59:C70)</f>
        <v>0.2</v>
      </c>
      <c r="J53" s="1296"/>
      <c r="K53" s="1214"/>
      <c r="L53" s="1295"/>
      <c r="M53" s="1295"/>
      <c r="N53" s="1295"/>
      <c r="O53" s="1295"/>
      <c r="P53" s="1295"/>
      <c r="Q53" s="1295"/>
      <c r="R53" s="1295"/>
      <c r="S53" s="1295"/>
      <c r="T53" s="1295"/>
      <c r="U53" s="1295"/>
      <c r="V53" s="1295"/>
      <c r="W53" s="1295"/>
      <c r="X53" s="1295"/>
      <c r="Y53" s="1295"/>
      <c r="Z53" s="1295"/>
      <c r="AA53" s="1295"/>
      <c r="AB53" s="1295"/>
      <c r="AC53" s="1295"/>
      <c r="AD53" s="1295"/>
      <c r="AE53" s="1295"/>
    </row>
    <row r="54" spans="1:31" s="1097" customFormat="1">
      <c r="A54" s="1229" t="s">
        <v>2048</v>
      </c>
      <c r="B54" s="403" t="e">
        <f t="shared" si="17"/>
        <v>#DIV/0!</v>
      </c>
      <c r="C54" s="734">
        <f t="shared" si="16"/>
        <v>0.2</v>
      </c>
      <c r="D54" s="1230">
        <v>0.25</v>
      </c>
      <c r="E54" s="1231"/>
      <c r="F54" s="1228" t="e">
        <f t="shared" si="15"/>
        <v>#DIV/0!</v>
      </c>
      <c r="G54" s="1234"/>
      <c r="H54" s="1233" t="str">
        <f>项目基本情况!B37</f>
        <v>九级</v>
      </c>
      <c r="I54" s="846">
        <f>SUMIF(修正!A59:A70,H54,修正!D59:D70)</f>
        <v>0.2</v>
      </c>
      <c r="J54" s="1296"/>
      <c r="K54" s="1209"/>
      <c r="L54" s="1295"/>
      <c r="M54" s="1295"/>
      <c r="N54" s="1295"/>
      <c r="O54" s="1295"/>
      <c r="P54" s="1295"/>
      <c r="Q54" s="1295"/>
      <c r="R54" s="1295"/>
      <c r="S54" s="1295"/>
      <c r="T54" s="1295"/>
      <c r="U54" s="1295"/>
      <c r="V54" s="1295"/>
      <c r="W54" s="1295"/>
      <c r="X54" s="1295"/>
      <c r="Y54" s="1295"/>
      <c r="Z54" s="1295"/>
      <c r="AA54" s="1295"/>
      <c r="AB54" s="1295"/>
      <c r="AC54" s="1295"/>
      <c r="AD54" s="1295"/>
      <c r="AE54" s="1295"/>
    </row>
    <row r="55" spans="1:31" s="1097" customFormat="1" hidden="1">
      <c r="A55" s="1229"/>
      <c r="B55" s="403"/>
      <c r="C55" s="734"/>
      <c r="D55" s="1230"/>
      <c r="E55" s="1231"/>
      <c r="F55" s="1228"/>
      <c r="G55" s="1235"/>
      <c r="H55" s="1233"/>
      <c r="I55" s="846"/>
      <c r="J55" s="1296"/>
      <c r="K55" s="1214"/>
      <c r="L55" s="1295"/>
      <c r="M55" s="1295"/>
      <c r="N55" s="1295"/>
      <c r="O55" s="1295"/>
      <c r="P55" s="1295"/>
      <c r="Q55" s="1295"/>
      <c r="R55" s="1295"/>
      <c r="S55" s="1295"/>
      <c r="T55" s="1295"/>
      <c r="U55" s="1295"/>
      <c r="V55" s="1295"/>
      <c r="W55" s="1295"/>
      <c r="X55" s="1295"/>
      <c r="Y55" s="1295"/>
      <c r="Z55" s="1295"/>
      <c r="AA55" s="1295"/>
      <c r="AB55" s="1295"/>
      <c r="AC55" s="1295"/>
      <c r="AD55" s="1295"/>
      <c r="AE55" s="1295"/>
    </row>
    <row r="56" spans="1:31" s="1097" customFormat="1">
      <c r="A56" s="1229" t="s">
        <v>2049</v>
      </c>
      <c r="B56" s="403" t="e">
        <f t="shared" si="17"/>
        <v>#DIV/0!</v>
      </c>
      <c r="C56" s="734">
        <f t="shared" si="16"/>
        <v>0.2</v>
      </c>
      <c r="D56" s="1230">
        <v>0.25</v>
      </c>
      <c r="E56" s="402">
        <f>'数据-汇总表'!E11</f>
        <v>0</v>
      </c>
      <c r="F56" s="1228" t="e">
        <f t="shared" si="15"/>
        <v>#DIV/0!</v>
      </c>
      <c r="G56" s="1236" t="s">
        <v>2050</v>
      </c>
      <c r="H56" s="1233" t="str">
        <f>项目基本情况!C37</f>
        <v>九级</v>
      </c>
      <c r="I56" s="846">
        <f>SUMIF(修正!A59:A70,H56,修正!E59:E70)</f>
        <v>0.2</v>
      </c>
      <c r="J56" s="1296"/>
      <c r="K56" s="1209"/>
      <c r="L56" s="1295"/>
      <c r="M56" s="1295"/>
      <c r="N56" s="1295"/>
      <c r="O56" s="1295"/>
      <c r="P56" s="1295"/>
      <c r="Q56" s="1295"/>
      <c r="R56" s="1295"/>
      <c r="S56" s="1295"/>
      <c r="T56" s="1295"/>
      <c r="U56" s="1295"/>
      <c r="V56" s="1295"/>
      <c r="W56" s="1295"/>
      <c r="X56" s="1295"/>
      <c r="Y56" s="1295"/>
      <c r="Z56" s="1295"/>
      <c r="AA56" s="1295"/>
      <c r="AB56" s="1295"/>
      <c r="AC56" s="1295"/>
      <c r="AD56" s="1295"/>
      <c r="AE56" s="1295"/>
    </row>
    <row r="57" spans="1:31" s="1097" customFormat="1">
      <c r="A57" s="1229" t="s">
        <v>2051</v>
      </c>
      <c r="B57" s="403" t="e">
        <f t="shared" si="17"/>
        <v>#DIV/0!</v>
      </c>
      <c r="C57" s="734">
        <f t="shared" si="16"/>
        <v>0.2</v>
      </c>
      <c r="D57" s="1230">
        <v>0.25</v>
      </c>
      <c r="E57" s="402">
        <f>'数据-汇总表'!E12</f>
        <v>0</v>
      </c>
      <c r="F57" s="1228" t="e">
        <f t="shared" si="15"/>
        <v>#DIV/0!</v>
      </c>
      <c r="G57" s="1237" t="s">
        <v>2052</v>
      </c>
      <c r="H57" s="1233" t="str">
        <f>IF(G57="商业",项目基本情况!B37,IF(G57="办公",项目基本情况!C37,IF(G57="住宅",项目基本情况!D37,项目基本情况!E37)))</f>
        <v>九级</v>
      </c>
      <c r="I57" s="846">
        <f>SUMIF(修正!A59:A70,H57,修正!F59:F70)</f>
        <v>0.2</v>
      </c>
      <c r="J57" s="1296"/>
      <c r="K57" s="1214"/>
      <c r="L57" s="1295"/>
      <c r="M57" s="1295"/>
      <c r="N57" s="1295"/>
      <c r="O57" s="1295"/>
      <c r="P57" s="1295"/>
      <c r="Q57" s="1295"/>
      <c r="R57" s="1295"/>
      <c r="S57" s="1295"/>
      <c r="T57" s="1295"/>
      <c r="U57" s="1295"/>
      <c r="V57" s="1295"/>
      <c r="W57" s="1295"/>
      <c r="X57" s="1295"/>
      <c r="Y57" s="1295"/>
      <c r="Z57" s="1295"/>
      <c r="AA57" s="1295"/>
      <c r="AB57" s="1295"/>
      <c r="AC57" s="1295"/>
      <c r="AD57" s="1295"/>
      <c r="AE57" s="1295"/>
    </row>
    <row r="58" spans="1:31" s="1097" customFormat="1">
      <c r="A58" s="1229" t="s">
        <v>2053</v>
      </c>
      <c r="B58" s="403" t="e">
        <f t="shared" si="17"/>
        <v>#DIV/0!</v>
      </c>
      <c r="C58" s="734">
        <f t="shared" si="16"/>
        <v>0.1</v>
      </c>
      <c r="D58" s="1230">
        <v>0.25</v>
      </c>
      <c r="E58" s="402">
        <f>'数据-汇总表'!E13</f>
        <v>30.6</v>
      </c>
      <c r="F58" s="1228" t="e">
        <f t="shared" si="15"/>
        <v>#DIV/0!</v>
      </c>
      <c r="G58" s="1237" t="s">
        <v>2054</v>
      </c>
      <c r="H58" s="1233" t="str">
        <f>IF(G58="商业",项目基本情况!B37,IF(G58="办公",项目基本情况!C37,IF(G58="住宅",项目基本情况!D37,项目基本情况!E37)))</f>
        <v>九级</v>
      </c>
      <c r="I58" s="846">
        <f>SUMIF(修正!A59:A70,H58,修正!G59:G70)</f>
        <v>0.1</v>
      </c>
      <c r="J58" s="1296"/>
      <c r="K58" s="1209"/>
      <c r="L58" s="1295"/>
      <c r="M58" s="1295"/>
      <c r="N58" s="1295"/>
      <c r="O58" s="1295"/>
      <c r="P58" s="1295"/>
      <c r="Q58" s="1295"/>
      <c r="R58" s="1295"/>
      <c r="S58" s="1295"/>
      <c r="T58" s="1295"/>
      <c r="U58" s="1295"/>
      <c r="V58" s="1295"/>
      <c r="W58" s="1295"/>
      <c r="X58" s="1295"/>
      <c r="Y58" s="1295"/>
      <c r="Z58" s="1295"/>
      <c r="AA58" s="1295"/>
      <c r="AB58" s="1295"/>
      <c r="AC58" s="1295"/>
      <c r="AD58" s="1295"/>
      <c r="AE58" s="1295"/>
    </row>
    <row r="59" spans="1:31" s="1097" customFormat="1">
      <c r="A59" s="1229" t="s">
        <v>2055</v>
      </c>
      <c r="B59" s="403" t="e">
        <f t="shared" si="17"/>
        <v>#DIV/0!</v>
      </c>
      <c r="C59" s="734">
        <f t="shared" si="16"/>
        <v>0.1</v>
      </c>
      <c r="D59" s="1230">
        <v>0.25</v>
      </c>
      <c r="E59" s="402">
        <f>'数据-汇总表'!E14</f>
        <v>0</v>
      </c>
      <c r="F59" s="1228" t="e">
        <f t="shared" si="15"/>
        <v>#DIV/0!</v>
      </c>
      <c r="G59" s="1236" t="s">
        <v>2046</v>
      </c>
      <c r="H59" s="1233" t="str">
        <f>项目基本情况!B37</f>
        <v>九级</v>
      </c>
      <c r="I59" s="846">
        <f>SUMIF(修正!A59:A70,H59,修正!G59:G70)</f>
        <v>0.1</v>
      </c>
      <c r="J59" s="1296"/>
      <c r="K59" s="1214"/>
      <c r="L59" s="1295"/>
      <c r="M59" s="1295"/>
      <c r="N59" s="1295"/>
      <c r="O59" s="1295"/>
      <c r="P59" s="1295"/>
      <c r="Q59" s="1295"/>
      <c r="R59" s="1295"/>
      <c r="S59" s="1295"/>
      <c r="T59" s="1295"/>
      <c r="U59" s="1295"/>
      <c r="V59" s="1295"/>
      <c r="W59" s="1295"/>
      <c r="X59" s="1295"/>
      <c r="Y59" s="1295"/>
      <c r="Z59" s="1295"/>
      <c r="AA59" s="1295"/>
      <c r="AB59" s="1295"/>
      <c r="AC59" s="1295"/>
      <c r="AD59" s="1295"/>
      <c r="AE59" s="1295"/>
    </row>
    <row r="60" spans="1:31" s="1097" customFormat="1">
      <c r="A60" s="1229" t="s">
        <v>2056</v>
      </c>
      <c r="B60" s="403" t="e">
        <f t="shared" si="17"/>
        <v>#DIV/0!</v>
      </c>
      <c r="C60" s="734">
        <f t="shared" si="16"/>
        <v>0.1</v>
      </c>
      <c r="D60" s="1230">
        <v>0.25</v>
      </c>
      <c r="E60" s="402">
        <f>'数据-汇总表'!E15</f>
        <v>0</v>
      </c>
      <c r="F60" s="1228" t="e">
        <f t="shared" si="15"/>
        <v>#DIV/0!</v>
      </c>
      <c r="G60" s="1238" t="s">
        <v>2050</v>
      </c>
      <c r="H60" s="1239" t="str">
        <f>项目基本情况!C37</f>
        <v>九级</v>
      </c>
      <c r="I60" s="846">
        <f>SUMIF(修正!A59:A70,H60,修正!G59:G70)</f>
        <v>0.1</v>
      </c>
      <c r="J60" s="1296"/>
      <c r="K60" s="1209"/>
      <c r="L60" s="1295"/>
      <c r="M60" s="1295"/>
      <c r="N60" s="1295"/>
      <c r="O60" s="1295"/>
      <c r="P60" s="1295"/>
      <c r="Q60" s="1295"/>
      <c r="R60" s="1295"/>
      <c r="S60" s="1295"/>
      <c r="T60" s="1295"/>
      <c r="U60" s="1295"/>
      <c r="V60" s="1295"/>
      <c r="W60" s="1295"/>
      <c r="X60" s="1295"/>
      <c r="Y60" s="1295"/>
      <c r="Z60" s="1295"/>
      <c r="AA60" s="1295"/>
      <c r="AB60" s="1295"/>
      <c r="AC60" s="1295"/>
      <c r="AD60" s="1295"/>
      <c r="AE60" s="1295"/>
    </row>
    <row r="61" spans="1:31" s="1097" customFormat="1">
      <c r="A61" s="1240" t="s">
        <v>2057</v>
      </c>
      <c r="B61" s="1241" t="s">
        <v>1143</v>
      </c>
      <c r="C61" s="1241" t="s">
        <v>1143</v>
      </c>
      <c r="D61" s="1241" t="s">
        <v>1143</v>
      </c>
      <c r="E61" s="1241">
        <f>IF(B41="楼面地价",SUM(E51:E60),'数据-汇总表'!D3)</f>
        <v>0</v>
      </c>
      <c r="F61" s="1242" t="e">
        <f>IF(B41="楼面地价",SUM(F51:F60),ROUND(C43*E61/10000,0))</f>
        <v>#DIV/0!</v>
      </c>
      <c r="G61" s="1243"/>
      <c r="H61" s="1243"/>
      <c r="I61" s="1243"/>
      <c r="J61" s="1243"/>
      <c r="K61" s="1289"/>
      <c r="L61" s="1295"/>
      <c r="M61" s="1295"/>
      <c r="N61" s="1295"/>
      <c r="O61" s="1295"/>
      <c r="P61" s="1295"/>
      <c r="Q61" s="1295"/>
      <c r="R61" s="1295"/>
      <c r="S61" s="1295"/>
      <c r="T61" s="1295"/>
      <c r="U61" s="1295"/>
      <c r="V61" s="1295"/>
      <c r="W61" s="1295"/>
      <c r="X61" s="1295"/>
      <c r="Y61" s="1295"/>
      <c r="Z61" s="1295"/>
      <c r="AA61" s="1295"/>
      <c r="AB61" s="1295"/>
      <c r="AC61" s="1295"/>
      <c r="AD61" s="1295"/>
      <c r="AE61" s="1295"/>
    </row>
    <row r="62" spans="1:31">
      <c r="A62" s="1244"/>
      <c r="B62" s="1245"/>
      <c r="C62" s="1246"/>
      <c r="D62" s="1244"/>
      <c r="E62" s="1244"/>
      <c r="F62" s="1244"/>
      <c r="G62" s="1244"/>
      <c r="H62" s="1244"/>
      <c r="I62" s="1244"/>
      <c r="J62" s="1244"/>
      <c r="K62" s="1297"/>
      <c r="L62" s="1298"/>
      <c r="M62" s="1244"/>
      <c r="N62" s="1244"/>
      <c r="O62" s="1244"/>
      <c r="P62" s="1209"/>
      <c r="Q62" s="1209"/>
      <c r="R62" s="1209"/>
      <c r="S62" s="1209"/>
      <c r="T62" s="1209"/>
      <c r="U62" s="1209"/>
      <c r="V62" s="1209"/>
      <c r="W62" s="1209"/>
      <c r="X62" s="1209"/>
      <c r="Y62" s="1209"/>
      <c r="Z62" s="1209"/>
      <c r="AA62" s="1209"/>
      <c r="AB62" s="1209"/>
      <c r="AC62" s="1209"/>
      <c r="AD62" s="1209"/>
      <c r="AE62" s="1209"/>
    </row>
    <row r="63" spans="1:31">
      <c r="A63" s="1244"/>
      <c r="B63" s="1245"/>
      <c r="C63" s="1247" t="str">
        <f>YEAR(C7)&amp;"-"&amp;MONTH(C7)&amp;"-1"</f>
        <v>2025-9-1</v>
      </c>
      <c r="D63" s="1247">
        <f>EDATE(C63,-3)</f>
        <v>45809</v>
      </c>
      <c r="E63" s="1247">
        <f>EDATE(D63,-3)</f>
        <v>45717</v>
      </c>
      <c r="F63" s="1247">
        <f t="shared" ref="F63:O63" si="18">EDATE(E63,-3)</f>
        <v>45627</v>
      </c>
      <c r="G63" s="1247">
        <f t="shared" si="18"/>
        <v>45536</v>
      </c>
      <c r="H63" s="1247">
        <f t="shared" si="18"/>
        <v>45444</v>
      </c>
      <c r="I63" s="1247">
        <f t="shared" si="18"/>
        <v>45352</v>
      </c>
      <c r="J63" s="1247">
        <f t="shared" si="18"/>
        <v>45261</v>
      </c>
      <c r="K63" s="1247">
        <f t="shared" si="18"/>
        <v>45170</v>
      </c>
      <c r="L63" s="1247">
        <f t="shared" si="18"/>
        <v>45078</v>
      </c>
      <c r="M63" s="1247">
        <f t="shared" si="18"/>
        <v>44986</v>
      </c>
      <c r="N63" s="1247">
        <f t="shared" si="18"/>
        <v>44896</v>
      </c>
      <c r="O63" s="1247">
        <f t="shared" si="18"/>
        <v>44805</v>
      </c>
      <c r="P63" s="1209"/>
      <c r="Q63" s="1209"/>
      <c r="R63" s="1209"/>
      <c r="S63" s="1209"/>
      <c r="T63" s="1209"/>
      <c r="U63" s="1209"/>
      <c r="V63" s="1209"/>
      <c r="W63" s="1209"/>
      <c r="X63" s="1209"/>
      <c r="Y63" s="1209"/>
      <c r="Z63" s="1209"/>
      <c r="AA63" s="1209"/>
      <c r="AB63" s="1209"/>
      <c r="AC63" s="1209"/>
      <c r="AD63" s="1209"/>
      <c r="AE63" s="1209"/>
    </row>
    <row r="64" spans="1:31" ht="21">
      <c r="A64" s="1248" t="s">
        <v>1457</v>
      </c>
      <c r="B64" s="1249"/>
      <c r="C64" s="1250"/>
      <c r="D64" s="1250"/>
      <c r="E64" s="1250"/>
      <c r="F64" s="1251"/>
      <c r="G64" s="1251"/>
      <c r="H64" s="1250"/>
      <c r="I64" s="1250"/>
      <c r="J64" s="1250"/>
      <c r="K64" s="1299"/>
      <c r="L64" s="1300"/>
      <c r="M64" s="1250"/>
      <c r="N64" s="1250"/>
      <c r="O64" s="1301"/>
      <c r="P64" s="1302"/>
      <c r="Q64" s="1314"/>
      <c r="R64" s="1209"/>
      <c r="S64" s="1209"/>
      <c r="T64" s="1209"/>
      <c r="U64" s="1209"/>
      <c r="V64" s="1209"/>
      <c r="W64" s="1209"/>
      <c r="X64" s="1209"/>
      <c r="Y64" s="1209"/>
      <c r="Z64" s="1209"/>
      <c r="AA64" s="1209"/>
      <c r="AB64" s="1209"/>
      <c r="AC64" s="1209"/>
      <c r="AD64" s="1209"/>
      <c r="AE64" s="1209"/>
    </row>
    <row r="65" spans="1:31" s="1098" customFormat="1" ht="15">
      <c r="A65" s="1323" t="s">
        <v>2058</v>
      </c>
      <c r="B65" s="1324"/>
      <c r="C65" s="1325" t="str">
        <f>YEAR(C63)&amp;"-"&amp;ROUNDUP(MONTH(C63)/3,0)</f>
        <v>2025-3</v>
      </c>
      <c r="D65" s="1325" t="str">
        <f t="shared" ref="D65:O65" si="19">YEAR(D63)&amp;"-"&amp;ROUNDUP(MONTH(D63)/3,0)</f>
        <v>2025-2</v>
      </c>
      <c r="E65" s="1325" t="str">
        <f t="shared" si="19"/>
        <v>2025-1</v>
      </c>
      <c r="F65" s="1325" t="str">
        <f t="shared" si="19"/>
        <v>2024-4</v>
      </c>
      <c r="G65" s="1325" t="str">
        <f t="shared" si="19"/>
        <v>2024-3</v>
      </c>
      <c r="H65" s="1325" t="str">
        <f t="shared" si="19"/>
        <v>2024-2</v>
      </c>
      <c r="I65" s="1325" t="str">
        <f t="shared" si="19"/>
        <v>2024-1</v>
      </c>
      <c r="J65" s="1325" t="str">
        <f t="shared" si="19"/>
        <v>2023-4</v>
      </c>
      <c r="K65" s="1325" t="str">
        <f t="shared" si="19"/>
        <v>2023-3</v>
      </c>
      <c r="L65" s="1325" t="str">
        <f t="shared" si="19"/>
        <v>2023-2</v>
      </c>
      <c r="M65" s="1325" t="str">
        <f t="shared" si="19"/>
        <v>2023-1</v>
      </c>
      <c r="N65" s="1325" t="str">
        <f t="shared" si="19"/>
        <v>2022-4</v>
      </c>
      <c r="O65" s="1325" t="str">
        <f t="shared" si="19"/>
        <v>2022-3</v>
      </c>
      <c r="P65" s="1377"/>
      <c r="Q65" s="1433"/>
      <c r="R65" s="1433"/>
      <c r="S65" s="1433"/>
      <c r="T65" s="1433"/>
      <c r="U65" s="1433"/>
      <c r="V65" s="1433"/>
      <c r="W65" s="1433"/>
      <c r="X65" s="1433"/>
      <c r="Y65" s="1433"/>
      <c r="Z65" s="1433"/>
      <c r="AA65" s="1433"/>
      <c r="AB65" s="1433"/>
      <c r="AC65" s="1433"/>
      <c r="AD65" s="1433"/>
      <c r="AE65" s="1433"/>
    </row>
    <row r="66" spans="1:31" s="1093" customFormat="1" ht="30.75" customHeight="1">
      <c r="A66" s="1326" t="s">
        <v>2068</v>
      </c>
      <c r="B66" s="1327" t="str">
        <f>"北京市平均增长率"&amp;TEXT(基准地价修正!P28,"0.00%")</f>
        <v>北京市平均增长率0.00%</v>
      </c>
      <c r="C66" s="992">
        <v>100</v>
      </c>
      <c r="D66" s="1328"/>
      <c r="E66" s="1328"/>
      <c r="F66" s="1328"/>
      <c r="G66" s="1328"/>
      <c r="H66" s="1328"/>
      <c r="I66" s="1328"/>
      <c r="J66" s="1328"/>
      <c r="K66" s="1328"/>
      <c r="L66" s="1328"/>
      <c r="M66" s="1378"/>
      <c r="N66" s="1378"/>
      <c r="O66" s="1379"/>
      <c r="P66" s="1314"/>
      <c r="Q66" s="1434"/>
      <c r="R66" s="1434"/>
      <c r="S66" s="1434"/>
      <c r="T66" s="1434"/>
      <c r="U66" s="1434"/>
      <c r="V66" s="1434"/>
      <c r="W66" s="1434"/>
      <c r="X66" s="1434"/>
      <c r="Y66" s="1434"/>
      <c r="Z66" s="1434"/>
      <c r="AA66" s="1434"/>
      <c r="AB66" s="1434"/>
      <c r="AC66" s="1434"/>
      <c r="AD66" s="1434"/>
      <c r="AE66" s="1434"/>
    </row>
    <row r="67" spans="1:31" s="1093" customFormat="1" ht="15">
      <c r="A67" s="1329" t="s">
        <v>1458</v>
      </c>
      <c r="B67" s="1330"/>
      <c r="C67" s="1331"/>
      <c r="D67" s="1332"/>
      <c r="E67" s="1332"/>
      <c r="F67" s="1332"/>
      <c r="G67" s="1332"/>
      <c r="H67" s="1332"/>
      <c r="I67" s="1332"/>
      <c r="J67" s="1332"/>
      <c r="K67" s="1332"/>
      <c r="L67" s="1332"/>
      <c r="M67" s="1380"/>
      <c r="N67" s="1380"/>
      <c r="O67" s="1381"/>
      <c r="P67" s="1314"/>
      <c r="Q67" s="1314"/>
      <c r="R67" s="1434"/>
      <c r="S67" s="1434"/>
      <c r="T67" s="1434"/>
      <c r="U67" s="1434"/>
      <c r="V67" s="1434"/>
      <c r="W67" s="1434"/>
      <c r="X67" s="1434"/>
      <c r="Y67" s="1434"/>
      <c r="Z67" s="1434"/>
      <c r="AA67" s="1434"/>
      <c r="AB67" s="1434"/>
      <c r="AC67" s="1434"/>
      <c r="AD67" s="1434"/>
      <c r="AE67" s="1434"/>
    </row>
    <row r="68" spans="1:31" s="1093" customFormat="1" ht="15">
      <c r="A68" s="1333" t="s">
        <v>1413</v>
      </c>
      <c r="B68" s="1334"/>
      <c r="C68" s="1335" t="s">
        <v>1459</v>
      </c>
      <c r="D68" s="1336"/>
      <c r="E68" s="1336"/>
      <c r="F68" s="1336"/>
      <c r="G68" s="1336"/>
      <c r="H68" s="1336"/>
      <c r="I68" s="1336"/>
      <c r="J68" s="1336"/>
      <c r="K68" s="1336"/>
      <c r="L68" s="1382"/>
      <c r="M68" s="1383"/>
      <c r="N68" s="1384"/>
      <c r="O68" s="1384"/>
      <c r="P68" s="1385"/>
      <c r="Q68" s="1314"/>
      <c r="R68" s="1434"/>
      <c r="S68" s="1434"/>
      <c r="T68" s="1434"/>
      <c r="U68" s="1434"/>
      <c r="V68" s="1434"/>
      <c r="W68" s="1434"/>
      <c r="X68" s="1434"/>
      <c r="Y68" s="1434"/>
      <c r="Z68" s="1434"/>
      <c r="AA68" s="1434"/>
      <c r="AB68" s="1434"/>
      <c r="AC68" s="1434"/>
      <c r="AD68" s="1434"/>
      <c r="AE68" s="1434"/>
    </row>
    <row r="69" spans="1:31" s="1093" customFormat="1" ht="15">
      <c r="A69" s="1333"/>
      <c r="B69" s="1334"/>
      <c r="C69" s="1337">
        <v>100</v>
      </c>
      <c r="D69" s="1338"/>
      <c r="E69" s="1338"/>
      <c r="F69" s="1338"/>
      <c r="G69" s="1338"/>
      <c r="H69" s="1338"/>
      <c r="I69" s="1338"/>
      <c r="J69" s="1338"/>
      <c r="K69" s="1338"/>
      <c r="L69" s="1338"/>
      <c r="M69" s="1386"/>
      <c r="N69" s="1384"/>
      <c r="O69" s="1384"/>
      <c r="P69" s="1314"/>
      <c r="Q69" s="1314"/>
      <c r="R69" s="1434"/>
      <c r="S69" s="1434"/>
      <c r="T69" s="1434"/>
      <c r="U69" s="1434"/>
      <c r="V69" s="1434"/>
      <c r="W69" s="1434"/>
      <c r="X69" s="1434"/>
      <c r="Y69" s="1434"/>
      <c r="Z69" s="1434"/>
      <c r="AA69" s="1434"/>
      <c r="AB69" s="1434"/>
      <c r="AC69" s="1434"/>
      <c r="AD69" s="1434"/>
      <c r="AE69" s="1434"/>
    </row>
    <row r="70" spans="1:31">
      <c r="A70" s="1339" t="s">
        <v>1460</v>
      </c>
      <c r="B70" s="1340" t="s">
        <v>1417</v>
      </c>
      <c r="C70" s="1282"/>
      <c r="D70" s="1282"/>
      <c r="E70" s="1282"/>
      <c r="F70" s="1282"/>
      <c r="G70" s="1282"/>
      <c r="H70" s="1282"/>
      <c r="I70" s="1282"/>
      <c r="J70" s="1282"/>
      <c r="K70" s="1387"/>
      <c r="L70" s="1388"/>
      <c r="M70" s="1389"/>
      <c r="N70" s="1390"/>
      <c r="O70" s="1390"/>
      <c r="P70" s="1391"/>
      <c r="Q70" s="1314"/>
      <c r="R70" s="1209"/>
      <c r="S70" s="1209"/>
      <c r="T70" s="1209"/>
      <c r="U70" s="1209"/>
      <c r="V70" s="1209"/>
      <c r="W70" s="1209"/>
      <c r="X70" s="1209"/>
      <c r="Y70" s="1209"/>
      <c r="Z70" s="1209"/>
      <c r="AA70" s="1209"/>
      <c r="AB70" s="1209"/>
      <c r="AC70" s="1209"/>
      <c r="AD70" s="1209"/>
      <c r="AE70" s="1209"/>
    </row>
    <row r="71" spans="1:31" ht="15">
      <c r="A71" s="1341"/>
      <c r="B71" s="1342"/>
      <c r="C71" s="1343"/>
      <c r="D71" s="1343"/>
      <c r="E71" s="1343"/>
      <c r="F71" s="1343"/>
      <c r="G71" s="1343"/>
      <c r="H71" s="1343"/>
      <c r="I71" s="1343"/>
      <c r="J71" s="1343"/>
      <c r="K71" s="1343"/>
      <c r="L71" s="1343"/>
      <c r="M71" s="1392"/>
      <c r="N71" s="1393"/>
      <c r="O71" s="1393"/>
      <c r="P71" s="1391"/>
      <c r="Q71" s="1314"/>
      <c r="R71" s="1209"/>
      <c r="S71" s="1209"/>
      <c r="T71" s="1209"/>
      <c r="U71" s="1209"/>
      <c r="V71" s="1209"/>
      <c r="W71" s="1209"/>
      <c r="X71" s="1209"/>
      <c r="Y71" s="1209"/>
      <c r="Z71" s="1209"/>
      <c r="AA71" s="1209"/>
      <c r="AB71" s="1209"/>
      <c r="AC71" s="1209"/>
      <c r="AD71" s="1209"/>
      <c r="AE71" s="1209"/>
    </row>
    <row r="72" spans="1:31" ht="27">
      <c r="A72" s="1341"/>
      <c r="B72" s="1344" t="s">
        <v>1420</v>
      </c>
      <c r="C72" s="1345"/>
      <c r="D72" s="1345"/>
      <c r="E72" s="1345"/>
      <c r="F72" s="1345"/>
      <c r="G72" s="1345"/>
      <c r="H72" s="1345"/>
      <c r="I72" s="1345"/>
      <c r="J72" s="1345"/>
      <c r="K72" s="1394"/>
      <c r="L72" s="1395"/>
      <c r="M72" s="1396"/>
      <c r="N72" s="1390"/>
      <c r="O72" s="1390"/>
      <c r="P72" s="1391"/>
      <c r="Q72" s="1314"/>
      <c r="R72" s="1209"/>
      <c r="S72" s="1209"/>
      <c r="T72" s="1209"/>
      <c r="U72" s="1209"/>
      <c r="V72" s="1209"/>
      <c r="W72" s="1209"/>
      <c r="X72" s="1209"/>
      <c r="Y72" s="1209"/>
      <c r="Z72" s="1209"/>
      <c r="AA72" s="1209"/>
      <c r="AB72" s="1209"/>
      <c r="AC72" s="1209"/>
      <c r="AD72" s="1209"/>
      <c r="AE72" s="1209"/>
    </row>
    <row r="73" spans="1:31" ht="15">
      <c r="A73" s="1341"/>
      <c r="B73" s="1346"/>
      <c r="C73" s="1347"/>
      <c r="D73" s="1347"/>
      <c r="E73" s="1347"/>
      <c r="F73" s="1347"/>
      <c r="G73" s="1347"/>
      <c r="H73" s="1347"/>
      <c r="I73" s="1347"/>
      <c r="J73" s="1347"/>
      <c r="K73" s="1347"/>
      <c r="L73" s="1347"/>
      <c r="M73" s="1397"/>
      <c r="N73" s="1393"/>
      <c r="O73" s="1393"/>
      <c r="P73" s="1391"/>
      <c r="Q73" s="1314"/>
      <c r="R73" s="1209"/>
      <c r="S73" s="1209"/>
      <c r="T73" s="1209"/>
      <c r="U73" s="1209"/>
      <c r="V73" s="1209"/>
      <c r="W73" s="1209"/>
      <c r="X73" s="1209"/>
      <c r="Y73" s="1209"/>
      <c r="Z73" s="1209"/>
      <c r="AA73" s="1209"/>
      <c r="AB73" s="1209"/>
      <c r="AC73" s="1209"/>
      <c r="AD73" s="1209"/>
      <c r="AE73" s="1209"/>
    </row>
    <row r="74" spans="1:31" ht="15">
      <c r="A74" s="1341"/>
      <c r="B74" s="1348" t="s">
        <v>1960</v>
      </c>
      <c r="C74" s="1349" t="str">
        <f>C75&amp;"（含）"&amp;"-"&amp;D75</f>
        <v>（含）-</v>
      </c>
      <c r="D74" s="1349" t="str">
        <f t="shared" ref="D74:L74" si="20">D75&amp;"（含）"&amp;"-"&amp;E75</f>
        <v>（含）-</v>
      </c>
      <c r="E74" s="1349" t="str">
        <f t="shared" si="20"/>
        <v>（含）-</v>
      </c>
      <c r="F74" s="1349" t="str">
        <f t="shared" si="20"/>
        <v>（含）-</v>
      </c>
      <c r="G74" s="1349" t="str">
        <f t="shared" si="20"/>
        <v>（含）-</v>
      </c>
      <c r="H74" s="1349" t="str">
        <f t="shared" si="20"/>
        <v>（含）-</v>
      </c>
      <c r="I74" s="1349" t="str">
        <f t="shared" si="20"/>
        <v>（含）-</v>
      </c>
      <c r="J74" s="1349" t="str">
        <f t="shared" si="20"/>
        <v>（含）-</v>
      </c>
      <c r="K74" s="1349" t="str">
        <f t="shared" si="20"/>
        <v>（含）-</v>
      </c>
      <c r="L74" s="1349" t="str">
        <f t="shared" si="20"/>
        <v>（含）-</v>
      </c>
      <c r="M74" s="1155" t="str">
        <f>M75&amp;"（含）"&amp;"-"&amp;P75</f>
        <v>（含）-</v>
      </c>
      <c r="N74" s="1393"/>
      <c r="O74" s="1393"/>
      <c r="P74" s="1391"/>
      <c r="Q74" s="1314"/>
      <c r="R74" s="1209"/>
      <c r="S74" s="1209"/>
      <c r="T74" s="1209"/>
      <c r="U74" s="1209"/>
      <c r="V74" s="1209"/>
      <c r="W74" s="1209"/>
      <c r="X74" s="1209"/>
      <c r="Y74" s="1209"/>
      <c r="Z74" s="1209"/>
      <c r="AA74" s="1209"/>
      <c r="AB74" s="1209"/>
      <c r="AC74" s="1209"/>
      <c r="AD74" s="1209"/>
      <c r="AE74" s="1209"/>
    </row>
    <row r="75" spans="1:31" ht="15">
      <c r="A75" s="1341"/>
      <c r="B75" s="1350"/>
      <c r="C75" s="1140"/>
      <c r="D75" s="1140"/>
      <c r="E75" s="1140"/>
      <c r="F75" s="1140"/>
      <c r="G75" s="1140"/>
      <c r="H75" s="1140"/>
      <c r="I75" s="1140"/>
      <c r="J75" s="1140"/>
      <c r="K75" s="1398"/>
      <c r="L75" s="1399"/>
      <c r="M75" s="1400"/>
      <c r="N75" s="1390"/>
      <c r="O75" s="1390"/>
      <c r="P75" s="1391"/>
      <c r="Q75" s="1314"/>
      <c r="R75" s="1209"/>
      <c r="S75" s="1209"/>
      <c r="T75" s="1209"/>
      <c r="U75" s="1209"/>
      <c r="V75" s="1209"/>
      <c r="W75" s="1209"/>
      <c r="X75" s="1209"/>
      <c r="Y75" s="1209"/>
      <c r="Z75" s="1209"/>
      <c r="AA75" s="1209"/>
      <c r="AB75" s="1209"/>
      <c r="AC75" s="1209"/>
      <c r="AD75" s="1209"/>
      <c r="AE75" s="1209"/>
    </row>
    <row r="76" spans="1:31" ht="15">
      <c r="A76" s="1341"/>
      <c r="B76" s="1342"/>
      <c r="C76" s="1347">
        <v>100</v>
      </c>
      <c r="D76" s="1347">
        <f>IF($B$41="单位面积地价",C76+$K11,C76-$K11)</f>
        <v>100</v>
      </c>
      <c r="E76" s="1347">
        <f t="shared" ref="E76:M76" si="21">IF($B$41="单位面积地价",D76+$K11,D76-$K11)</f>
        <v>100</v>
      </c>
      <c r="F76" s="1347">
        <f t="shared" si="21"/>
        <v>100</v>
      </c>
      <c r="G76" s="1347">
        <f t="shared" si="21"/>
        <v>100</v>
      </c>
      <c r="H76" s="1347">
        <f t="shared" si="21"/>
        <v>100</v>
      </c>
      <c r="I76" s="1347">
        <f t="shared" si="21"/>
        <v>100</v>
      </c>
      <c r="J76" s="1347">
        <f t="shared" si="21"/>
        <v>100</v>
      </c>
      <c r="K76" s="1347">
        <f t="shared" si="21"/>
        <v>100</v>
      </c>
      <c r="L76" s="1347">
        <f t="shared" si="21"/>
        <v>100</v>
      </c>
      <c r="M76" s="1347">
        <f t="shared" si="21"/>
        <v>100</v>
      </c>
      <c r="N76" s="1393"/>
      <c r="O76" s="1393"/>
      <c r="P76" s="1391"/>
      <c r="Q76" s="1314"/>
      <c r="R76" s="1209"/>
      <c r="S76" s="1209"/>
      <c r="T76" s="1209"/>
      <c r="U76" s="1209"/>
      <c r="V76" s="1209"/>
      <c r="W76" s="1209"/>
      <c r="X76" s="1209"/>
      <c r="Y76" s="1209"/>
      <c r="Z76" s="1209"/>
      <c r="AA76" s="1209"/>
      <c r="AB76" s="1209"/>
      <c r="AC76" s="1209"/>
      <c r="AD76" s="1209"/>
      <c r="AE76" s="1209"/>
    </row>
    <row r="77" spans="1:31" s="1095" customFormat="1" ht="15">
      <c r="A77" s="1351"/>
      <c r="B77" s="1344">
        <f>B12</f>
        <v>111</v>
      </c>
      <c r="C77" s="1352"/>
      <c r="D77" s="1352"/>
      <c r="E77" s="1352"/>
      <c r="F77" s="1352"/>
      <c r="G77" s="1352"/>
      <c r="H77" s="1353"/>
      <c r="I77" s="1353"/>
      <c r="J77" s="1353"/>
      <c r="K77" s="1353"/>
      <c r="L77" s="1401"/>
      <c r="M77" s="1402"/>
      <c r="N77" s="1403"/>
      <c r="O77" s="1403"/>
      <c r="P77" s="1404"/>
      <c r="Q77" s="1435"/>
      <c r="R77" s="1436"/>
      <c r="S77" s="1436"/>
      <c r="T77" s="1436"/>
      <c r="U77" s="1436"/>
      <c r="V77" s="1436"/>
      <c r="W77" s="1436"/>
      <c r="X77" s="1436"/>
      <c r="Y77" s="1436"/>
      <c r="Z77" s="1436"/>
      <c r="AA77" s="1436"/>
      <c r="AB77" s="1436"/>
      <c r="AC77" s="1436"/>
      <c r="AD77" s="1436"/>
      <c r="AE77" s="1436"/>
    </row>
    <row r="78" spans="1:31" s="1095" customFormat="1" ht="15">
      <c r="A78" s="1351"/>
      <c r="B78" s="1346"/>
      <c r="C78" s="1354"/>
      <c r="D78" s="1343"/>
      <c r="E78" s="1343"/>
      <c r="F78" s="1343"/>
      <c r="G78" s="1343"/>
      <c r="H78" s="1343"/>
      <c r="I78" s="1343"/>
      <c r="J78" s="1343"/>
      <c r="K78" s="1343"/>
      <c r="L78" s="1343"/>
      <c r="M78" s="1392"/>
      <c r="N78" s="1393"/>
      <c r="O78" s="1393"/>
      <c r="P78" s="1404"/>
      <c r="Q78" s="1435"/>
      <c r="R78" s="1436"/>
      <c r="S78" s="1436"/>
      <c r="T78" s="1436"/>
      <c r="U78" s="1436"/>
      <c r="V78" s="1436"/>
      <c r="W78" s="1436"/>
      <c r="X78" s="1436"/>
      <c r="Y78" s="1436"/>
      <c r="Z78" s="1436"/>
      <c r="AA78" s="1436"/>
      <c r="AB78" s="1436"/>
      <c r="AC78" s="1436"/>
      <c r="AD78" s="1436"/>
      <c r="AE78" s="1436"/>
    </row>
    <row r="79" spans="1:31" s="1095" customFormat="1" ht="15">
      <c r="A79" s="1351"/>
      <c r="B79" s="1344">
        <f>B13</f>
        <v>111</v>
      </c>
      <c r="C79" s="1352"/>
      <c r="D79" s="1352"/>
      <c r="E79" s="1352"/>
      <c r="F79" s="1352"/>
      <c r="G79" s="1352"/>
      <c r="H79" s="1353"/>
      <c r="I79" s="1353"/>
      <c r="J79" s="1353"/>
      <c r="K79" s="1353"/>
      <c r="L79" s="1401"/>
      <c r="M79" s="1402"/>
      <c r="N79" s="1403"/>
      <c r="O79" s="1403"/>
      <c r="P79" s="1280"/>
      <c r="Q79" s="1437"/>
      <c r="R79" s="1436"/>
      <c r="S79" s="1436"/>
      <c r="T79" s="1436"/>
      <c r="U79" s="1436"/>
      <c r="V79" s="1436"/>
      <c r="W79" s="1436"/>
      <c r="X79" s="1436"/>
      <c r="Y79" s="1436"/>
      <c r="Z79" s="1436"/>
      <c r="AA79" s="1436"/>
      <c r="AB79" s="1436"/>
      <c r="AC79" s="1436"/>
      <c r="AD79" s="1436"/>
      <c r="AE79" s="1436"/>
    </row>
    <row r="80" spans="1:31" s="1095" customFormat="1" ht="15">
      <c r="A80" s="1351"/>
      <c r="B80" s="1346"/>
      <c r="C80" s="1354"/>
      <c r="D80" s="1354"/>
      <c r="E80" s="1354"/>
      <c r="F80" s="1354"/>
      <c r="G80" s="1354"/>
      <c r="H80" s="1355"/>
      <c r="I80" s="1355"/>
      <c r="J80" s="1355"/>
      <c r="K80" s="1355"/>
      <c r="L80" s="1355"/>
      <c r="M80" s="1405"/>
      <c r="N80" s="1403"/>
      <c r="O80" s="1403"/>
      <c r="P80" s="1404"/>
      <c r="Q80" s="1435"/>
      <c r="R80" s="1436"/>
      <c r="S80" s="1436"/>
      <c r="T80" s="1436"/>
      <c r="U80" s="1436"/>
      <c r="V80" s="1436"/>
      <c r="W80" s="1436"/>
      <c r="X80" s="1436"/>
      <c r="Y80" s="1436"/>
      <c r="Z80" s="1436"/>
      <c r="AA80" s="1436"/>
      <c r="AB80" s="1436"/>
      <c r="AC80" s="1436"/>
      <c r="AD80" s="1436"/>
      <c r="AE80" s="1436"/>
    </row>
    <row r="81" spans="1:31" s="1095" customFormat="1" ht="15">
      <c r="A81" s="1351"/>
      <c r="B81" s="1348">
        <f>B14</f>
        <v>111</v>
      </c>
      <c r="C81" s="1336"/>
      <c r="D81" s="1336"/>
      <c r="E81" s="1336"/>
      <c r="F81" s="1336"/>
      <c r="G81" s="1336"/>
      <c r="H81" s="1356"/>
      <c r="I81" s="1356"/>
      <c r="J81" s="1356"/>
      <c r="K81" s="1356"/>
      <c r="L81" s="1406"/>
      <c r="M81" s="1407"/>
      <c r="N81" s="1403"/>
      <c r="O81" s="1403"/>
      <c r="P81" s="1408"/>
      <c r="Q81" s="1435"/>
      <c r="R81" s="1436"/>
      <c r="S81" s="1436"/>
      <c r="T81" s="1436"/>
      <c r="U81" s="1436"/>
      <c r="V81" s="1436"/>
      <c r="W81" s="1436"/>
      <c r="X81" s="1436"/>
      <c r="Y81" s="1436"/>
      <c r="Z81" s="1436"/>
      <c r="AA81" s="1436"/>
      <c r="AB81" s="1436"/>
      <c r="AC81" s="1436"/>
      <c r="AD81" s="1436"/>
      <c r="AE81" s="1436"/>
    </row>
    <row r="82" spans="1:31" s="1095" customFormat="1" ht="15">
      <c r="A82" s="1357"/>
      <c r="B82" s="1358"/>
      <c r="C82" s="1359"/>
      <c r="D82" s="1359"/>
      <c r="E82" s="1359"/>
      <c r="F82" s="1359"/>
      <c r="G82" s="1359"/>
      <c r="H82" s="1360"/>
      <c r="I82" s="1360"/>
      <c r="J82" s="1360"/>
      <c r="K82" s="1360"/>
      <c r="L82" s="1360"/>
      <c r="M82" s="1409"/>
      <c r="N82" s="1403"/>
      <c r="O82" s="1403"/>
      <c r="P82" s="1404"/>
      <c r="Q82" s="1435"/>
      <c r="R82" s="1436"/>
      <c r="S82" s="1436"/>
      <c r="T82" s="1436"/>
      <c r="U82" s="1436"/>
      <c r="V82" s="1436"/>
      <c r="W82" s="1436"/>
      <c r="X82" s="1436"/>
      <c r="Y82" s="1436"/>
      <c r="Z82" s="1436"/>
      <c r="AA82" s="1436"/>
      <c r="AB82" s="1436"/>
      <c r="AC82" s="1436"/>
      <c r="AD82" s="1436"/>
      <c r="AE82" s="1436"/>
    </row>
    <row r="83" spans="1:31">
      <c r="A83" s="1339" t="s">
        <v>1423</v>
      </c>
      <c r="B83" s="1340" t="s">
        <v>2015</v>
      </c>
      <c r="C83" s="1361" t="s">
        <v>1463</v>
      </c>
      <c r="D83" s="1361" t="s">
        <v>1464</v>
      </c>
      <c r="E83" s="1361" t="s">
        <v>1465</v>
      </c>
      <c r="F83" s="1361" t="s">
        <v>1466</v>
      </c>
      <c r="G83" s="1361" t="s">
        <v>1467</v>
      </c>
      <c r="H83" s="1362"/>
      <c r="I83" s="1362"/>
      <c r="J83" s="1362"/>
      <c r="K83" s="1410"/>
      <c r="L83" s="1411"/>
      <c r="M83" s="1412"/>
      <c r="N83" s="1390"/>
      <c r="O83" s="1390"/>
      <c r="P83" s="1413"/>
      <c r="Q83" s="1314"/>
      <c r="R83" s="1209"/>
      <c r="S83" s="1209"/>
      <c r="T83" s="1209"/>
      <c r="U83" s="1209"/>
      <c r="V83" s="1209"/>
      <c r="W83" s="1209"/>
      <c r="X83" s="1209"/>
      <c r="Y83" s="1209"/>
      <c r="Z83" s="1209"/>
      <c r="AA83" s="1209"/>
      <c r="AB83" s="1209"/>
      <c r="AC83" s="1209"/>
      <c r="AD83" s="1209"/>
      <c r="AE83" s="1209"/>
    </row>
    <row r="84" spans="1:31" ht="15">
      <c r="A84" s="1341"/>
      <c r="B84" s="1346"/>
      <c r="C84" s="1347">
        <v>100</v>
      </c>
      <c r="D84" s="1347">
        <f>C84-$K15</f>
        <v>100</v>
      </c>
      <c r="E84" s="1347">
        <f>D84-$K15</f>
        <v>100</v>
      </c>
      <c r="F84" s="1347">
        <f>E84-$K15</f>
        <v>100</v>
      </c>
      <c r="G84" s="1347">
        <f>F84-$K15</f>
        <v>100</v>
      </c>
      <c r="H84" s="1347"/>
      <c r="I84" s="1347"/>
      <c r="J84" s="1347"/>
      <c r="K84" s="1347"/>
      <c r="L84" s="1347"/>
      <c r="M84" s="1397"/>
      <c r="N84" s="1393"/>
      <c r="O84" s="1393"/>
      <c r="P84" s="1391"/>
      <c r="Q84" s="1314"/>
      <c r="R84" s="1209"/>
      <c r="S84" s="1209"/>
      <c r="T84" s="1209"/>
      <c r="U84" s="1209"/>
      <c r="V84" s="1209"/>
      <c r="W84" s="1209"/>
      <c r="X84" s="1209"/>
      <c r="Y84" s="1209"/>
      <c r="Z84" s="1209"/>
      <c r="AA84" s="1209"/>
      <c r="AB84" s="1209"/>
      <c r="AC84" s="1209"/>
      <c r="AD84" s="1209"/>
      <c r="AE84" s="1209"/>
    </row>
    <row r="85" spans="1:31" ht="15">
      <c r="A85" s="1341"/>
      <c r="B85" s="1344" t="s">
        <v>1424</v>
      </c>
      <c r="C85" s="1363" t="s">
        <v>1463</v>
      </c>
      <c r="D85" s="1363" t="s">
        <v>1464</v>
      </c>
      <c r="E85" s="1363" t="s">
        <v>1465</v>
      </c>
      <c r="F85" s="1363" t="s">
        <v>1466</v>
      </c>
      <c r="G85" s="1363" t="s">
        <v>1467</v>
      </c>
      <c r="H85" s="1345"/>
      <c r="I85" s="1345"/>
      <c r="J85" s="1345"/>
      <c r="K85" s="1394"/>
      <c r="L85" s="1395"/>
      <c r="M85" s="1396"/>
      <c r="N85" s="1390"/>
      <c r="O85" s="1390"/>
      <c r="P85" s="1391"/>
      <c r="Q85" s="1314"/>
      <c r="R85" s="1209"/>
      <c r="S85" s="1209"/>
      <c r="T85" s="1209"/>
      <c r="U85" s="1209"/>
      <c r="V85" s="1209"/>
      <c r="W85" s="1209"/>
      <c r="X85" s="1209"/>
      <c r="Y85" s="1209"/>
      <c r="Z85" s="1209"/>
      <c r="AA85" s="1209"/>
      <c r="AB85" s="1209"/>
      <c r="AC85" s="1209"/>
      <c r="AD85" s="1209"/>
      <c r="AE85" s="1209"/>
    </row>
    <row r="86" spans="1:31" ht="15">
      <c r="A86" s="1341"/>
      <c r="B86" s="1346"/>
      <c r="C86" s="1347">
        <v>100</v>
      </c>
      <c r="D86" s="1347">
        <f>C86-$K17</f>
        <v>100</v>
      </c>
      <c r="E86" s="1347">
        <f>D86-$K17</f>
        <v>100</v>
      </c>
      <c r="F86" s="1347">
        <f>E86-$K17</f>
        <v>100</v>
      </c>
      <c r="G86" s="1347">
        <f>F86-$K17</f>
        <v>100</v>
      </c>
      <c r="H86" s="1347"/>
      <c r="I86" s="1347"/>
      <c r="J86" s="1347"/>
      <c r="K86" s="1347"/>
      <c r="L86" s="1347"/>
      <c r="M86" s="1397"/>
      <c r="N86" s="1393"/>
      <c r="O86" s="1393"/>
      <c r="P86" s="1391"/>
      <c r="Q86" s="1314"/>
      <c r="R86" s="1209"/>
      <c r="S86" s="1209"/>
      <c r="T86" s="1209"/>
      <c r="U86" s="1209"/>
      <c r="V86" s="1209"/>
      <c r="W86" s="1209"/>
      <c r="X86" s="1209"/>
      <c r="Y86" s="1209"/>
      <c r="Z86" s="1209"/>
      <c r="AA86" s="1209"/>
      <c r="AB86" s="1209"/>
      <c r="AC86" s="1209"/>
      <c r="AD86" s="1209"/>
      <c r="AE86" s="1209"/>
    </row>
    <row r="87" spans="1:31" s="1093" customFormat="1" ht="15">
      <c r="A87" s="1364"/>
      <c r="B87" s="1344" t="s">
        <v>2025</v>
      </c>
      <c r="C87" s="1361" t="s">
        <v>1463</v>
      </c>
      <c r="D87" s="1361" t="s">
        <v>1464</v>
      </c>
      <c r="E87" s="1361" t="s">
        <v>1465</v>
      </c>
      <c r="F87" s="1361" t="s">
        <v>1466</v>
      </c>
      <c r="G87" s="1361" t="s">
        <v>1467</v>
      </c>
      <c r="H87" s="1363"/>
      <c r="I87" s="1363"/>
      <c r="J87" s="1363"/>
      <c r="K87" s="1363"/>
      <c r="L87" s="1414"/>
      <c r="M87" s="1415"/>
      <c r="N87" s="1384"/>
      <c r="O87" s="1384"/>
      <c r="P87" s="1391"/>
      <c r="Q87" s="1314"/>
      <c r="R87" s="1434"/>
      <c r="S87" s="1434"/>
      <c r="T87" s="1434"/>
      <c r="U87" s="1434"/>
      <c r="V87" s="1434"/>
      <c r="W87" s="1434"/>
      <c r="X87" s="1434"/>
      <c r="Y87" s="1434"/>
      <c r="Z87" s="1434"/>
      <c r="AA87" s="1434"/>
      <c r="AB87" s="1434"/>
      <c r="AC87" s="1434"/>
      <c r="AD87" s="1434"/>
      <c r="AE87" s="1434"/>
    </row>
    <row r="88" spans="1:31" s="1093" customFormat="1" ht="15">
      <c r="A88" s="1364"/>
      <c r="B88" s="1346"/>
      <c r="C88" s="1365">
        <v>100</v>
      </c>
      <c r="D88" s="1347">
        <f>C88-$K19</f>
        <v>100</v>
      </c>
      <c r="E88" s="1347">
        <f>D88-$K19</f>
        <v>100</v>
      </c>
      <c r="F88" s="1347">
        <f>E88-$K19</f>
        <v>100</v>
      </c>
      <c r="G88" s="1347">
        <f>F88-$K19</f>
        <v>100</v>
      </c>
      <c r="H88" s="1347"/>
      <c r="I88" s="1347"/>
      <c r="J88" s="1347"/>
      <c r="K88" s="1347"/>
      <c r="L88" s="1347"/>
      <c r="M88" s="1397"/>
      <c r="N88" s="1393"/>
      <c r="O88" s="1393"/>
      <c r="P88" s="1391"/>
      <c r="Q88" s="1314"/>
      <c r="R88" s="1434"/>
      <c r="S88" s="1434"/>
      <c r="T88" s="1434"/>
      <c r="U88" s="1434"/>
      <c r="V88" s="1434"/>
      <c r="W88" s="1434"/>
      <c r="X88" s="1434"/>
      <c r="Y88" s="1434"/>
      <c r="Z88" s="1434"/>
      <c r="AA88" s="1434"/>
      <c r="AB88" s="1434"/>
      <c r="AC88" s="1434"/>
      <c r="AD88" s="1434"/>
      <c r="AE88" s="1434"/>
    </row>
    <row r="89" spans="1:31" s="1093" customFormat="1" ht="27">
      <c r="A89" s="1364"/>
      <c r="B89" s="1344" t="s">
        <v>2026</v>
      </c>
      <c r="C89" s="1361" t="s">
        <v>1463</v>
      </c>
      <c r="D89" s="1361" t="s">
        <v>1464</v>
      </c>
      <c r="E89" s="1361" t="s">
        <v>1465</v>
      </c>
      <c r="F89" s="1361" t="s">
        <v>1466</v>
      </c>
      <c r="G89" s="1361" t="s">
        <v>1467</v>
      </c>
      <c r="H89" s="1363"/>
      <c r="I89" s="1363"/>
      <c r="J89" s="1363"/>
      <c r="K89" s="1363"/>
      <c r="L89" s="1363"/>
      <c r="M89" s="1415"/>
      <c r="N89" s="1384"/>
      <c r="O89" s="1384"/>
      <c r="P89" s="1391"/>
      <c r="Q89" s="1314"/>
      <c r="R89" s="1434"/>
      <c r="S89" s="1434"/>
      <c r="T89" s="1434"/>
      <c r="U89" s="1434"/>
      <c r="V89" s="1434"/>
      <c r="W89" s="1434"/>
      <c r="X89" s="1434"/>
      <c r="Y89" s="1434"/>
      <c r="Z89" s="1434"/>
      <c r="AA89" s="1434"/>
      <c r="AB89" s="1434"/>
      <c r="AC89" s="1434"/>
      <c r="AD89" s="1434"/>
      <c r="AE89" s="1434"/>
    </row>
    <row r="90" spans="1:31" s="1093" customFormat="1" ht="15">
      <c r="A90" s="1364"/>
      <c r="B90" s="1346"/>
      <c r="C90" s="1347">
        <v>100</v>
      </c>
      <c r="D90" s="1347">
        <f>C90-$K21</f>
        <v>100</v>
      </c>
      <c r="E90" s="1347">
        <f>D90-$K21</f>
        <v>100</v>
      </c>
      <c r="F90" s="1347">
        <f>E90-$K21</f>
        <v>100</v>
      </c>
      <c r="G90" s="1347">
        <f>F90-$K21</f>
        <v>100</v>
      </c>
      <c r="H90" s="1347"/>
      <c r="I90" s="1347"/>
      <c r="J90" s="1347"/>
      <c r="K90" s="1347"/>
      <c r="L90" s="1347"/>
      <c r="M90" s="1397"/>
      <c r="N90" s="1393"/>
      <c r="O90" s="1393"/>
      <c r="P90" s="1391"/>
      <c r="Q90" s="1314"/>
      <c r="R90" s="1434"/>
      <c r="S90" s="1434"/>
      <c r="T90" s="1434"/>
      <c r="U90" s="1434"/>
      <c r="V90" s="1434"/>
      <c r="W90" s="1434"/>
      <c r="X90" s="1434"/>
      <c r="Y90" s="1434"/>
      <c r="Z90" s="1434"/>
      <c r="AA90" s="1434"/>
      <c r="AB90" s="1434"/>
      <c r="AC90" s="1434"/>
      <c r="AD90" s="1434"/>
      <c r="AE90" s="1434"/>
    </row>
    <row r="91" spans="1:31" s="1095" customFormat="1" ht="15">
      <c r="A91" s="1351"/>
      <c r="B91" s="1344" t="s">
        <v>1427</v>
      </c>
      <c r="C91" s="1361" t="s">
        <v>1463</v>
      </c>
      <c r="D91" s="1361" t="s">
        <v>1464</v>
      </c>
      <c r="E91" s="1361" t="s">
        <v>1465</v>
      </c>
      <c r="F91" s="1361" t="s">
        <v>1466</v>
      </c>
      <c r="G91" s="1361" t="s">
        <v>1467</v>
      </c>
      <c r="H91" s="1366"/>
      <c r="I91" s="1366"/>
      <c r="J91" s="1366"/>
      <c r="K91" s="1366"/>
      <c r="L91" s="1416"/>
      <c r="M91" s="1417"/>
      <c r="N91" s="1403"/>
      <c r="O91" s="1403"/>
      <c r="P91" s="1404"/>
      <c r="Q91" s="1435"/>
      <c r="R91" s="1436"/>
      <c r="S91" s="1436"/>
      <c r="T91" s="1436"/>
      <c r="U91" s="1436"/>
      <c r="V91" s="1436"/>
      <c r="W91" s="1436"/>
      <c r="X91" s="1436"/>
      <c r="Y91" s="1436"/>
      <c r="Z91" s="1436"/>
      <c r="AA91" s="1436"/>
      <c r="AB91" s="1436"/>
      <c r="AC91" s="1436"/>
      <c r="AD91" s="1436"/>
      <c r="AE91" s="1436"/>
    </row>
    <row r="92" spans="1:31" s="1095" customFormat="1" ht="15">
      <c r="A92" s="1351"/>
      <c r="B92" s="1346"/>
      <c r="C92" s="1347">
        <v>100</v>
      </c>
      <c r="D92" s="1347">
        <f>C92-$K23</f>
        <v>100</v>
      </c>
      <c r="E92" s="1347">
        <f>D92-$K23</f>
        <v>100</v>
      </c>
      <c r="F92" s="1347">
        <f>E92-$K23</f>
        <v>100</v>
      </c>
      <c r="G92" s="1347">
        <f>F92-$K23</f>
        <v>100</v>
      </c>
      <c r="H92" s="1367"/>
      <c r="I92" s="1367"/>
      <c r="J92" s="1367"/>
      <c r="K92" s="1367"/>
      <c r="L92" s="1367"/>
      <c r="M92" s="1418"/>
      <c r="N92" s="1403"/>
      <c r="O92" s="1403"/>
      <c r="P92" s="1404"/>
      <c r="Q92" s="1435"/>
      <c r="R92" s="1436"/>
      <c r="S92" s="1436"/>
      <c r="T92" s="1436"/>
      <c r="U92" s="1436"/>
      <c r="V92" s="1436"/>
      <c r="W92" s="1436"/>
      <c r="X92" s="1436"/>
      <c r="Y92" s="1436"/>
      <c r="Z92" s="1436"/>
      <c r="AA92" s="1436"/>
      <c r="AB92" s="1436"/>
      <c r="AC92" s="1436"/>
      <c r="AD92" s="1436"/>
      <c r="AE92" s="1436"/>
    </row>
    <row r="93" spans="1:31" s="1095" customFormat="1" ht="15">
      <c r="A93" s="1351"/>
      <c r="B93" s="1348" t="s">
        <v>1429</v>
      </c>
      <c r="C93" s="1368" t="s">
        <v>1468</v>
      </c>
      <c r="D93" s="1368" t="s">
        <v>1469</v>
      </c>
      <c r="E93" s="1368" t="s">
        <v>1470</v>
      </c>
      <c r="F93" s="1368" t="s">
        <v>1471</v>
      </c>
      <c r="G93" s="1368" t="s">
        <v>1472</v>
      </c>
      <c r="H93" s="1366"/>
      <c r="I93" s="1366"/>
      <c r="J93" s="1366"/>
      <c r="K93" s="1366"/>
      <c r="L93" s="1366"/>
      <c r="M93" s="1417"/>
      <c r="N93" s="1403"/>
      <c r="O93" s="1403"/>
      <c r="P93" s="1404"/>
      <c r="Q93" s="1435"/>
      <c r="R93" s="1436"/>
      <c r="S93" s="1436"/>
      <c r="T93" s="1436"/>
      <c r="U93" s="1436"/>
      <c r="V93" s="1436"/>
      <c r="W93" s="1436"/>
      <c r="X93" s="1436"/>
      <c r="Y93" s="1436"/>
      <c r="Z93" s="1436"/>
      <c r="AA93" s="1436"/>
      <c r="AB93" s="1436"/>
      <c r="AC93" s="1436"/>
      <c r="AD93" s="1436"/>
      <c r="AE93" s="1436"/>
    </row>
    <row r="94" spans="1:31" s="1095" customFormat="1" ht="15">
      <c r="A94" s="1351"/>
      <c r="B94" s="1348"/>
      <c r="C94" s="1347">
        <v>100</v>
      </c>
      <c r="D94" s="1347">
        <f>C94-$K25</f>
        <v>100</v>
      </c>
      <c r="E94" s="1347">
        <f>D94-$K25</f>
        <v>100</v>
      </c>
      <c r="F94" s="1347">
        <f>E94-$K25</f>
        <v>100</v>
      </c>
      <c r="G94" s="1347">
        <f>F94-$K25</f>
        <v>100</v>
      </c>
      <c r="H94" s="1350"/>
      <c r="I94" s="1350"/>
      <c r="J94" s="1350"/>
      <c r="K94" s="1350"/>
      <c r="L94" s="1350"/>
      <c r="M94" s="1419"/>
      <c r="N94" s="1403"/>
      <c r="O94" s="1403"/>
      <c r="P94" s="1404"/>
      <c r="Q94" s="1435"/>
      <c r="R94" s="1436"/>
      <c r="S94" s="1436"/>
      <c r="T94" s="1436"/>
      <c r="U94" s="1436"/>
      <c r="V94" s="1436"/>
      <c r="W94" s="1436"/>
      <c r="X94" s="1436"/>
      <c r="Y94" s="1436"/>
      <c r="Z94" s="1436"/>
      <c r="AA94" s="1436"/>
      <c r="AB94" s="1436"/>
      <c r="AC94" s="1436"/>
      <c r="AD94" s="1436"/>
      <c r="AE94" s="1436"/>
    </row>
    <row r="95" spans="1:31" ht="15">
      <c r="A95" s="1341"/>
      <c r="B95" s="1344" t="str">
        <f>B27</f>
        <v>临街状况</v>
      </c>
      <c r="C95" s="1345" t="s">
        <v>2060</v>
      </c>
      <c r="D95" s="1345" t="s">
        <v>2061</v>
      </c>
      <c r="E95" s="1345" t="s">
        <v>2062</v>
      </c>
      <c r="F95" s="1345" t="s">
        <v>2063</v>
      </c>
      <c r="G95" s="1345"/>
      <c r="H95" s="1345"/>
      <c r="I95" s="1345"/>
      <c r="J95" s="1345"/>
      <c r="K95" s="1394"/>
      <c r="L95" s="1395"/>
      <c r="M95" s="1396"/>
      <c r="N95" s="1390"/>
      <c r="O95" s="1390"/>
      <c r="P95" s="1391"/>
      <c r="Q95" s="1314"/>
      <c r="R95" s="1209"/>
      <c r="S95" s="1209"/>
      <c r="T95" s="1209"/>
      <c r="U95" s="1209"/>
      <c r="V95" s="1209"/>
      <c r="W95" s="1209"/>
      <c r="X95" s="1209"/>
      <c r="Y95" s="1209"/>
      <c r="Z95" s="1209"/>
      <c r="AA95" s="1209"/>
      <c r="AB95" s="1209"/>
      <c r="AC95" s="1209"/>
      <c r="AD95" s="1209"/>
      <c r="AE95" s="1209"/>
    </row>
    <row r="96" spans="1:31" ht="15">
      <c r="A96" s="1341"/>
      <c r="B96" s="1346"/>
      <c r="C96" s="1347">
        <v>100</v>
      </c>
      <c r="D96" s="1347">
        <f t="shared" ref="D96:M96" si="22">C96-$K27</f>
        <v>100</v>
      </c>
      <c r="E96" s="1347">
        <f t="shared" si="22"/>
        <v>100</v>
      </c>
      <c r="F96" s="1347">
        <f t="shared" si="22"/>
        <v>100</v>
      </c>
      <c r="G96" s="1347">
        <f t="shared" si="22"/>
        <v>100</v>
      </c>
      <c r="H96" s="1347">
        <f t="shared" si="22"/>
        <v>100</v>
      </c>
      <c r="I96" s="1347">
        <f t="shared" si="22"/>
        <v>100</v>
      </c>
      <c r="J96" s="1347">
        <f t="shared" si="22"/>
        <v>100</v>
      </c>
      <c r="K96" s="1347">
        <f t="shared" si="22"/>
        <v>100</v>
      </c>
      <c r="L96" s="1347">
        <f t="shared" si="22"/>
        <v>100</v>
      </c>
      <c r="M96" s="1347">
        <f t="shared" si="22"/>
        <v>100</v>
      </c>
      <c r="N96" s="1393"/>
      <c r="O96" s="1393"/>
      <c r="P96" s="1391"/>
      <c r="Q96" s="1314"/>
      <c r="R96" s="1209"/>
      <c r="S96" s="1209"/>
      <c r="T96" s="1209"/>
      <c r="U96" s="1209"/>
      <c r="V96" s="1209"/>
      <c r="W96" s="1209"/>
      <c r="X96" s="1209"/>
      <c r="Y96" s="1209"/>
      <c r="Z96" s="1209"/>
      <c r="AA96" s="1209"/>
      <c r="AB96" s="1209"/>
      <c r="AC96" s="1209"/>
      <c r="AD96" s="1209"/>
      <c r="AE96" s="1209"/>
    </row>
    <row r="97" spans="1:31" ht="27">
      <c r="A97" s="1341"/>
      <c r="B97" s="1344" t="s">
        <v>2010</v>
      </c>
      <c r="C97" s="1352"/>
      <c r="D97" s="1352"/>
      <c r="E97" s="1352"/>
      <c r="F97" s="1352"/>
      <c r="G97" s="1352"/>
      <c r="H97" s="1369"/>
      <c r="I97" s="1369"/>
      <c r="J97" s="1369"/>
      <c r="K97" s="1420"/>
      <c r="L97" s="1421"/>
      <c r="M97" s="1422"/>
      <c r="N97" s="1390"/>
      <c r="O97" s="1390"/>
      <c r="P97" s="1391"/>
      <c r="Q97" s="1314"/>
      <c r="R97" s="1209"/>
      <c r="S97" s="1209"/>
      <c r="T97" s="1209"/>
      <c r="U97" s="1209"/>
      <c r="V97" s="1209"/>
      <c r="W97" s="1209"/>
      <c r="X97" s="1209"/>
      <c r="Y97" s="1209"/>
      <c r="Z97" s="1209"/>
      <c r="AA97" s="1209"/>
      <c r="AB97" s="1209"/>
      <c r="AC97" s="1209"/>
      <c r="AD97" s="1209"/>
      <c r="AE97" s="1209"/>
    </row>
    <row r="98" spans="1:31" ht="15">
      <c r="A98" s="1341"/>
      <c r="B98" s="1346"/>
      <c r="C98" s="1347">
        <v>100</v>
      </c>
      <c r="D98" s="1347">
        <f t="shared" ref="D98:M98" si="23">C98-$K28</f>
        <v>100</v>
      </c>
      <c r="E98" s="1347">
        <f t="shared" si="23"/>
        <v>100</v>
      </c>
      <c r="F98" s="1347">
        <f t="shared" si="23"/>
        <v>100</v>
      </c>
      <c r="G98" s="1347">
        <f t="shared" si="23"/>
        <v>100</v>
      </c>
      <c r="H98" s="1347">
        <f t="shared" si="23"/>
        <v>100</v>
      </c>
      <c r="I98" s="1347">
        <f t="shared" si="23"/>
        <v>100</v>
      </c>
      <c r="J98" s="1347">
        <f t="shared" si="23"/>
        <v>100</v>
      </c>
      <c r="K98" s="1347">
        <f t="shared" si="23"/>
        <v>100</v>
      </c>
      <c r="L98" s="1347">
        <f t="shared" si="23"/>
        <v>100</v>
      </c>
      <c r="M98" s="1347">
        <f t="shared" si="23"/>
        <v>100</v>
      </c>
      <c r="N98" s="1393"/>
      <c r="O98" s="1393"/>
      <c r="P98" s="1391"/>
      <c r="Q98" s="1314"/>
      <c r="R98" s="1209"/>
      <c r="S98" s="1209"/>
      <c r="T98" s="1209"/>
      <c r="U98" s="1209"/>
      <c r="V98" s="1209"/>
      <c r="W98" s="1209"/>
      <c r="X98" s="1209"/>
      <c r="Y98" s="1209"/>
      <c r="Z98" s="1209"/>
      <c r="AA98" s="1209"/>
      <c r="AB98" s="1209"/>
      <c r="AC98" s="1209"/>
      <c r="AD98" s="1209"/>
      <c r="AE98" s="1209"/>
    </row>
    <row r="99" spans="1:31" ht="15">
      <c r="A99" s="1341"/>
      <c r="B99" s="1344" t="s">
        <v>2027</v>
      </c>
      <c r="C99" s="1369"/>
      <c r="D99" s="1369"/>
      <c r="E99" s="1369"/>
      <c r="F99" s="1369"/>
      <c r="G99" s="1369"/>
      <c r="H99" s="1369"/>
      <c r="I99" s="1369"/>
      <c r="J99" s="1369"/>
      <c r="K99" s="1420"/>
      <c r="L99" s="1421"/>
      <c r="M99" s="1422"/>
      <c r="N99" s="1390"/>
      <c r="O99" s="1390"/>
      <c r="P99" s="1391"/>
      <c r="Q99" s="1314"/>
      <c r="R99" s="1209"/>
      <c r="S99" s="1209"/>
      <c r="T99" s="1209"/>
      <c r="U99" s="1209"/>
      <c r="V99" s="1209"/>
      <c r="W99" s="1209"/>
      <c r="X99" s="1209"/>
      <c r="Y99" s="1209"/>
      <c r="Z99" s="1209"/>
      <c r="AA99" s="1209"/>
      <c r="AB99" s="1209"/>
      <c r="AC99" s="1209"/>
      <c r="AD99" s="1209"/>
      <c r="AE99" s="1209"/>
    </row>
    <row r="100" spans="1:31" ht="15">
      <c r="A100" s="1341"/>
      <c r="B100" s="1346"/>
      <c r="C100" s="1347">
        <v>100</v>
      </c>
      <c r="D100" s="1347">
        <f t="shared" ref="D100:M100" si="24">C100-$K30</f>
        <v>100</v>
      </c>
      <c r="E100" s="1347">
        <f t="shared" si="24"/>
        <v>100</v>
      </c>
      <c r="F100" s="1347">
        <f t="shared" si="24"/>
        <v>100</v>
      </c>
      <c r="G100" s="1347">
        <f t="shared" si="24"/>
        <v>100</v>
      </c>
      <c r="H100" s="1347">
        <f t="shared" si="24"/>
        <v>100</v>
      </c>
      <c r="I100" s="1347">
        <f t="shared" si="24"/>
        <v>100</v>
      </c>
      <c r="J100" s="1347">
        <f t="shared" si="24"/>
        <v>100</v>
      </c>
      <c r="K100" s="1347">
        <f t="shared" si="24"/>
        <v>100</v>
      </c>
      <c r="L100" s="1347">
        <f t="shared" si="24"/>
        <v>100</v>
      </c>
      <c r="M100" s="1347">
        <f t="shared" si="24"/>
        <v>100</v>
      </c>
      <c r="N100" s="1393"/>
      <c r="O100" s="1393"/>
      <c r="P100" s="1391"/>
      <c r="Q100" s="1314"/>
      <c r="R100" s="1209"/>
      <c r="S100" s="1209"/>
      <c r="T100" s="1209"/>
      <c r="U100" s="1209"/>
      <c r="V100" s="1209"/>
      <c r="W100" s="1209"/>
      <c r="X100" s="1209"/>
      <c r="Y100" s="1209"/>
      <c r="Z100" s="1209"/>
      <c r="AA100" s="1209"/>
      <c r="AB100" s="1209"/>
      <c r="AC100" s="1209"/>
      <c r="AD100" s="1209"/>
      <c r="AE100" s="1209"/>
    </row>
    <row r="101" spans="1:31" ht="15">
      <c r="A101" s="1341"/>
      <c r="B101" s="1348">
        <f>B31</f>
        <v>111</v>
      </c>
      <c r="C101" s="1352"/>
      <c r="D101" s="1352"/>
      <c r="E101" s="1352"/>
      <c r="F101" s="1352"/>
      <c r="G101" s="1370"/>
      <c r="H101" s="1370"/>
      <c r="I101" s="1370"/>
      <c r="J101" s="1370"/>
      <c r="K101" s="1423"/>
      <c r="L101" s="1424"/>
      <c r="M101" s="1425"/>
      <c r="N101" s="1390"/>
      <c r="O101" s="1390"/>
      <c r="P101" s="1391"/>
      <c r="Q101" s="1314"/>
      <c r="R101" s="1209"/>
      <c r="S101" s="1209"/>
      <c r="T101" s="1209"/>
      <c r="U101" s="1209"/>
      <c r="V101" s="1209"/>
      <c r="W101" s="1209"/>
      <c r="X101" s="1209"/>
      <c r="Y101" s="1209"/>
      <c r="Z101" s="1209"/>
      <c r="AA101" s="1209"/>
      <c r="AB101" s="1209"/>
      <c r="AC101" s="1209"/>
      <c r="AD101" s="1209"/>
      <c r="AE101" s="1209"/>
    </row>
    <row r="102" spans="1:31" ht="15">
      <c r="A102" s="1341"/>
      <c r="B102" s="1358"/>
      <c r="C102" s="1354"/>
      <c r="D102" s="1343"/>
      <c r="E102" s="1343"/>
      <c r="F102" s="1343"/>
      <c r="G102" s="1371"/>
      <c r="H102" s="1371"/>
      <c r="I102" s="1371"/>
      <c r="J102" s="1371"/>
      <c r="K102" s="1371"/>
      <c r="L102" s="1371"/>
      <c r="M102" s="1426"/>
      <c r="N102" s="1393"/>
      <c r="O102" s="1393"/>
      <c r="P102" s="1391"/>
      <c r="Q102" s="1314"/>
      <c r="R102" s="1209"/>
      <c r="S102" s="1209"/>
      <c r="T102" s="1209"/>
      <c r="U102" s="1209"/>
      <c r="V102" s="1209"/>
      <c r="W102" s="1209"/>
      <c r="X102" s="1209"/>
      <c r="Y102" s="1209"/>
      <c r="Z102" s="1209"/>
      <c r="AA102" s="1209"/>
      <c r="AB102" s="1209"/>
      <c r="AC102" s="1209"/>
      <c r="AD102" s="1209"/>
      <c r="AE102" s="1209"/>
    </row>
    <row r="103" spans="1:31">
      <c r="A103" s="1175"/>
      <c r="B103" s="1344">
        <f>B32</f>
        <v>111</v>
      </c>
      <c r="C103" s="1352"/>
      <c r="D103" s="1352"/>
      <c r="E103" s="1352"/>
      <c r="F103" s="1352"/>
      <c r="G103" s="1369"/>
      <c r="H103" s="1369"/>
      <c r="I103" s="1369"/>
      <c r="J103" s="1369"/>
      <c r="K103" s="1420"/>
      <c r="L103" s="1421"/>
      <c r="M103" s="1422"/>
      <c r="N103" s="1390"/>
      <c r="O103" s="1390"/>
      <c r="P103" s="1391"/>
      <c r="Q103" s="1314"/>
      <c r="R103" s="1209"/>
      <c r="S103" s="1209"/>
      <c r="T103" s="1209"/>
      <c r="U103" s="1209"/>
      <c r="V103" s="1209"/>
      <c r="W103" s="1209"/>
      <c r="X103" s="1209"/>
      <c r="Y103" s="1209"/>
      <c r="Z103" s="1209"/>
      <c r="AA103" s="1209"/>
      <c r="AB103" s="1209"/>
      <c r="AC103" s="1209"/>
      <c r="AD103" s="1209"/>
      <c r="AE103" s="1209"/>
    </row>
    <row r="104" spans="1:31" ht="15">
      <c r="A104" s="1341"/>
      <c r="B104" s="1346"/>
      <c r="C104" s="1354"/>
      <c r="D104" s="1354"/>
      <c r="E104" s="1354"/>
      <c r="F104" s="1354"/>
      <c r="G104" s="1343"/>
      <c r="H104" s="1343"/>
      <c r="I104" s="1343"/>
      <c r="J104" s="1343"/>
      <c r="K104" s="1343"/>
      <c r="L104" s="1343"/>
      <c r="M104" s="1392"/>
      <c r="N104" s="1393"/>
      <c r="O104" s="1393"/>
      <c r="P104" s="1391"/>
      <c r="Q104" s="1314"/>
      <c r="R104" s="1209"/>
      <c r="S104" s="1209"/>
      <c r="T104" s="1209"/>
      <c r="U104" s="1209"/>
      <c r="V104" s="1209"/>
      <c r="W104" s="1209"/>
      <c r="X104" s="1209"/>
      <c r="Y104" s="1209"/>
      <c r="Z104" s="1209"/>
      <c r="AA104" s="1209"/>
      <c r="AB104" s="1209"/>
      <c r="AC104" s="1209"/>
      <c r="AD104" s="1209"/>
      <c r="AE104" s="1209"/>
    </row>
    <row r="105" spans="1:31" s="1095" customFormat="1">
      <c r="A105" s="1372"/>
      <c r="B105" s="1373">
        <f>B33</f>
        <v>111</v>
      </c>
      <c r="C105" s="1336"/>
      <c r="D105" s="1336"/>
      <c r="E105" s="1336"/>
      <c r="F105" s="1336"/>
      <c r="G105" s="1328"/>
      <c r="H105" s="1328"/>
      <c r="I105" s="1328"/>
      <c r="J105" s="1427"/>
      <c r="K105" s="1427"/>
      <c r="L105" s="1428"/>
      <c r="M105" s="1429"/>
      <c r="N105" s="1403"/>
      <c r="O105" s="1403"/>
      <c r="P105" s="1404"/>
      <c r="Q105" s="1435"/>
      <c r="R105" s="1436"/>
      <c r="S105" s="1436"/>
      <c r="T105" s="1436"/>
      <c r="U105" s="1436"/>
      <c r="V105" s="1436"/>
      <c r="W105" s="1436"/>
      <c r="X105" s="1436"/>
      <c r="Y105" s="1436"/>
      <c r="Z105" s="1436"/>
      <c r="AA105" s="1436"/>
      <c r="AB105" s="1436"/>
      <c r="AC105" s="1436"/>
      <c r="AD105" s="1436"/>
      <c r="AE105" s="1436"/>
    </row>
    <row r="106" spans="1:31" s="1095" customFormat="1" ht="15">
      <c r="A106" s="1351"/>
      <c r="B106" s="1348"/>
      <c r="C106" s="1359"/>
      <c r="D106" s="1359"/>
      <c r="E106" s="1359"/>
      <c r="F106" s="1359"/>
      <c r="G106" s="1374"/>
      <c r="H106" s="1374"/>
      <c r="I106" s="1374"/>
      <c r="J106" s="1374"/>
      <c r="K106" s="1374"/>
      <c r="L106" s="1374"/>
      <c r="M106" s="1430"/>
      <c r="N106" s="1393"/>
      <c r="O106" s="1393"/>
      <c r="P106" s="1404"/>
      <c r="Q106" s="1435"/>
      <c r="R106" s="1436"/>
      <c r="S106" s="1436"/>
      <c r="T106" s="1436"/>
      <c r="U106" s="1436"/>
      <c r="V106" s="1436"/>
      <c r="W106" s="1436"/>
      <c r="X106" s="1436"/>
      <c r="Y106" s="1436"/>
      <c r="Z106" s="1436"/>
      <c r="AA106" s="1436"/>
      <c r="AB106" s="1436"/>
      <c r="AC106" s="1436"/>
      <c r="AD106" s="1436"/>
      <c r="AE106" s="1436"/>
    </row>
    <row r="107" spans="1:31">
      <c r="A107" s="1339" t="s">
        <v>1434</v>
      </c>
      <c r="B107" s="1340" t="s">
        <v>2028</v>
      </c>
      <c r="C107" s="1362" t="str">
        <f t="shared" ref="C107:L107" si="25">C108&amp;"(含)"&amp;"-"&amp;D108</f>
        <v>(含)-</v>
      </c>
      <c r="D107" s="1362" t="str">
        <f t="shared" si="25"/>
        <v>(含)-</v>
      </c>
      <c r="E107" s="1362" t="str">
        <f t="shared" si="25"/>
        <v>(含)-</v>
      </c>
      <c r="F107" s="1362" t="str">
        <f t="shared" si="25"/>
        <v>(含)-</v>
      </c>
      <c r="G107" s="1362" t="str">
        <f t="shared" si="25"/>
        <v>(含)-</v>
      </c>
      <c r="H107" s="1362" t="str">
        <f t="shared" si="25"/>
        <v>(含)-</v>
      </c>
      <c r="I107" s="1362" t="str">
        <f t="shared" si="25"/>
        <v>(含)-</v>
      </c>
      <c r="J107" s="1362" t="str">
        <f t="shared" si="25"/>
        <v>(含)-</v>
      </c>
      <c r="K107" s="1431" t="str">
        <f t="shared" si="25"/>
        <v>(含)-</v>
      </c>
      <c r="L107" s="1431" t="str">
        <f t="shared" si="25"/>
        <v>(含)-</v>
      </c>
      <c r="M107" s="1432" t="str">
        <f>M108&amp;"(含)"&amp;"-"&amp;P108</f>
        <v>(含)-</v>
      </c>
      <c r="N107" s="1390"/>
      <c r="O107" s="1390"/>
      <c r="P107" s="1391"/>
      <c r="Q107" s="1314"/>
      <c r="R107" s="1209"/>
      <c r="S107" s="1209"/>
      <c r="T107" s="1209"/>
      <c r="U107" s="1209"/>
      <c r="V107" s="1209"/>
      <c r="W107" s="1209"/>
      <c r="X107" s="1209"/>
      <c r="Y107" s="1209"/>
      <c r="Z107" s="1209"/>
      <c r="AA107" s="1209"/>
      <c r="AB107" s="1209"/>
      <c r="AC107" s="1209"/>
      <c r="AD107" s="1209"/>
      <c r="AE107" s="1209"/>
    </row>
    <row r="108" spans="1:31" ht="15">
      <c r="A108" s="1341"/>
      <c r="B108" s="1348"/>
      <c r="C108" s="1328"/>
      <c r="D108" s="1328"/>
      <c r="E108" s="1328"/>
      <c r="F108" s="1328"/>
      <c r="G108" s="1328"/>
      <c r="H108" s="1328"/>
      <c r="I108" s="1328"/>
      <c r="J108" s="1427"/>
      <c r="K108" s="1427"/>
      <c r="L108" s="1428"/>
      <c r="M108" s="1429"/>
      <c r="N108" s="1390"/>
      <c r="O108" s="1390"/>
      <c r="P108" s="1391"/>
      <c r="Q108" s="1314"/>
      <c r="R108" s="1209"/>
      <c r="S108" s="1209"/>
      <c r="T108" s="1209"/>
      <c r="U108" s="1209"/>
      <c r="V108" s="1209"/>
      <c r="W108" s="1209"/>
      <c r="X108" s="1209"/>
      <c r="Y108" s="1209"/>
      <c r="Z108" s="1209"/>
      <c r="AA108" s="1209"/>
      <c r="AB108" s="1209"/>
      <c r="AC108" s="1209"/>
      <c r="AD108" s="1209"/>
      <c r="AE108" s="1209"/>
    </row>
    <row r="109" spans="1:31" ht="15">
      <c r="A109" s="1341"/>
      <c r="B109" s="1346"/>
      <c r="C109" s="1359"/>
      <c r="D109" s="1371"/>
      <c r="E109" s="1371"/>
      <c r="F109" s="1371"/>
      <c r="G109" s="1371"/>
      <c r="H109" s="1371"/>
      <c r="I109" s="1371"/>
      <c r="J109" s="1371"/>
      <c r="K109" s="1371"/>
      <c r="L109" s="1371"/>
      <c r="M109" s="1426"/>
      <c r="N109" s="1393"/>
      <c r="O109" s="1393"/>
      <c r="P109" s="1391"/>
      <c r="Q109" s="1314"/>
      <c r="R109" s="1209"/>
      <c r="S109" s="1209"/>
      <c r="T109" s="1209"/>
      <c r="U109" s="1209"/>
      <c r="V109" s="1209"/>
      <c r="W109" s="1209"/>
      <c r="X109" s="1209"/>
      <c r="Y109" s="1209"/>
      <c r="Z109" s="1209"/>
      <c r="AA109" s="1209"/>
      <c r="AB109" s="1209"/>
      <c r="AC109" s="1209"/>
      <c r="AD109" s="1209"/>
      <c r="AE109" s="1209"/>
    </row>
    <row r="110" spans="1:31">
      <c r="A110" s="1375"/>
      <c r="B110" s="1344" t="s">
        <v>2029</v>
      </c>
      <c r="C110" s="1369"/>
      <c r="D110" s="1369"/>
      <c r="E110" s="1369"/>
      <c r="F110" s="1369"/>
      <c r="G110" s="1369"/>
      <c r="H110" s="1369"/>
      <c r="I110" s="1369"/>
      <c r="J110" s="1369"/>
      <c r="K110" s="1420"/>
      <c r="L110" s="1421"/>
      <c r="M110" s="1422"/>
      <c r="N110" s="1390"/>
      <c r="O110" s="1390"/>
      <c r="P110" s="1391"/>
      <c r="Q110" s="1314"/>
      <c r="R110" s="1209"/>
      <c r="S110" s="1209"/>
      <c r="T110" s="1209"/>
      <c r="U110" s="1209"/>
      <c r="V110" s="1209"/>
      <c r="W110" s="1209"/>
      <c r="X110" s="1209"/>
      <c r="Y110" s="1209"/>
      <c r="Z110" s="1209"/>
      <c r="AA110" s="1209"/>
      <c r="AB110" s="1209"/>
      <c r="AC110" s="1209"/>
      <c r="AD110" s="1209"/>
      <c r="AE110" s="1209"/>
    </row>
    <row r="111" spans="1:31" ht="15">
      <c r="A111" s="1341"/>
      <c r="B111" s="1346"/>
      <c r="C111" s="1347">
        <v>100</v>
      </c>
      <c r="D111" s="1347">
        <f t="shared" ref="D111:M111" si="26">C111-$K35</f>
        <v>100</v>
      </c>
      <c r="E111" s="1347">
        <f t="shared" si="26"/>
        <v>100</v>
      </c>
      <c r="F111" s="1347">
        <f t="shared" si="26"/>
        <v>100</v>
      </c>
      <c r="G111" s="1347">
        <f t="shared" si="26"/>
        <v>100</v>
      </c>
      <c r="H111" s="1347">
        <f t="shared" si="26"/>
        <v>100</v>
      </c>
      <c r="I111" s="1347">
        <f t="shared" si="26"/>
        <v>100</v>
      </c>
      <c r="J111" s="1347">
        <f t="shared" si="26"/>
        <v>100</v>
      </c>
      <c r="K111" s="1347">
        <f t="shared" si="26"/>
        <v>100</v>
      </c>
      <c r="L111" s="1347">
        <f t="shared" si="26"/>
        <v>100</v>
      </c>
      <c r="M111" s="1397">
        <f t="shared" si="26"/>
        <v>100</v>
      </c>
      <c r="N111" s="1393"/>
      <c r="O111" s="1393"/>
      <c r="P111" s="1391"/>
      <c r="Q111" s="1314"/>
      <c r="R111" s="1209"/>
      <c r="S111" s="1209"/>
      <c r="T111" s="1209"/>
      <c r="U111" s="1209"/>
      <c r="V111" s="1209"/>
      <c r="W111" s="1209"/>
      <c r="X111" s="1209"/>
      <c r="Y111" s="1209"/>
      <c r="Z111" s="1209"/>
      <c r="AA111" s="1209"/>
      <c r="AB111" s="1209"/>
      <c r="AC111" s="1209"/>
      <c r="AD111" s="1209"/>
      <c r="AE111" s="1209"/>
    </row>
    <row r="112" spans="1:31" s="1095" customFormat="1">
      <c r="A112" s="1372"/>
      <c r="B112" s="1344" t="s">
        <v>2031</v>
      </c>
      <c r="C112" s="1352"/>
      <c r="D112" s="1352"/>
      <c r="E112" s="1352"/>
      <c r="F112" s="1352"/>
      <c r="G112" s="1352"/>
      <c r="H112" s="1369"/>
      <c r="I112" s="1369"/>
      <c r="J112" s="1369"/>
      <c r="K112" s="1420"/>
      <c r="L112" s="1421"/>
      <c r="M112" s="1422"/>
      <c r="N112" s="1403"/>
      <c r="O112" s="1403"/>
      <c r="P112" s="1404"/>
      <c r="Q112" s="1435"/>
      <c r="R112" s="1436"/>
      <c r="S112" s="1436"/>
      <c r="T112" s="1436"/>
      <c r="U112" s="1436"/>
      <c r="V112" s="1436"/>
      <c r="W112" s="1436"/>
      <c r="X112" s="1436"/>
      <c r="Y112" s="1436"/>
      <c r="Z112" s="1436"/>
      <c r="AA112" s="1436"/>
      <c r="AB112" s="1436"/>
      <c r="AC112" s="1436"/>
      <c r="AD112" s="1436"/>
      <c r="AE112" s="1436"/>
    </row>
    <row r="113" spans="1:31" s="1095" customFormat="1" ht="15">
      <c r="A113" s="1351"/>
      <c r="B113" s="1346"/>
      <c r="C113" s="1347">
        <v>100</v>
      </c>
      <c r="D113" s="1347">
        <f t="shared" ref="D113:M113" si="27">C113-$K36</f>
        <v>100</v>
      </c>
      <c r="E113" s="1347">
        <f t="shared" si="27"/>
        <v>100</v>
      </c>
      <c r="F113" s="1347">
        <f t="shared" si="27"/>
        <v>100</v>
      </c>
      <c r="G113" s="1347">
        <f t="shared" si="27"/>
        <v>100</v>
      </c>
      <c r="H113" s="1347">
        <f t="shared" si="27"/>
        <v>100</v>
      </c>
      <c r="I113" s="1347">
        <f t="shared" si="27"/>
        <v>100</v>
      </c>
      <c r="J113" s="1347">
        <f t="shared" si="27"/>
        <v>100</v>
      </c>
      <c r="K113" s="1347">
        <f t="shared" si="27"/>
        <v>100</v>
      </c>
      <c r="L113" s="1347">
        <f t="shared" si="27"/>
        <v>100</v>
      </c>
      <c r="M113" s="1397">
        <f t="shared" si="27"/>
        <v>100</v>
      </c>
      <c r="N113" s="1403"/>
      <c r="O113" s="1403"/>
      <c r="P113" s="1404"/>
      <c r="Q113" s="1435"/>
      <c r="R113" s="1436"/>
      <c r="S113" s="1436"/>
      <c r="T113" s="1436"/>
      <c r="U113" s="1436"/>
      <c r="V113" s="1436"/>
      <c r="W113" s="1436"/>
      <c r="X113" s="1436"/>
      <c r="Y113" s="1436"/>
      <c r="Z113" s="1436"/>
      <c r="AA113" s="1436"/>
      <c r="AB113" s="1436"/>
      <c r="AC113" s="1436"/>
      <c r="AD113" s="1436"/>
      <c r="AE113" s="1436"/>
    </row>
    <row r="114" spans="1:31">
      <c r="A114" s="1375"/>
      <c r="B114" s="1344" t="s">
        <v>2032</v>
      </c>
      <c r="C114" s="1352"/>
      <c r="D114" s="1352"/>
      <c r="E114" s="1369"/>
      <c r="F114" s="1369"/>
      <c r="G114" s="1369"/>
      <c r="H114" s="1369"/>
      <c r="I114" s="1369"/>
      <c r="J114" s="1369"/>
      <c r="K114" s="1420"/>
      <c r="L114" s="1421"/>
      <c r="M114" s="1422"/>
      <c r="N114" s="1390"/>
      <c r="O114" s="1390"/>
      <c r="P114" s="1391"/>
      <c r="Q114" s="1314"/>
      <c r="R114" s="1209"/>
      <c r="S114" s="1209"/>
      <c r="T114" s="1209"/>
      <c r="U114" s="1209"/>
      <c r="V114" s="1209"/>
      <c r="W114" s="1209"/>
      <c r="X114" s="1209"/>
      <c r="Y114" s="1209"/>
      <c r="Z114" s="1209"/>
      <c r="AA114" s="1209"/>
      <c r="AB114" s="1209"/>
      <c r="AC114" s="1209"/>
      <c r="AD114" s="1209"/>
      <c r="AE114" s="1209"/>
    </row>
    <row r="115" spans="1:31" ht="15">
      <c r="A115" s="1341"/>
      <c r="B115" s="1346"/>
      <c r="C115" s="1347">
        <v>100</v>
      </c>
      <c r="D115" s="1347">
        <f t="shared" ref="D115:M115" si="28">C115-$K37</f>
        <v>100</v>
      </c>
      <c r="E115" s="1347">
        <f t="shared" si="28"/>
        <v>100</v>
      </c>
      <c r="F115" s="1347">
        <f t="shared" si="28"/>
        <v>100</v>
      </c>
      <c r="G115" s="1347">
        <f t="shared" si="28"/>
        <v>100</v>
      </c>
      <c r="H115" s="1347">
        <f t="shared" si="28"/>
        <v>100</v>
      </c>
      <c r="I115" s="1347">
        <f t="shared" si="28"/>
        <v>100</v>
      </c>
      <c r="J115" s="1347">
        <f t="shared" si="28"/>
        <v>100</v>
      </c>
      <c r="K115" s="1347">
        <f t="shared" si="28"/>
        <v>100</v>
      </c>
      <c r="L115" s="1347">
        <f t="shared" si="28"/>
        <v>100</v>
      </c>
      <c r="M115" s="1397">
        <f t="shared" si="28"/>
        <v>100</v>
      </c>
      <c r="N115" s="1393"/>
      <c r="O115" s="1393"/>
      <c r="P115" s="1391"/>
      <c r="Q115" s="1314"/>
      <c r="R115" s="1209"/>
      <c r="S115" s="1209"/>
      <c r="T115" s="1209"/>
      <c r="U115" s="1209"/>
      <c r="V115" s="1209"/>
      <c r="W115" s="1209"/>
      <c r="X115" s="1209"/>
      <c r="Y115" s="1209"/>
      <c r="Z115" s="1209"/>
      <c r="AA115" s="1209"/>
      <c r="AB115" s="1209"/>
      <c r="AC115" s="1209"/>
      <c r="AD115" s="1209"/>
      <c r="AE115" s="1209"/>
    </row>
    <row r="116" spans="1:31">
      <c r="A116" s="1375"/>
      <c r="B116" s="1344">
        <f>B38</f>
        <v>111</v>
      </c>
      <c r="C116" s="1352"/>
      <c r="D116" s="1352"/>
      <c r="E116" s="1352"/>
      <c r="F116" s="1352"/>
      <c r="G116" s="1352"/>
      <c r="H116" s="1369"/>
      <c r="I116" s="1369"/>
      <c r="J116" s="1369"/>
      <c r="K116" s="1420"/>
      <c r="L116" s="1421"/>
      <c r="M116" s="1422"/>
      <c r="N116" s="1390"/>
      <c r="O116" s="1390"/>
      <c r="P116" s="1391"/>
      <c r="Q116" s="1314"/>
      <c r="R116" s="1209"/>
      <c r="S116" s="1209"/>
      <c r="T116" s="1209"/>
      <c r="U116" s="1209"/>
      <c r="V116" s="1209"/>
      <c r="W116" s="1209"/>
      <c r="X116" s="1209"/>
      <c r="Y116" s="1209"/>
      <c r="Z116" s="1209"/>
      <c r="AA116" s="1209"/>
      <c r="AB116" s="1209"/>
      <c r="AC116" s="1209"/>
      <c r="AD116" s="1209"/>
      <c r="AE116" s="1209"/>
    </row>
    <row r="117" spans="1:31" ht="15">
      <c r="A117" s="1341"/>
      <c r="B117" s="1346"/>
      <c r="C117" s="1354"/>
      <c r="D117" s="1343"/>
      <c r="E117" s="1343"/>
      <c r="F117" s="1343"/>
      <c r="G117" s="1343"/>
      <c r="H117" s="1343"/>
      <c r="I117" s="1343"/>
      <c r="J117" s="1343"/>
      <c r="K117" s="1343"/>
      <c r="L117" s="1343"/>
      <c r="M117" s="1392"/>
      <c r="N117" s="1393"/>
      <c r="O117" s="1393"/>
      <c r="P117" s="1391"/>
      <c r="Q117" s="1314"/>
      <c r="R117" s="1209"/>
      <c r="S117" s="1209"/>
      <c r="T117" s="1209"/>
      <c r="U117" s="1209"/>
      <c r="V117" s="1209"/>
      <c r="W117" s="1209"/>
      <c r="X117" s="1209"/>
      <c r="Y117" s="1209"/>
      <c r="Z117" s="1209"/>
      <c r="AA117" s="1209"/>
      <c r="AB117" s="1209"/>
      <c r="AC117" s="1209"/>
      <c r="AD117" s="1209"/>
      <c r="AE117" s="1209"/>
    </row>
    <row r="118" spans="1:31">
      <c r="A118" s="1375"/>
      <c r="B118" s="1344">
        <f>B39</f>
        <v>111</v>
      </c>
      <c r="C118" s="1352"/>
      <c r="D118" s="1352"/>
      <c r="E118" s="1352"/>
      <c r="F118" s="1352"/>
      <c r="G118" s="1369"/>
      <c r="H118" s="1369"/>
      <c r="I118" s="1369"/>
      <c r="J118" s="1369"/>
      <c r="K118" s="1420"/>
      <c r="L118" s="1421"/>
      <c r="M118" s="1422"/>
      <c r="N118" s="1390"/>
      <c r="O118" s="1390"/>
      <c r="P118" s="1391"/>
      <c r="Q118" s="1314"/>
      <c r="R118" s="1209"/>
      <c r="S118" s="1209"/>
      <c r="T118" s="1209"/>
      <c r="U118" s="1209"/>
      <c r="V118" s="1209"/>
      <c r="W118" s="1209"/>
      <c r="X118" s="1209"/>
      <c r="Y118" s="1209"/>
      <c r="Z118" s="1209"/>
      <c r="AA118" s="1209"/>
      <c r="AB118" s="1209"/>
      <c r="AC118" s="1209"/>
      <c r="AD118" s="1209"/>
      <c r="AE118" s="1209"/>
    </row>
    <row r="119" spans="1:31" ht="15">
      <c r="A119" s="1341"/>
      <c r="B119" s="1346"/>
      <c r="C119" s="1354"/>
      <c r="D119" s="1354"/>
      <c r="E119" s="1354"/>
      <c r="F119" s="1354"/>
      <c r="G119" s="1343"/>
      <c r="H119" s="1343"/>
      <c r="I119" s="1343"/>
      <c r="J119" s="1343"/>
      <c r="K119" s="1343"/>
      <c r="L119" s="1343"/>
      <c r="M119" s="1392"/>
      <c r="N119" s="1393"/>
      <c r="O119" s="1393"/>
      <c r="P119" s="1391"/>
      <c r="Q119" s="1314"/>
      <c r="R119" s="1209"/>
      <c r="S119" s="1209"/>
      <c r="T119" s="1209"/>
      <c r="U119" s="1209"/>
      <c r="V119" s="1209"/>
      <c r="W119" s="1209"/>
      <c r="X119" s="1209"/>
      <c r="Y119" s="1209"/>
      <c r="Z119" s="1209"/>
      <c r="AA119" s="1209"/>
      <c r="AB119" s="1209"/>
      <c r="AC119" s="1209"/>
      <c r="AD119" s="1209"/>
      <c r="AE119" s="1209"/>
    </row>
    <row r="120" spans="1:31" s="1095" customFormat="1">
      <c r="A120" s="1372"/>
      <c r="B120" s="1344">
        <f>B40</f>
        <v>111</v>
      </c>
      <c r="C120" s="1336"/>
      <c r="D120" s="1336"/>
      <c r="E120" s="1336"/>
      <c r="F120" s="1336"/>
      <c r="G120" s="1353"/>
      <c r="H120" s="1353"/>
      <c r="I120" s="1353"/>
      <c r="J120" s="1353"/>
      <c r="K120" s="1353"/>
      <c r="L120" s="1401"/>
      <c r="M120" s="1402"/>
      <c r="N120" s="1403"/>
      <c r="O120" s="1403"/>
      <c r="P120" s="1404"/>
      <c r="Q120" s="1435"/>
      <c r="R120" s="1436"/>
      <c r="S120" s="1436"/>
      <c r="T120" s="1436"/>
      <c r="U120" s="1436"/>
      <c r="V120" s="1436"/>
      <c r="W120" s="1436"/>
      <c r="X120" s="1436"/>
      <c r="Y120" s="1436"/>
      <c r="Z120" s="1436"/>
      <c r="AA120" s="1436"/>
      <c r="AB120" s="1436"/>
      <c r="AC120" s="1436"/>
      <c r="AD120" s="1436"/>
      <c r="AE120" s="1436"/>
    </row>
    <row r="121" spans="1:31" s="1095" customFormat="1" ht="15">
      <c r="A121" s="1357"/>
      <c r="B121" s="1376"/>
      <c r="C121" s="1359"/>
      <c r="D121" s="1359"/>
      <c r="E121" s="1359"/>
      <c r="F121" s="1359"/>
      <c r="G121" s="1371"/>
      <c r="H121" s="1371"/>
      <c r="I121" s="1371"/>
      <c r="J121" s="1371"/>
      <c r="K121" s="1371"/>
      <c r="L121" s="1371"/>
      <c r="M121" s="1426"/>
      <c r="N121" s="1403"/>
      <c r="O121" s="1403"/>
      <c r="P121" s="1404"/>
      <c r="Q121" s="1435"/>
      <c r="R121" s="1436"/>
      <c r="S121" s="1436"/>
      <c r="T121" s="1436"/>
      <c r="U121" s="1436"/>
      <c r="V121" s="1436"/>
      <c r="W121" s="1436"/>
      <c r="X121" s="1436"/>
      <c r="Y121" s="1436"/>
      <c r="Z121" s="1436"/>
      <c r="AA121" s="1436"/>
      <c r="AB121" s="1436"/>
      <c r="AC121" s="1436"/>
      <c r="AD121" s="1436"/>
      <c r="AE121" s="1436"/>
    </row>
    <row r="122" spans="1:31">
      <c r="N122" s="1209"/>
      <c r="O122" s="1209"/>
      <c r="P122" s="1209"/>
      <c r="Q122" s="1209"/>
      <c r="R122" s="1209"/>
      <c r="S122" s="1209"/>
      <c r="T122" s="1209"/>
      <c r="U122" s="1209"/>
      <c r="V122" s="1209"/>
      <c r="W122" s="1209"/>
      <c r="X122" s="1209"/>
      <c r="Y122" s="1209"/>
      <c r="Z122" s="1209"/>
      <c r="AA122" s="1209"/>
      <c r="AB122" s="1209"/>
      <c r="AC122" s="1209"/>
      <c r="AD122" s="1209"/>
      <c r="AE122" s="1209"/>
    </row>
    <row r="123" spans="1:31">
      <c r="P123" s="1209"/>
      <c r="Q123" s="1209"/>
      <c r="R123" s="1209"/>
      <c r="S123" s="1209"/>
      <c r="T123" s="1209"/>
      <c r="U123" s="1209"/>
      <c r="V123" s="1209"/>
      <c r="W123" s="1209"/>
      <c r="X123" s="1209"/>
      <c r="Y123" s="1209"/>
      <c r="Z123" s="1209"/>
      <c r="AA123" s="1209"/>
      <c r="AB123" s="1209"/>
      <c r="AC123" s="1209"/>
      <c r="AD123" s="1209"/>
      <c r="AE123" s="120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79" customWidth="1"/>
    <col min="2" max="2" width="12.5" style="1079" customWidth="1"/>
    <col min="3" max="3" width="12.125" style="1079" customWidth="1"/>
    <col min="4" max="4" width="14.125" style="1079" customWidth="1"/>
    <col min="5" max="5" width="12.5" style="1079" customWidth="1"/>
    <col min="6" max="16384" width="9" style="1079"/>
  </cols>
  <sheetData>
    <row r="1" spans="1:16" ht="21">
      <c r="A1" s="1080" t="s">
        <v>2069</v>
      </c>
      <c r="B1" s="1081"/>
      <c r="C1" s="1081"/>
      <c r="D1" s="1081"/>
      <c r="E1" s="1081"/>
      <c r="F1" s="1082"/>
      <c r="G1" s="1082"/>
      <c r="H1" s="1082"/>
      <c r="I1" s="1082"/>
      <c r="J1" s="1082"/>
      <c r="K1" s="1082"/>
      <c r="L1" s="1082"/>
      <c r="M1" s="1082"/>
      <c r="N1" s="1082"/>
      <c r="O1" s="1082"/>
      <c r="P1" s="1082"/>
    </row>
    <row r="2" spans="1:16" ht="15.75">
      <c r="A2" s="1083" t="s">
        <v>97</v>
      </c>
      <c r="B2" s="1084" t="e">
        <f ca="1">SUMIF(B6:B13,"&lt;&gt;#ref!",B6:B13)</f>
        <v>#DIV/0!</v>
      </c>
      <c r="C2" s="1083" t="s">
        <v>2070</v>
      </c>
      <c r="D2" s="1083" t="s">
        <v>2071</v>
      </c>
      <c r="E2" s="1085">
        <f ca="1">SUMIF(E6:E13,"&lt;&gt;#ref!",E6:E13)</f>
        <v>0</v>
      </c>
      <c r="F2" s="1082"/>
      <c r="G2" s="1082"/>
      <c r="H2" s="1082"/>
      <c r="I2" s="1082"/>
      <c r="J2" s="1082"/>
      <c r="K2" s="1082"/>
      <c r="L2" s="1082"/>
      <c r="M2" s="1082"/>
      <c r="N2" s="1082"/>
      <c r="O2" s="1082"/>
      <c r="P2" s="1082"/>
    </row>
    <row r="3" spans="1:16" ht="15.75">
      <c r="A3" s="1083" t="s">
        <v>2072</v>
      </c>
      <c r="B3" s="1084" t="e">
        <f ca="1">ROUND(B2*10000/E2,0)</f>
        <v>#DIV/0!</v>
      </c>
      <c r="C3" s="1083" t="s">
        <v>2073</v>
      </c>
      <c r="D3" s="1082"/>
      <c r="E3" s="1082"/>
      <c r="F3" s="1082"/>
      <c r="G3" s="1082"/>
      <c r="H3" s="1082"/>
      <c r="I3" s="1082"/>
      <c r="J3" s="1082"/>
      <c r="K3" s="1082"/>
      <c r="L3" s="1082"/>
      <c r="M3" s="1082"/>
      <c r="N3" s="1082"/>
      <c r="O3" s="1082"/>
      <c r="P3" s="1082"/>
    </row>
    <row r="4" spans="1:16" ht="15.75">
      <c r="A4" s="1086"/>
      <c r="B4" s="1082"/>
      <c r="C4" s="1082"/>
      <c r="D4" s="1082"/>
      <c r="E4" s="1082"/>
      <c r="F4" s="1082"/>
      <c r="G4" s="1082"/>
      <c r="H4" s="1082"/>
      <c r="I4" s="1082"/>
      <c r="J4" s="1082"/>
      <c r="K4" s="1082"/>
      <c r="L4" s="1082"/>
      <c r="M4" s="1082"/>
      <c r="N4" s="1082"/>
      <c r="O4" s="1082"/>
      <c r="P4" s="1082"/>
    </row>
    <row r="5" spans="1:16" ht="28.5">
      <c r="A5" s="1087" t="s">
        <v>2074</v>
      </c>
      <c r="B5" s="1088" t="s">
        <v>2075</v>
      </c>
      <c r="C5" s="1089"/>
      <c r="D5" s="1082"/>
      <c r="E5" s="1090" t="s">
        <v>2076</v>
      </c>
      <c r="F5" s="1082"/>
      <c r="G5" s="1082"/>
      <c r="H5" s="1082"/>
      <c r="I5" s="1082"/>
      <c r="J5" s="1082"/>
      <c r="K5" s="1082"/>
      <c r="L5" s="1082"/>
      <c r="M5" s="1082"/>
      <c r="N5" s="1082"/>
      <c r="O5" s="1082"/>
      <c r="P5" s="1082"/>
    </row>
    <row r="6" spans="1:16" ht="15.75">
      <c r="A6" s="1091" t="s">
        <v>2077</v>
      </c>
      <c r="B6" s="1084" t="e">
        <f ca="1">SUMIF(INDIRECT("'"&amp;A6&amp;"'"&amp;"!A:A"),"总价",INDIRECT("'"&amp;A6&amp;"'"&amp;"!B:B"))</f>
        <v>#DIV/0!</v>
      </c>
      <c r="C6" s="1083" t="s">
        <v>2070</v>
      </c>
      <c r="D6" s="1082"/>
      <c r="E6" s="1085">
        <f ca="1">SUMIF(INDIRECT("'"&amp;A6&amp;"'"&amp;"!C:C"),"建筑面积",INDIRECT("'"&amp;A6&amp;"'"&amp;"!D:D"))</f>
        <v>0</v>
      </c>
      <c r="F6" s="1082"/>
      <c r="G6" s="1082"/>
      <c r="H6" s="1082"/>
      <c r="I6" s="1082"/>
      <c r="J6" s="1082"/>
      <c r="K6" s="1082"/>
      <c r="L6" s="1082"/>
      <c r="M6" s="1082"/>
      <c r="N6" s="1082"/>
      <c r="O6" s="1082"/>
      <c r="P6" s="1082"/>
    </row>
    <row r="7" spans="1:16" ht="15.75">
      <c r="A7" s="1091"/>
      <c r="B7" s="1084" t="e">
        <f ca="1">SUMIF(INDIRECT("'"&amp;A7&amp;"'"&amp;"!A:A"),"总价",INDIRECT("'"&amp;A7&amp;"'"&amp;"!B:B"))</f>
        <v>#REF!</v>
      </c>
      <c r="C7" s="1083" t="s">
        <v>2070</v>
      </c>
      <c r="D7" s="1082"/>
      <c r="E7" s="1085" t="e">
        <f t="shared" ref="E7:E13" ca="1" si="0">SUMIF(INDIRECT("'"&amp;A7&amp;"'"&amp;"!C:C"),"建筑面积",INDIRECT("'"&amp;A7&amp;"'"&amp;"!D:D"))</f>
        <v>#REF!</v>
      </c>
      <c r="F7" s="1082"/>
      <c r="G7" s="1082"/>
      <c r="H7" s="1082"/>
      <c r="I7" s="1082"/>
      <c r="J7" s="1082"/>
      <c r="K7" s="1082"/>
      <c r="L7" s="1082"/>
      <c r="M7" s="1082"/>
      <c r="N7" s="1082"/>
      <c r="O7" s="1082"/>
      <c r="P7" s="1082"/>
    </row>
    <row r="8" spans="1:16" ht="15.75">
      <c r="A8" s="1091"/>
      <c r="B8" s="1084" t="e">
        <f t="shared" ref="B8:B13" ca="1" si="1">SUMIF(INDIRECT("'"&amp;A8&amp;"'"&amp;"!A:A"),"总价",INDIRECT("'"&amp;A8&amp;"'"&amp;"!B:B"))</f>
        <v>#REF!</v>
      </c>
      <c r="C8" s="1083" t="s">
        <v>2070</v>
      </c>
      <c r="D8" s="1082"/>
      <c r="E8" s="1085" t="e">
        <f t="shared" ca="1" si="0"/>
        <v>#REF!</v>
      </c>
      <c r="F8" s="1082"/>
      <c r="G8" s="1082"/>
      <c r="H8" s="1082"/>
      <c r="I8" s="1082"/>
      <c r="J8" s="1082"/>
      <c r="K8" s="1082"/>
      <c r="L8" s="1082"/>
      <c r="M8" s="1082"/>
      <c r="N8" s="1082"/>
      <c r="O8" s="1082"/>
      <c r="P8" s="1082"/>
    </row>
    <row r="9" spans="1:16" ht="15.75">
      <c r="A9" s="1091"/>
      <c r="B9" s="1084" t="e">
        <f t="shared" ca="1" si="1"/>
        <v>#REF!</v>
      </c>
      <c r="C9" s="1083" t="s">
        <v>2070</v>
      </c>
      <c r="D9" s="1082"/>
      <c r="E9" s="1085" t="e">
        <f t="shared" ca="1" si="0"/>
        <v>#REF!</v>
      </c>
      <c r="F9" s="1082"/>
      <c r="G9" s="1082"/>
      <c r="H9" s="1082"/>
      <c r="I9" s="1082"/>
      <c r="J9" s="1082"/>
      <c r="K9" s="1082"/>
      <c r="L9" s="1082"/>
      <c r="M9" s="1082"/>
      <c r="N9" s="1082"/>
      <c r="O9" s="1082"/>
      <c r="P9" s="1082"/>
    </row>
    <row r="10" spans="1:16" ht="15.75">
      <c r="A10" s="1091"/>
      <c r="B10" s="1084" t="e">
        <f t="shared" ca="1" si="1"/>
        <v>#REF!</v>
      </c>
      <c r="C10" s="1083" t="s">
        <v>2070</v>
      </c>
      <c r="D10" s="1082"/>
      <c r="E10" s="1085" t="e">
        <f t="shared" ca="1" si="0"/>
        <v>#REF!</v>
      </c>
      <c r="F10" s="1082"/>
      <c r="G10" s="1082"/>
      <c r="H10" s="1082"/>
      <c r="I10" s="1082"/>
      <c r="J10" s="1082"/>
      <c r="K10" s="1082"/>
      <c r="L10" s="1082"/>
      <c r="M10" s="1082"/>
      <c r="N10" s="1082"/>
      <c r="O10" s="1082"/>
      <c r="P10" s="1082"/>
    </row>
    <row r="11" spans="1:16" ht="15.75">
      <c r="A11" s="1091"/>
      <c r="B11" s="1084" t="e">
        <f t="shared" ca="1" si="1"/>
        <v>#REF!</v>
      </c>
      <c r="C11" s="1083" t="s">
        <v>2070</v>
      </c>
      <c r="D11" s="1082"/>
      <c r="E11" s="1085" t="e">
        <f t="shared" ca="1" si="0"/>
        <v>#REF!</v>
      </c>
      <c r="F11" s="1082"/>
      <c r="G11" s="1082"/>
      <c r="H11" s="1082"/>
      <c r="I11" s="1082"/>
      <c r="J11" s="1082"/>
      <c r="K11" s="1082"/>
      <c r="L11" s="1082"/>
      <c r="M11" s="1082"/>
      <c r="N11" s="1082"/>
      <c r="O11" s="1082"/>
      <c r="P11" s="1082"/>
    </row>
    <row r="12" spans="1:16" ht="15.75">
      <c r="A12" s="1091"/>
      <c r="B12" s="1084" t="e">
        <f t="shared" ca="1" si="1"/>
        <v>#REF!</v>
      </c>
      <c r="C12" s="1083" t="s">
        <v>2070</v>
      </c>
      <c r="D12" s="1082"/>
      <c r="E12" s="1085" t="e">
        <f t="shared" ca="1" si="0"/>
        <v>#REF!</v>
      </c>
      <c r="F12" s="1082"/>
      <c r="G12" s="1082"/>
      <c r="H12" s="1082"/>
      <c r="I12" s="1082"/>
      <c r="J12" s="1082"/>
      <c r="K12" s="1082"/>
      <c r="L12" s="1082"/>
      <c r="M12" s="1082"/>
      <c r="N12" s="1082"/>
      <c r="O12" s="1082"/>
      <c r="P12" s="1082"/>
    </row>
    <row r="13" spans="1:16" ht="15.75">
      <c r="A13" s="1091"/>
      <c r="B13" s="1084" t="e">
        <f t="shared" ca="1" si="1"/>
        <v>#REF!</v>
      </c>
      <c r="C13" s="1083" t="s">
        <v>2070</v>
      </c>
      <c r="D13" s="1082"/>
      <c r="E13" s="1085" t="e">
        <f t="shared" ca="1" si="0"/>
        <v>#REF!</v>
      </c>
      <c r="F13" s="1082"/>
      <c r="G13" s="1082"/>
      <c r="H13" s="1082"/>
      <c r="I13" s="1082"/>
      <c r="J13" s="1082"/>
      <c r="K13" s="1082"/>
      <c r="L13" s="1082"/>
      <c r="M13" s="1082"/>
      <c r="N13" s="1082"/>
      <c r="O13" s="1082"/>
      <c r="P13" s="1082"/>
    </row>
    <row r="14" spans="1:16">
      <c r="A14" s="1082"/>
      <c r="B14" s="1082"/>
      <c r="C14" s="1082"/>
      <c r="D14" s="1082"/>
      <c r="E14" s="1082"/>
      <c r="F14" s="1082"/>
      <c r="G14" s="1082"/>
      <c r="H14" s="1082"/>
      <c r="I14" s="1082"/>
      <c r="J14" s="1082"/>
      <c r="K14" s="1082"/>
      <c r="L14" s="1082"/>
      <c r="M14" s="1082"/>
      <c r="N14" s="1082"/>
      <c r="O14" s="1082"/>
      <c r="P14" s="1082"/>
    </row>
    <row r="15" spans="1:16">
      <c r="A15" s="1082"/>
      <c r="B15" s="1082"/>
      <c r="C15" s="1082"/>
      <c r="D15" s="1082"/>
      <c r="E15" s="1082"/>
      <c r="F15" s="1082"/>
      <c r="G15" s="1082"/>
      <c r="H15" s="1082"/>
      <c r="I15" s="1082"/>
      <c r="J15" s="1082"/>
      <c r="K15" s="1082"/>
      <c r="L15" s="1082"/>
      <c r="M15" s="1082"/>
      <c r="N15" s="1082"/>
      <c r="O15" s="1082"/>
      <c r="P15" s="1082"/>
    </row>
    <row r="16" spans="1:16">
      <c r="A16" s="1082"/>
      <c r="B16" s="1082"/>
      <c r="C16" s="1082"/>
      <c r="D16" s="1082"/>
      <c r="E16" s="1082"/>
      <c r="F16" s="1082"/>
      <c r="G16" s="1082"/>
      <c r="H16" s="1082"/>
      <c r="I16" s="1082"/>
      <c r="J16" s="1082"/>
      <c r="K16" s="1082"/>
      <c r="L16" s="1082"/>
      <c r="M16" s="1082"/>
      <c r="N16" s="1082"/>
      <c r="O16" s="1082"/>
      <c r="P16" s="1082"/>
    </row>
    <row r="17" spans="1:16">
      <c r="A17" s="1082"/>
      <c r="B17" s="1082"/>
      <c r="C17" s="1082"/>
      <c r="D17" s="1082"/>
      <c r="E17" s="1082"/>
      <c r="F17" s="1082"/>
      <c r="G17" s="1082"/>
      <c r="H17" s="1082"/>
      <c r="I17" s="1082"/>
      <c r="J17" s="1082"/>
      <c r="K17" s="1082"/>
      <c r="L17" s="1082"/>
      <c r="M17" s="1082"/>
      <c r="N17" s="1082"/>
      <c r="O17" s="1082"/>
      <c r="P17" s="1082"/>
    </row>
    <row r="18" spans="1:16">
      <c r="A18" s="1082"/>
      <c r="B18" s="1082"/>
      <c r="C18" s="1082"/>
      <c r="D18" s="1082"/>
      <c r="E18" s="1082"/>
      <c r="F18" s="1082"/>
      <c r="G18" s="1082"/>
      <c r="H18" s="1082"/>
      <c r="I18" s="1082"/>
      <c r="J18" s="1082"/>
      <c r="K18" s="1082"/>
      <c r="L18" s="1082"/>
      <c r="M18" s="1082"/>
      <c r="N18" s="1082"/>
      <c r="O18" s="1082"/>
      <c r="P18" s="1082"/>
    </row>
    <row r="19" spans="1:16">
      <c r="A19" s="1082"/>
      <c r="B19" s="1082"/>
      <c r="C19" s="1082"/>
      <c r="D19" s="1082"/>
      <c r="E19" s="1082"/>
      <c r="F19" s="1082"/>
      <c r="G19" s="1082"/>
      <c r="H19" s="1082"/>
      <c r="I19" s="1082"/>
      <c r="J19" s="1082"/>
      <c r="K19" s="1082"/>
      <c r="L19" s="1082"/>
      <c r="M19" s="1082"/>
      <c r="N19" s="1082"/>
      <c r="O19" s="1082"/>
      <c r="P19" s="1082"/>
    </row>
    <row r="20" spans="1:16">
      <c r="A20" s="1082"/>
      <c r="B20" s="1082"/>
      <c r="C20" s="1082"/>
      <c r="D20" s="1082"/>
      <c r="E20" s="1082"/>
      <c r="F20" s="1082"/>
      <c r="G20" s="1082"/>
      <c r="H20" s="1082"/>
      <c r="I20" s="1082"/>
      <c r="J20" s="1082"/>
      <c r="K20" s="1082"/>
      <c r="L20" s="1082"/>
      <c r="M20" s="1082"/>
      <c r="N20" s="1082"/>
      <c r="O20" s="1082"/>
      <c r="P20" s="1082"/>
    </row>
    <row r="21" spans="1:16">
      <c r="A21" s="1082"/>
      <c r="B21" s="1082"/>
      <c r="C21" s="1082"/>
      <c r="D21" s="1082"/>
      <c r="E21" s="1082"/>
      <c r="F21" s="1082"/>
      <c r="G21" s="1082"/>
      <c r="H21" s="1082"/>
      <c r="I21" s="1082"/>
      <c r="J21" s="1082"/>
      <c r="K21" s="1082"/>
      <c r="L21" s="1082"/>
      <c r="M21" s="1082"/>
      <c r="N21" s="1082"/>
      <c r="O21" s="1082"/>
      <c r="P21" s="108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39" sqref="F39:F48"/>
    </sheetView>
  </sheetViews>
  <sheetFormatPr defaultColWidth="12" defaultRowHeight="12.75"/>
  <cols>
    <col min="1" max="1" width="9.75" style="693" customWidth="1"/>
    <col min="2" max="2" width="22.5" style="694" customWidth="1"/>
    <col min="3" max="3" width="12" style="695"/>
    <col min="4" max="4" width="14.875" style="695" customWidth="1"/>
    <col min="5" max="5" width="14.625" style="695" customWidth="1"/>
    <col min="6" max="8" width="12" style="695"/>
    <col min="9" max="9" width="12.25" style="695" customWidth="1"/>
    <col min="10" max="10" width="12" style="695"/>
    <col min="11" max="11" width="8.125" style="696" customWidth="1"/>
    <col min="12" max="12" width="19.5" style="695" customWidth="1"/>
    <col min="13" max="13" width="8.5" style="695" customWidth="1"/>
    <col min="14" max="14" width="9.75" style="695" customWidth="1"/>
    <col min="15" max="25" width="12" style="695"/>
    <col min="26" max="26" width="9.375" style="693" customWidth="1"/>
    <col min="27" max="32" width="9.375" style="697" customWidth="1"/>
    <col min="33" max="36" width="9.375" style="693" customWidth="1"/>
    <col min="37" max="38" width="9.375" style="695" customWidth="1"/>
    <col min="39" max="16384" width="12" style="695"/>
  </cols>
  <sheetData>
    <row r="1" spans="1:36" ht="28.5">
      <c r="A1" s="382" t="s">
        <v>2078</v>
      </c>
      <c r="B1" s="383"/>
      <c r="C1" s="386" t="s">
        <v>1395</v>
      </c>
      <c r="D1" s="698">
        <f>SUM(D33:D34,D37:D42)</f>
        <v>0</v>
      </c>
      <c r="E1" s="699"/>
      <c r="F1" s="699"/>
      <c r="G1" s="699"/>
      <c r="H1" s="699"/>
      <c r="I1" s="699"/>
      <c r="J1" s="699"/>
      <c r="K1" s="691"/>
      <c r="L1" s="902" t="s">
        <v>2079</v>
      </c>
      <c r="M1" s="903">
        <f>SUMPRODUCT((区片价!B5:B9=I2)*(区片价!C3:G3=E2)*(区片价!C5:G9))</f>
        <v>0</v>
      </c>
      <c r="N1" s="904">
        <f>SUMPRODUCT((因素修正幅度!B5:B9=I2)*(因素修正幅度!C3:G3=E2)*(因素修正幅度!C5:G9))</f>
        <v>0</v>
      </c>
      <c r="O1" s="692"/>
      <c r="P1" s="692"/>
      <c r="Q1" s="691"/>
      <c r="R1" s="996" t="s">
        <v>2080</v>
      </c>
      <c r="S1" s="996" t="s">
        <v>2081</v>
      </c>
      <c r="T1" s="996" t="s">
        <v>2082</v>
      </c>
      <c r="U1" s="996" t="s">
        <v>2083</v>
      </c>
      <c r="V1" s="996" t="s">
        <v>2084</v>
      </c>
      <c r="W1" s="997"/>
      <c r="X1" s="997"/>
      <c r="Y1" s="997"/>
      <c r="Z1" s="997"/>
      <c r="AA1" s="997"/>
      <c r="AB1" s="997"/>
      <c r="AC1" s="1008"/>
      <c r="AD1" s="1009"/>
      <c r="AE1" s="1009"/>
      <c r="AF1" s="1009"/>
      <c r="AG1" s="1009"/>
      <c r="AH1" s="1009"/>
      <c r="AI1" s="1009"/>
      <c r="AJ1" s="1018"/>
    </row>
    <row r="2" spans="1:36" ht="15.75">
      <c r="A2" s="386" t="s">
        <v>1392</v>
      </c>
      <c r="B2" s="390" t="e">
        <f>C30</f>
        <v>#DIV/0!</v>
      </c>
      <c r="C2" s="700" t="s">
        <v>1393</v>
      </c>
      <c r="D2" s="701" t="s">
        <v>2085</v>
      </c>
      <c r="E2" s="702"/>
      <c r="F2" s="701" t="s">
        <v>2086</v>
      </c>
      <c r="G2" s="703">
        <f>IF(E2="商业",项目基本情况!B37,IF(E2="办公",项目基本情况!C37,IF(E2="住宅",项目基本情况!D37,IF(E2="工业",项目基本情况!E37,项目基本情况!F37))))</f>
        <v>0</v>
      </c>
      <c r="H2" s="701" t="s">
        <v>2087</v>
      </c>
      <c r="I2" s="703">
        <f>IF(E2="商业",项目基本情况!B38,IF(E2="办公",项目基本情况!C38,IF(E2="住宅",项目基本情况!D38,IF(E2="工业",项目基本情况!E38,项目基本情况!F38))))</f>
        <v>0</v>
      </c>
      <c r="J2" s="905"/>
      <c r="K2" s="691"/>
      <c r="L2" s="906" t="s">
        <v>2088</v>
      </c>
      <c r="M2" s="907">
        <f>SUMPRODUCT((区片价!B10:B29=I2)*(区片价!C3:G3=E2)*(区片价!C10:G29))</f>
        <v>0</v>
      </c>
      <c r="N2" s="904">
        <f>SUMPRODUCT((因素修正幅度!B10:B29=I2)*(因素修正幅度!C3:G3=E2)*(因素修正幅度!C10:G29))</f>
        <v>0</v>
      </c>
      <c r="O2" s="691"/>
      <c r="P2" s="691"/>
      <c r="Q2" s="691"/>
      <c r="R2" s="996">
        <v>1</v>
      </c>
      <c r="S2" s="998">
        <f>ROUND(SUMPRODUCT((B106:B110=R2)*(C105:N105=G2)*(C106:N110)),4)</f>
        <v>0</v>
      </c>
      <c r="T2" s="998" t="e">
        <f t="shared" ref="T2:T16" si="0">ROUND($C$5*$C$22*$C$23*$C$24*S2*$C$28,0)</f>
        <v>#DIV/0!</v>
      </c>
      <c r="U2" s="999"/>
      <c r="V2" s="998" t="e">
        <f>ROUND(T2*U2/10000,0)</f>
        <v>#DIV/0!</v>
      </c>
      <c r="W2" s="997"/>
      <c r="X2" s="997"/>
      <c r="Y2" s="997"/>
      <c r="Z2" s="997"/>
      <c r="AA2" s="997"/>
      <c r="AB2" s="997"/>
      <c r="AC2" s="1008"/>
      <c r="AD2" s="1009"/>
      <c r="AE2" s="1009"/>
      <c r="AF2" s="1009"/>
      <c r="AG2" s="1009"/>
      <c r="AH2" s="1009"/>
      <c r="AI2" s="1009"/>
      <c r="AJ2" s="1018"/>
    </row>
    <row r="3" spans="1:36" ht="15.75">
      <c r="A3" s="389" t="s">
        <v>1394</v>
      </c>
      <c r="B3" s="390" t="e">
        <f>ROUND(B2*10000/D1,0)</f>
        <v>#DIV/0!</v>
      </c>
      <c r="C3" s="700" t="s">
        <v>1685</v>
      </c>
      <c r="D3" s="701" t="s">
        <v>2089</v>
      </c>
      <c r="E3" s="704"/>
      <c r="F3" s="705"/>
      <c r="G3" s="706">
        <f>IF(F3="宗地容积率",'数据-汇总表'!I4,IF(F3="估价对象容积率",'数据-汇总表'!I6,'数据-汇总表'!I7))</f>
        <v>0</v>
      </c>
      <c r="H3" s="707" t="s">
        <v>2090</v>
      </c>
      <c r="I3" s="908"/>
      <c r="J3" s="905" t="s">
        <v>2091</v>
      </c>
      <c r="K3" s="691"/>
      <c r="L3" s="906" t="s">
        <v>2092</v>
      </c>
      <c r="M3" s="907">
        <f>SUMPRODUCT((区片价!B30:B54=I2)*(区片价!C3:G3=E2)*(区片价!C30:G54))</f>
        <v>0</v>
      </c>
      <c r="N3" s="904">
        <f>SUMPRODUCT((因素修正幅度!B30:B54=I2)*(因素修正幅度!C3:G3=E2)*(因素修正幅度!C30:G54))</f>
        <v>0</v>
      </c>
      <c r="O3" s="691"/>
      <c r="P3" s="691"/>
      <c r="Q3" s="691"/>
      <c r="R3" s="996">
        <v>2</v>
      </c>
      <c r="S3" s="998">
        <f>ROUND(SUMPRODUCT((B106:B110=R3)*(C105:N105=G2)*(C106:N110)),4)</f>
        <v>0</v>
      </c>
      <c r="T3" s="998" t="e">
        <f t="shared" si="0"/>
        <v>#DIV/0!</v>
      </c>
      <c r="U3" s="999"/>
      <c r="V3" s="998" t="e">
        <f t="shared" ref="V3:V16" si="1">ROUND(T3*U3/10000,0)</f>
        <v>#DIV/0!</v>
      </c>
      <c r="W3" s="997"/>
      <c r="X3" s="997"/>
      <c r="Y3" s="997"/>
      <c r="Z3" s="997"/>
      <c r="AA3" s="997"/>
      <c r="AB3" s="997"/>
      <c r="AC3" s="1008"/>
      <c r="AD3" s="1009"/>
      <c r="AE3" s="1009"/>
      <c r="AF3" s="1009"/>
      <c r="AG3" s="1009"/>
      <c r="AH3" s="1009"/>
      <c r="AI3" s="1009"/>
      <c r="AJ3" s="1018"/>
    </row>
    <row r="4" spans="1:36" ht="15.75">
      <c r="A4" s="3780"/>
      <c r="B4" s="3781"/>
      <c r="C4" s="3781"/>
      <c r="D4" s="3782"/>
      <c r="E4" s="3782"/>
      <c r="F4" s="3782"/>
      <c r="G4" s="3782"/>
      <c r="H4" s="3782"/>
      <c r="I4" s="3782"/>
      <c r="J4" s="3783"/>
      <c r="K4" s="691"/>
      <c r="L4" s="906" t="s">
        <v>2093</v>
      </c>
      <c r="M4" s="907">
        <f>SUMPRODUCT((区片价!B55:B86=I2)*(区片价!C3:G3=E2)*(区片价!C55:G86))</f>
        <v>0</v>
      </c>
      <c r="N4" s="904">
        <f>SUMPRODUCT((因素修正幅度!B55:B86=I2)*(因素修正幅度!C3:G3=E2)*(因素修正幅度!C55:G86))</f>
        <v>0</v>
      </c>
      <c r="O4" s="691"/>
      <c r="P4" s="691"/>
      <c r="Q4" s="691"/>
      <c r="R4" s="996">
        <v>3</v>
      </c>
      <c r="S4" s="998">
        <f>ROUND(SUMPRODUCT((B106:B110=R4)*(C105:N105=G2)*(C106:N110)),4)</f>
        <v>0</v>
      </c>
      <c r="T4" s="998" t="e">
        <f t="shared" si="0"/>
        <v>#DIV/0!</v>
      </c>
      <c r="U4" s="999"/>
      <c r="V4" s="998" t="e">
        <f t="shared" si="1"/>
        <v>#DIV/0!</v>
      </c>
      <c r="W4" s="997"/>
      <c r="X4" s="997"/>
      <c r="Y4" s="997"/>
      <c r="Z4" s="997"/>
      <c r="AA4" s="997"/>
      <c r="AB4" s="997"/>
      <c r="AC4" s="1008"/>
      <c r="AD4" s="1009"/>
      <c r="AE4" s="1009"/>
      <c r="AF4" s="1009"/>
      <c r="AG4" s="1009"/>
      <c r="AH4" s="1009"/>
      <c r="AI4" s="1009"/>
      <c r="AJ4" s="1018"/>
    </row>
    <row r="5" spans="1:36" s="690" customFormat="1" ht="15">
      <c r="A5" s="708" t="s">
        <v>1294</v>
      </c>
      <c r="B5" s="709" t="s">
        <v>2094</v>
      </c>
      <c r="C5" s="710" t="e">
        <f>ROUND(IF(E2="商业",C6*C7*C17+C20,(IF(E2="住宅",C6*C13*C17+C20,IF(E2="办公",C6*C12*C17+C20,C6+C20)))),0)</f>
        <v>#DIV/0!</v>
      </c>
      <c r="D5" s="711" t="e">
        <f>ROUND(C6*C17+C20,0)</f>
        <v>#DIV/0!</v>
      </c>
      <c r="E5" s="711"/>
      <c r="F5" s="712"/>
      <c r="G5" s="713"/>
      <c r="H5" s="713"/>
      <c r="I5" s="713"/>
      <c r="J5" s="909"/>
      <c r="K5" s="910"/>
      <c r="L5" s="906" t="s">
        <v>2095</v>
      </c>
      <c r="M5" s="907">
        <f>SUMPRODUCT((区片价!B87:B126=I2)*(区片价!C3:G3=E2)*(区片价!C87:G126))</f>
        <v>0</v>
      </c>
      <c r="N5" s="904">
        <f>SUMPRODUCT((因素修正幅度!B87:B126=I2)*(因素修正幅度!C3:G3=E2)*(因素修正幅度!C87:G126))</f>
        <v>0</v>
      </c>
      <c r="O5" s="691"/>
      <c r="P5" s="691"/>
      <c r="Q5" s="691"/>
      <c r="R5" s="996">
        <v>4</v>
      </c>
      <c r="S5" s="998">
        <f>ROUND(SUMPRODUCT((B106:B110=R5)*(C105:N105=G2)*(C106:N110)),4)</f>
        <v>0</v>
      </c>
      <c r="T5" s="998" t="e">
        <f t="shared" si="0"/>
        <v>#DIV/0!</v>
      </c>
      <c r="U5" s="999"/>
      <c r="V5" s="998" t="e">
        <f t="shared" si="1"/>
        <v>#DIV/0!</v>
      </c>
      <c r="W5" s="997"/>
      <c r="X5" s="997"/>
      <c r="Y5" s="997"/>
      <c r="Z5" s="997"/>
      <c r="AA5" s="997"/>
      <c r="AB5" s="997"/>
      <c r="AC5" s="1010"/>
      <c r="AD5" s="1011"/>
      <c r="AE5" s="1011"/>
      <c r="AF5" s="1011"/>
      <c r="AG5" s="1011"/>
      <c r="AH5" s="1011"/>
      <c r="AI5" s="1011"/>
      <c r="AJ5" s="1019"/>
    </row>
    <row r="6" spans="1:36" ht="15">
      <c r="A6" s="714" t="s">
        <v>1687</v>
      </c>
      <c r="B6" s="715" t="s">
        <v>2096</v>
      </c>
      <c r="C6" s="716">
        <f>SUMIF(L1:L12,G2,M1:M12)</f>
        <v>0</v>
      </c>
      <c r="D6" s="717"/>
      <c r="E6" s="718"/>
      <c r="F6" s="718"/>
      <c r="G6" s="719"/>
      <c r="H6" s="719"/>
      <c r="I6" s="719"/>
      <c r="J6" s="911"/>
      <c r="K6" s="912"/>
      <c r="L6" s="906" t="s">
        <v>2097</v>
      </c>
      <c r="M6" s="907">
        <f>SUMPRODUCT((区片价!B127:B189=I2)*(区片价!C3:G3=E2)*(区片价!C127:G189))</f>
        <v>0</v>
      </c>
      <c r="N6" s="904">
        <f>SUMPRODUCT((因素修正幅度!B127:B189=I2)*(因素修正幅度!C3:G3=E2)*(因素修正幅度!C127:G189))</f>
        <v>0</v>
      </c>
      <c r="O6" s="691"/>
      <c r="P6" s="691"/>
      <c r="Q6" s="691"/>
      <c r="R6" s="996">
        <v>5</v>
      </c>
      <c r="S6" s="998">
        <f>ROUND(SUMPRODUCT((B106:B110=R6)*(C105:N105=G2)*(C106:N110)),4)</f>
        <v>0</v>
      </c>
      <c r="T6" s="998" t="e">
        <f t="shared" si="0"/>
        <v>#DIV/0!</v>
      </c>
      <c r="U6" s="999"/>
      <c r="V6" s="998" t="e">
        <f t="shared" si="1"/>
        <v>#DIV/0!</v>
      </c>
      <c r="W6" s="997"/>
      <c r="X6" s="997"/>
      <c r="Y6" s="997"/>
      <c r="Z6" s="997"/>
      <c r="AA6" s="997"/>
      <c r="AB6" s="997"/>
      <c r="AC6" s="1010"/>
      <c r="AD6" s="1011"/>
      <c r="AE6" s="1011"/>
      <c r="AF6" s="1011"/>
      <c r="AG6" s="1011"/>
      <c r="AH6" s="1011"/>
      <c r="AI6" s="1011"/>
      <c r="AJ6" s="1019"/>
    </row>
    <row r="7" spans="1:36" ht="24">
      <c r="A7" s="720" t="s">
        <v>2098</v>
      </c>
      <c r="B7" s="721" t="s">
        <v>2099</v>
      </c>
      <c r="C7" s="722" t="e">
        <f>IF(C8="不临65条商业街",1,ROUND(1+(1.6*E8+1.2*E9+0.8*E10+0.4*E11)*C9,4))</f>
        <v>#DIV/0!</v>
      </c>
      <c r="D7" s="723" t="s">
        <v>2100</v>
      </c>
      <c r="E7" s="724"/>
      <c r="F7" s="725"/>
      <c r="G7" s="726"/>
      <c r="H7" s="726"/>
      <c r="I7" s="726"/>
      <c r="J7" s="913"/>
      <c r="K7" s="912"/>
      <c r="L7" s="906" t="s">
        <v>2101</v>
      </c>
      <c r="M7" s="907">
        <f>SUMPRODUCT((区片价!B190:B233=I2)*(区片价!C3:G3=E2)*(区片价!C190:G233))</f>
        <v>0</v>
      </c>
      <c r="N7" s="904">
        <f>SUMPRODUCT((因素修正幅度!B190:B233=I2)*(因素修正幅度!C3:G3=E2)*(因素修正幅度!C190:G233))</f>
        <v>0</v>
      </c>
      <c r="O7" s="691"/>
      <c r="P7" s="691"/>
      <c r="Q7" s="691"/>
      <c r="R7" s="996">
        <v>6</v>
      </c>
      <c r="S7" s="1000"/>
      <c r="T7" s="998" t="e">
        <f t="shared" si="0"/>
        <v>#DIV/0!</v>
      </c>
      <c r="U7" s="999"/>
      <c r="V7" s="998" t="e">
        <f t="shared" si="1"/>
        <v>#DIV/0!</v>
      </c>
      <c r="W7" s="1001" t="s">
        <v>2102</v>
      </c>
      <c r="X7" s="1002">
        <f>G2</f>
        <v>0</v>
      </c>
      <c r="Y7" s="1002" t="s">
        <v>2103</v>
      </c>
      <c r="Z7" s="1012">
        <f>G3</f>
        <v>0</v>
      </c>
      <c r="AA7" s="997"/>
      <c r="AB7" s="997"/>
      <c r="AC7" s="1008"/>
      <c r="AD7" s="1009"/>
      <c r="AE7" s="1009"/>
      <c r="AF7" s="1009"/>
      <c r="AG7" s="1009"/>
      <c r="AH7" s="1009"/>
      <c r="AI7" s="1009"/>
      <c r="AJ7" s="1018"/>
    </row>
    <row r="8" spans="1:36" ht="15">
      <c r="A8" s="727"/>
      <c r="B8" s="707" t="s">
        <v>2104</v>
      </c>
      <c r="C8" s="728"/>
      <c r="D8" s="729" t="s">
        <v>2105</v>
      </c>
      <c r="E8" s="730" t="e">
        <f>ROUND(C11/E7,4)</f>
        <v>#DIV/0!</v>
      </c>
      <c r="F8" s="731" t="s">
        <v>2106</v>
      </c>
      <c r="G8" s="732"/>
      <c r="H8" s="732"/>
      <c r="I8" s="732"/>
      <c r="J8" s="914"/>
      <c r="K8" s="691"/>
      <c r="L8" s="906" t="s">
        <v>2107</v>
      </c>
      <c r="M8" s="907">
        <f>SUMPRODUCT((区片价!B234:B276=I2)*(区片价!C3:G3=E2)*(区片价!C234:G276))</f>
        <v>0</v>
      </c>
      <c r="N8" s="904">
        <f>SUMPRODUCT((因素修正幅度!B234:B276=I2)*(因素修正幅度!C3:G3=E2)*(因素修正幅度!C234:G276))</f>
        <v>0</v>
      </c>
      <c r="O8" s="691"/>
      <c r="P8" s="691"/>
      <c r="Q8" s="691"/>
      <c r="R8" s="996">
        <v>7</v>
      </c>
      <c r="S8" s="999"/>
      <c r="T8" s="998" t="e">
        <f t="shared" si="0"/>
        <v>#DIV/0!</v>
      </c>
      <c r="U8" s="999"/>
      <c r="V8" s="998" t="e">
        <f t="shared" si="1"/>
        <v>#DIV/0!</v>
      </c>
      <c r="W8" s="3784" t="s">
        <v>2108</v>
      </c>
      <c r="X8" s="3785"/>
      <c r="Y8" s="1013" t="s">
        <v>2109</v>
      </c>
      <c r="Z8" s="1013" t="s">
        <v>2110</v>
      </c>
      <c r="AA8" s="1013" t="s">
        <v>2111</v>
      </c>
      <c r="AB8" s="1013" t="s">
        <v>2112</v>
      </c>
      <c r="AC8" s="1013" t="s">
        <v>2113</v>
      </c>
      <c r="AD8" s="1013" t="s">
        <v>2114</v>
      </c>
      <c r="AE8" s="1013" t="s">
        <v>2115</v>
      </c>
      <c r="AF8" s="1013" t="s">
        <v>2116</v>
      </c>
      <c r="AG8" s="1013" t="s">
        <v>2117</v>
      </c>
      <c r="AH8" s="1013" t="s">
        <v>2118</v>
      </c>
      <c r="AI8" s="1013" t="s">
        <v>2119</v>
      </c>
      <c r="AJ8" s="1013" t="s">
        <v>2120</v>
      </c>
    </row>
    <row r="9" spans="1:36" ht="15">
      <c r="A9" s="727"/>
      <c r="B9" s="707" t="s">
        <v>2121</v>
      </c>
      <c r="C9" s="733">
        <f>SUMIF(修正!C73:C140,C8,修正!E73:E140)</f>
        <v>0</v>
      </c>
      <c r="D9" s="734" t="s">
        <v>2122</v>
      </c>
      <c r="E9" s="734" t="e">
        <f>ROUND(C11/E7,4)</f>
        <v>#DIV/0!</v>
      </c>
      <c r="F9" s="731" t="s">
        <v>2123</v>
      </c>
      <c r="G9" s="732"/>
      <c r="H9" s="732"/>
      <c r="I9" s="732"/>
      <c r="J9" s="914"/>
      <c r="K9" s="691"/>
      <c r="L9" s="906" t="s">
        <v>2124</v>
      </c>
      <c r="M9" s="907">
        <f>SUMPRODUCT((区片价!B277:B326=I2)*(区片价!C3:G3=E2)*(区片价!C277:G326))</f>
        <v>0</v>
      </c>
      <c r="N9" s="904">
        <f>SUMPRODUCT((因素修正幅度!B277:B326=I2)*(因素修正幅度!C3:G3=E2)*(因素修正幅度!C277:G326))</f>
        <v>0</v>
      </c>
      <c r="O9" s="691"/>
      <c r="P9" s="691"/>
      <c r="Q9" s="691"/>
      <c r="R9" s="996">
        <v>8</v>
      </c>
      <c r="S9" s="999"/>
      <c r="T9" s="998" t="e">
        <f t="shared" si="0"/>
        <v>#DIV/0!</v>
      </c>
      <c r="U9" s="999"/>
      <c r="V9" s="998" t="e">
        <f t="shared" si="1"/>
        <v>#DIV/0!</v>
      </c>
      <c r="W9" s="3798"/>
      <c r="X9" s="1003" t="s">
        <v>2125</v>
      </c>
      <c r="Y9" s="1014">
        <v>6</v>
      </c>
      <c r="Z9" s="1015">
        <f>$Y$9</f>
        <v>6</v>
      </c>
      <c r="AA9" s="1015">
        <f t="shared" ref="AA9:AJ9" si="2">$Y$9</f>
        <v>6</v>
      </c>
      <c r="AB9" s="1015">
        <f t="shared" si="2"/>
        <v>6</v>
      </c>
      <c r="AC9" s="1015">
        <f t="shared" si="2"/>
        <v>6</v>
      </c>
      <c r="AD9" s="1015">
        <f t="shared" si="2"/>
        <v>6</v>
      </c>
      <c r="AE9" s="1015">
        <f t="shared" si="2"/>
        <v>6</v>
      </c>
      <c r="AF9" s="1015">
        <f t="shared" si="2"/>
        <v>6</v>
      </c>
      <c r="AG9" s="1015">
        <f t="shared" si="2"/>
        <v>6</v>
      </c>
      <c r="AH9" s="1015">
        <f t="shared" si="2"/>
        <v>6</v>
      </c>
      <c r="AI9" s="1015">
        <f t="shared" si="2"/>
        <v>6</v>
      </c>
      <c r="AJ9" s="1015">
        <f t="shared" si="2"/>
        <v>6</v>
      </c>
    </row>
    <row r="10" spans="1:36" ht="15">
      <c r="A10" s="727"/>
      <c r="B10" s="707" t="s">
        <v>2126</v>
      </c>
      <c r="C10" s="734">
        <f>SUMIF(修正!C73:C140,C8,修正!F73:F140)</f>
        <v>0</v>
      </c>
      <c r="D10" s="734" t="s">
        <v>2127</v>
      </c>
      <c r="E10" s="734" t="e">
        <f>ROUND(C11/E7,4)</f>
        <v>#DIV/0!</v>
      </c>
      <c r="F10" s="731" t="s">
        <v>2128</v>
      </c>
      <c r="G10" s="732"/>
      <c r="H10" s="732"/>
      <c r="I10" s="732"/>
      <c r="J10" s="914"/>
      <c r="K10" s="691"/>
      <c r="L10" s="906" t="s">
        <v>2129</v>
      </c>
      <c r="M10" s="907">
        <f>SUMPRODUCT((区片价!B327:B357=I2)*(区片价!C3:G3=E2)*(区片价!C327:G357))</f>
        <v>0</v>
      </c>
      <c r="N10" s="904">
        <f>SUMPRODUCT((因素修正幅度!B327:B357=I2)*(因素修正幅度!C3:G3=E2)*(因素修正幅度!C327:G357))</f>
        <v>0</v>
      </c>
      <c r="O10" s="691"/>
      <c r="P10" s="691"/>
      <c r="Q10" s="691"/>
      <c r="R10" s="996">
        <v>9</v>
      </c>
      <c r="S10" s="999"/>
      <c r="T10" s="998" t="e">
        <f t="shared" si="0"/>
        <v>#DIV/0!</v>
      </c>
      <c r="U10" s="999"/>
      <c r="V10" s="998" t="e">
        <f t="shared" si="1"/>
        <v>#DIV/0!</v>
      </c>
      <c r="W10" s="3798"/>
      <c r="X10" s="1003">
        <v>6</v>
      </c>
      <c r="Y10" s="1016">
        <f>ROUND((-0.5556*(Y9^2)-0.2719*Y9+8944)*(10^(-4)),4)</f>
        <v>0.89219999999999999</v>
      </c>
      <c r="Z10" s="1016">
        <f>ROUND((-0.5556*(Z9^2)-0.2719*Z9+8944)*(10^(-4)),4)</f>
        <v>0.89219999999999999</v>
      </c>
      <c r="AA10" s="1016">
        <f>ROUND((-0.7912*(AA9^2)-11.3794*AA9+8482)*(10^(-4)),4)</f>
        <v>0.83850000000000002</v>
      </c>
      <c r="AB10" s="1016">
        <f>ROUND((-0.7912*(AB9^2)-11.3794*AB9+8482)*(10^(-4)),4)</f>
        <v>0.83850000000000002</v>
      </c>
      <c r="AC10" s="1016">
        <f>ROUND((-0.7912*(AC9^2)-11.3794*AC9+8482)*(10^(-4)),4)</f>
        <v>0.83850000000000002</v>
      </c>
      <c r="AD10" s="1016">
        <f>ROUND((-0.7912*(AD9^2)-11.3794*AD9+8482)*(10^(-4)),4)</f>
        <v>0.83850000000000002</v>
      </c>
      <c r="AE10" s="1016">
        <f>ROUND((-0.7912*(AE9^2)-11.3794*AE9+8482)*(10^(-4)),4)</f>
        <v>0.83850000000000002</v>
      </c>
      <c r="AF10" s="1016">
        <f>ROUND((-0.989*(AF9^2)-63.78*AF9+7771)*(10^(-4)),4)</f>
        <v>0.73529999999999995</v>
      </c>
      <c r="AG10" s="1016">
        <f>ROUND((-0.989*(AG9^2)-63.78*AG9+7771)*(10^(-4)),4)</f>
        <v>0.73529999999999995</v>
      </c>
      <c r="AH10" s="1016">
        <f>ROUND((-0.989*(AH9^2)-63.78*AH9+7771)*(10^(-4)),4)</f>
        <v>0.73529999999999995</v>
      </c>
      <c r="AI10" s="1016">
        <f>ROUND((-0.989*(AI9^2)-63.78*AI9+7771)*(10^(-4)),4)</f>
        <v>0.73529999999999995</v>
      </c>
      <c r="AJ10" s="1016">
        <f>ROUND((-0.989*(AJ9^2)-63.78*AJ9+7771)*(10^(-4)),4)</f>
        <v>0.73529999999999995</v>
      </c>
    </row>
    <row r="11" spans="1:36" ht="15">
      <c r="A11" s="735"/>
      <c r="B11" s="736" t="s">
        <v>2130</v>
      </c>
      <c r="C11" s="737">
        <f>C10/4</f>
        <v>0</v>
      </c>
      <c r="D11" s="737" t="s">
        <v>2131</v>
      </c>
      <c r="E11" s="737" t="e">
        <f>ROUND(C11/E7,4)</f>
        <v>#DIV/0!</v>
      </c>
      <c r="F11" s="738" t="s">
        <v>2132</v>
      </c>
      <c r="G11" s="739"/>
      <c r="H11" s="739"/>
      <c r="I11" s="739"/>
      <c r="J11" s="915"/>
      <c r="K11" s="691"/>
      <c r="L11" s="906" t="s">
        <v>2133</v>
      </c>
      <c r="M11" s="907">
        <f>SUMPRODUCT((区片价!B358:B377=I2)*(区片价!C3:G3=E2)*(区片价!C358:G377))</f>
        <v>0</v>
      </c>
      <c r="N11" s="904">
        <f>SUMPRODUCT((因素修正幅度!B358:B377=I2)*(因素修正幅度!C3:G3=E2)*(因素修正幅度!C358:G377))</f>
        <v>0</v>
      </c>
      <c r="O11" s="691"/>
      <c r="P11" s="691"/>
      <c r="Q11" s="691"/>
      <c r="R11" s="996">
        <v>10</v>
      </c>
      <c r="S11" s="999"/>
      <c r="T11" s="998" t="e">
        <f t="shared" si="0"/>
        <v>#DIV/0!</v>
      </c>
      <c r="U11" s="999"/>
      <c r="V11" s="998" t="e">
        <f t="shared" si="1"/>
        <v>#DIV/0!</v>
      </c>
      <c r="W11" s="997"/>
      <c r="X11" s="997"/>
      <c r="Y11" s="997"/>
      <c r="Z11" s="997"/>
      <c r="AA11" s="997"/>
      <c r="AB11" s="997"/>
      <c r="AC11" s="1008"/>
      <c r="AD11" s="1017"/>
      <c r="AE11" s="1017"/>
      <c r="AF11" s="1017"/>
      <c r="AG11" s="1017"/>
      <c r="AH11" s="1017"/>
      <c r="AI11" s="1017"/>
      <c r="AJ11" s="1020"/>
    </row>
    <row r="12" spans="1:36" ht="24.75">
      <c r="A12" s="720" t="s">
        <v>2134</v>
      </c>
      <c r="B12" s="740" t="s">
        <v>2135</v>
      </c>
      <c r="C12" s="741"/>
      <c r="D12" s="742" t="s">
        <v>2136</v>
      </c>
      <c r="E12" s="743" t="s">
        <v>2137</v>
      </c>
      <c r="F12" s="744"/>
      <c r="G12" s="745"/>
      <c r="H12" s="745"/>
      <c r="I12" s="745"/>
      <c r="J12" s="916"/>
      <c r="K12" s="691"/>
      <c r="L12" s="917" t="s">
        <v>2138</v>
      </c>
      <c r="M12" s="918">
        <f>SUMPRODUCT((区片价!B378:B384=I2)*(区片价!C3:G3=E2)*(区片价!C378:G384))</f>
        <v>0</v>
      </c>
      <c r="N12" s="904">
        <f>SUMPRODUCT((因素修正幅度!B378:B384=I2)*(因素修正幅度!C3:G3=E2)*(因素修正幅度!C378:G384))</f>
        <v>0</v>
      </c>
      <c r="O12" s="691"/>
      <c r="P12" s="691"/>
      <c r="Q12" s="691"/>
      <c r="R12" s="996">
        <v>11</v>
      </c>
      <c r="S12" s="999"/>
      <c r="T12" s="998" t="e">
        <f t="shared" si="0"/>
        <v>#DIV/0!</v>
      </c>
      <c r="U12" s="999"/>
      <c r="V12" s="998" t="e">
        <f t="shared" si="1"/>
        <v>#DIV/0!</v>
      </c>
      <c r="W12" s="997"/>
      <c r="X12" s="997"/>
      <c r="Y12" s="997"/>
      <c r="Z12" s="997"/>
      <c r="AA12" s="997"/>
      <c r="AB12" s="997"/>
      <c r="AC12" s="1008"/>
      <c r="AD12" s="1017"/>
      <c r="AE12" s="1017"/>
      <c r="AF12" s="1017"/>
      <c r="AG12" s="1017"/>
      <c r="AH12" s="1017"/>
      <c r="AI12" s="1017"/>
      <c r="AJ12" s="1020"/>
    </row>
    <row r="13" spans="1:36" ht="15">
      <c r="A13" s="720" t="s">
        <v>2139</v>
      </c>
      <c r="B13" s="746" t="s">
        <v>2140</v>
      </c>
      <c r="C13" s="722">
        <f>ROUND(C16*D16*E16*F16*G16*H16*I16*J16,4)</f>
        <v>0</v>
      </c>
      <c r="D13" s="747" t="s">
        <v>2141</v>
      </c>
      <c r="E13" s="748"/>
      <c r="F13" s="748"/>
      <c r="G13" s="749"/>
      <c r="H13" s="749"/>
      <c r="I13" s="749"/>
      <c r="J13" s="919"/>
      <c r="K13" s="691"/>
      <c r="L13" s="920"/>
      <c r="M13" s="921"/>
      <c r="N13" s="922"/>
      <c r="O13" s="691"/>
      <c r="P13" s="691"/>
      <c r="Q13" s="691"/>
      <c r="R13" s="996">
        <v>12</v>
      </c>
      <c r="S13" s="999"/>
      <c r="T13" s="998" t="e">
        <f t="shared" si="0"/>
        <v>#DIV/0!</v>
      </c>
      <c r="U13" s="999"/>
      <c r="V13" s="998" t="e">
        <f t="shared" si="1"/>
        <v>#DIV/0!</v>
      </c>
      <c r="W13" s="997"/>
      <c r="X13" s="997"/>
      <c r="Y13" s="997"/>
      <c r="Z13" s="997"/>
      <c r="AA13" s="997"/>
      <c r="AB13" s="997"/>
      <c r="AC13" s="1008"/>
      <c r="AD13" s="1017"/>
      <c r="AE13" s="1017"/>
      <c r="AF13" s="1017"/>
      <c r="AG13" s="1017"/>
      <c r="AH13" s="1017"/>
      <c r="AI13" s="1017"/>
      <c r="AJ13" s="1020"/>
    </row>
    <row r="14" spans="1:36" ht="15">
      <c r="A14" s="750"/>
      <c r="B14" s="751" t="s">
        <v>2142</v>
      </c>
      <c r="C14" s="752" t="s">
        <v>2143</v>
      </c>
      <c r="D14" s="753" t="s">
        <v>2144</v>
      </c>
      <c r="E14" s="754" t="s">
        <v>2145</v>
      </c>
      <c r="F14" s="755" t="s">
        <v>2146</v>
      </c>
      <c r="G14" s="755" t="s">
        <v>2146</v>
      </c>
      <c r="H14" s="755" t="s">
        <v>2146</v>
      </c>
      <c r="I14" s="755" t="s">
        <v>2146</v>
      </c>
      <c r="J14" s="755" t="s">
        <v>2146</v>
      </c>
      <c r="K14" s="691"/>
      <c r="L14" s="691"/>
      <c r="M14" s="691"/>
      <c r="N14" s="691"/>
      <c r="O14" s="691"/>
      <c r="P14" s="691"/>
      <c r="Q14" s="691"/>
      <c r="R14" s="996">
        <v>13</v>
      </c>
      <c r="S14" s="999"/>
      <c r="T14" s="998" t="e">
        <f t="shared" si="0"/>
        <v>#DIV/0!</v>
      </c>
      <c r="U14" s="999"/>
      <c r="V14" s="998" t="e">
        <f t="shared" si="1"/>
        <v>#DIV/0!</v>
      </c>
      <c r="W14" s="997"/>
      <c r="X14" s="997"/>
      <c r="Y14" s="997"/>
      <c r="Z14" s="997"/>
      <c r="AA14" s="997"/>
      <c r="AB14" s="997"/>
      <c r="AC14" s="1008"/>
      <c r="AD14" s="1017"/>
      <c r="AE14" s="1017"/>
      <c r="AF14" s="1017"/>
      <c r="AG14" s="1017"/>
      <c r="AH14" s="1017"/>
      <c r="AI14" s="1017"/>
      <c r="AJ14" s="1020"/>
    </row>
    <row r="15" spans="1:36" ht="15">
      <c r="A15" s="750"/>
      <c r="B15" s="756"/>
      <c r="C15" s="757"/>
      <c r="D15" s="758"/>
      <c r="E15" s="759"/>
      <c r="F15" s="760" t="s">
        <v>2147</v>
      </c>
      <c r="G15" s="761"/>
      <c r="H15" s="762"/>
      <c r="I15" s="923"/>
      <c r="J15" s="924"/>
      <c r="K15" s="691"/>
      <c r="L15" s="691"/>
      <c r="M15" s="691"/>
      <c r="N15" s="691"/>
      <c r="O15" s="691"/>
      <c r="P15" s="691"/>
      <c r="Q15" s="691"/>
      <c r="R15" s="996">
        <v>14</v>
      </c>
      <c r="S15" s="999"/>
      <c r="T15" s="998" t="e">
        <f t="shared" si="0"/>
        <v>#DIV/0!</v>
      </c>
      <c r="U15" s="999"/>
      <c r="V15" s="998" t="e">
        <f t="shared" si="1"/>
        <v>#DIV/0!</v>
      </c>
      <c r="W15" s="997"/>
      <c r="X15" s="997"/>
      <c r="Y15" s="997"/>
      <c r="Z15" s="997"/>
      <c r="AA15" s="997"/>
      <c r="AB15" s="997"/>
      <c r="AC15" s="1008"/>
      <c r="AD15" s="1017"/>
      <c r="AE15" s="1017"/>
      <c r="AF15" s="1017"/>
      <c r="AG15" s="1017"/>
      <c r="AH15" s="1017"/>
      <c r="AI15" s="1017"/>
      <c r="AJ15" s="1020"/>
    </row>
    <row r="16" spans="1:36" ht="15">
      <c r="A16" s="750"/>
      <c r="B16" s="763" t="s">
        <v>2148</v>
      </c>
      <c r="C16" s="764"/>
      <c r="D16" s="764"/>
      <c r="E16" s="764"/>
      <c r="F16" s="764">
        <v>1</v>
      </c>
      <c r="G16" s="764">
        <v>1</v>
      </c>
      <c r="H16" s="764">
        <v>1</v>
      </c>
      <c r="I16" s="764">
        <v>1</v>
      </c>
      <c r="J16" s="925">
        <v>1</v>
      </c>
      <c r="K16" s="691"/>
      <c r="L16" s="692"/>
      <c r="M16" s="692"/>
      <c r="N16" s="692"/>
      <c r="O16" s="692"/>
      <c r="P16" s="692"/>
      <c r="Q16" s="691"/>
      <c r="R16" s="996">
        <v>15</v>
      </c>
      <c r="S16" s="999"/>
      <c r="T16" s="998" t="e">
        <f t="shared" si="0"/>
        <v>#DIV/0!</v>
      </c>
      <c r="U16" s="999"/>
      <c r="V16" s="998" t="e">
        <f t="shared" si="1"/>
        <v>#DIV/0!</v>
      </c>
      <c r="W16" s="997"/>
      <c r="X16" s="997"/>
      <c r="Y16" s="997"/>
      <c r="Z16" s="997"/>
      <c r="AA16" s="997"/>
      <c r="AB16" s="997"/>
      <c r="AC16" s="1008"/>
      <c r="AD16" s="1017"/>
      <c r="AE16" s="1017"/>
      <c r="AF16" s="1017"/>
      <c r="AG16" s="1017"/>
      <c r="AH16" s="1017"/>
      <c r="AI16" s="1017"/>
      <c r="AJ16" s="1020"/>
    </row>
    <row r="17" spans="1:37">
      <c r="A17" s="765" t="s">
        <v>2149</v>
      </c>
      <c r="B17" s="766" t="s">
        <v>2150</v>
      </c>
      <c r="C17" s="767">
        <f>ROUND(IF(OR(E2="工业",E2="公共服务"),1,IF(AND(E18=0,E19=0),1,IF(AND(E18=J24,E19=G19),0.8,IF(E19=0,1+E17*(-0.2),1+E17*G17*(-0.2))))),4)</f>
        <v>1</v>
      </c>
      <c r="D17" s="768" t="s">
        <v>2151</v>
      </c>
      <c r="E17" s="767" t="e">
        <f>ROUND(G18/I18,2)</f>
        <v>#DIV/0!</v>
      </c>
      <c r="F17" s="768" t="s">
        <v>2152</v>
      </c>
      <c r="G17" s="767" t="e">
        <f>ROUND(E19/G19,2)</f>
        <v>#DIV/0!</v>
      </c>
      <c r="H17" s="767"/>
      <c r="I17" s="767"/>
      <c r="J17" s="926"/>
      <c r="K17" s="691"/>
      <c r="L17" s="692"/>
      <c r="M17" s="692"/>
      <c r="N17" s="692"/>
      <c r="O17" s="692"/>
      <c r="P17" s="692"/>
      <c r="Q17" s="691"/>
      <c r="R17" s="691"/>
      <c r="S17" s="691"/>
      <c r="T17" s="691"/>
      <c r="U17" s="691"/>
      <c r="V17" s="691"/>
      <c r="W17" s="691"/>
      <c r="X17" s="691"/>
      <c r="Y17" s="691"/>
      <c r="Z17" s="867"/>
      <c r="AA17" s="867"/>
      <c r="AB17" s="867"/>
      <c r="AC17" s="867"/>
      <c r="AD17" s="867"/>
      <c r="AE17" s="691"/>
      <c r="AF17" s="691"/>
      <c r="AG17" s="692"/>
      <c r="AH17" s="692"/>
      <c r="AI17" s="692"/>
      <c r="AJ17" s="692"/>
    </row>
    <row r="18" spans="1:37" s="690" customFormat="1" ht="14.25">
      <c r="A18" s="769"/>
      <c r="B18" s="770"/>
      <c r="C18" s="771"/>
      <c r="D18" s="772" t="s">
        <v>2153</v>
      </c>
      <c r="E18" s="773"/>
      <c r="F18" s="774" t="s">
        <v>2154</v>
      </c>
      <c r="G18" s="771">
        <f>ROUND(1-(1/(POWER(1+G24,E18))),4)</f>
        <v>0</v>
      </c>
      <c r="H18" s="774" t="s">
        <v>2155</v>
      </c>
      <c r="I18" s="771">
        <f>ROUND(1-(1/(POWER(1+G24,J24))),4)</f>
        <v>0</v>
      </c>
      <c r="J18" s="927"/>
      <c r="K18" s="691"/>
      <c r="L18" s="692"/>
      <c r="M18" s="692"/>
      <c r="N18" s="692"/>
      <c r="O18" s="692"/>
      <c r="P18" s="692"/>
      <c r="Q18" s="691"/>
      <c r="R18" s="1004"/>
      <c r="S18" s="1004"/>
      <c r="T18" s="867"/>
      <c r="U18" s="867"/>
      <c r="V18" s="867"/>
      <c r="W18" s="691"/>
      <c r="X18" s="691"/>
      <c r="Y18" s="691"/>
      <c r="Z18" s="935"/>
      <c r="AA18" s="935"/>
      <c r="AB18" s="935"/>
      <c r="AC18" s="935"/>
      <c r="AD18" s="935"/>
      <c r="AE18" s="867"/>
      <c r="AF18" s="867"/>
      <c r="AG18" s="1021"/>
      <c r="AH18" s="1021"/>
      <c r="AI18" s="1021"/>
      <c r="AJ18" s="936"/>
    </row>
    <row r="19" spans="1:37" s="690" customFormat="1" ht="14.25">
      <c r="A19" s="775"/>
      <c r="B19" s="776"/>
      <c r="C19" s="777"/>
      <c r="D19" s="777" t="s">
        <v>2156</v>
      </c>
      <c r="E19" s="778"/>
      <c r="F19" s="779" t="s">
        <v>2157</v>
      </c>
      <c r="G19" s="778"/>
      <c r="H19" s="777"/>
      <c r="I19" s="777"/>
      <c r="J19" s="928"/>
      <c r="K19" s="691"/>
      <c r="L19" s="692"/>
      <c r="M19" s="692"/>
      <c r="N19" s="692"/>
      <c r="O19" s="692"/>
      <c r="P19" s="692"/>
      <c r="Q19" s="1004"/>
      <c r="R19" s="1004"/>
      <c r="S19" s="1004"/>
      <c r="T19" s="867"/>
      <c r="U19" s="867"/>
      <c r="V19" s="867"/>
      <c r="W19" s="691"/>
      <c r="X19" s="691"/>
      <c r="Y19" s="691"/>
      <c r="Z19" s="935"/>
      <c r="AA19" s="935"/>
      <c r="AB19" s="935"/>
      <c r="AC19" s="935"/>
      <c r="AD19" s="935"/>
      <c r="AE19" s="935"/>
      <c r="AF19" s="1004"/>
      <c r="AG19" s="1022"/>
      <c r="AH19" s="1021"/>
      <c r="AI19" s="1023"/>
      <c r="AJ19" s="1023"/>
      <c r="AK19" s="1024"/>
    </row>
    <row r="20" spans="1:37" s="690" customFormat="1" ht="14.25">
      <c r="A20" s="3790" t="s">
        <v>2158</v>
      </c>
      <c r="B20" s="780" t="s">
        <v>2159</v>
      </c>
      <c r="C20" s="781" t="e">
        <f>ROUND(IF(F21="与级别开发程度一致",0,(G21-E21)/C21),0)</f>
        <v>#DIV/0!</v>
      </c>
      <c r="D20" s="782" t="s">
        <v>2160</v>
      </c>
      <c r="E20" s="783"/>
      <c r="F20" s="3786" t="s">
        <v>2161</v>
      </c>
      <c r="G20" s="3787"/>
      <c r="H20" s="784"/>
      <c r="I20" s="784"/>
      <c r="J20" s="929"/>
      <c r="K20" s="930"/>
      <c r="L20" s="930"/>
      <c r="M20" s="930"/>
      <c r="N20" s="930"/>
      <c r="O20" s="931"/>
      <c r="P20" s="692"/>
      <c r="Q20" s="1004"/>
      <c r="R20" s="1004"/>
      <c r="S20" s="1004"/>
      <c r="T20" s="867"/>
      <c r="U20" s="867"/>
      <c r="V20" s="867"/>
      <c r="W20" s="691"/>
      <c r="X20" s="691"/>
      <c r="Y20" s="691"/>
      <c r="Z20" s="935"/>
      <c r="AA20" s="935"/>
      <c r="AB20" s="935"/>
      <c r="AC20" s="935"/>
      <c r="AD20" s="935"/>
      <c r="AE20" s="935"/>
      <c r="AF20" s="935"/>
      <c r="AG20" s="936"/>
      <c r="AH20" s="936"/>
      <c r="AI20" s="936"/>
      <c r="AJ20" s="936"/>
    </row>
    <row r="21" spans="1:37" s="690" customFormat="1" ht="14.25">
      <c r="A21" s="3791"/>
      <c r="B21" s="785" t="s">
        <v>2162</v>
      </c>
      <c r="C21" s="786">
        <f>IF(E3="M4科研用地",SUMPRODUCT((修正!A2:A7=E3)*(修正!B1:M1=G2)*(修正!B2:M7)),SUMPRODUCT((修正!A2:A7=E2)*(修正!B1:M1=G2)*(修正!B2:M7)))</f>
        <v>0</v>
      </c>
      <c r="D21" s="787" t="str">
        <f>IF(OR(G2="八级",G2="九级",G2="十级",G2="十一级",G2="十二级"),"五通一平","七通一平")</f>
        <v>七通一平</v>
      </c>
      <c r="E21" s="788">
        <f>SUMPRODUCT((修正!B1:M1=G2)*(修正!B17:M17))</f>
        <v>0</v>
      </c>
      <c r="F21" s="789"/>
      <c r="G21" s="790">
        <f>SUM(H21:O21)</f>
        <v>0</v>
      </c>
      <c r="H21" s="786">
        <f>SUMPRODUCT((七通一平=H20)*(修正!B1:M1=G2)*(修正!B8:M16))</f>
        <v>0</v>
      </c>
      <c r="I21" s="786">
        <f>SUMPRODUCT((七通一平=I20)*(修正!B1:M1=G2)*(修正!B8:M16))</f>
        <v>0</v>
      </c>
      <c r="J21" s="932">
        <f>SUMPRODUCT((七通一平=J20)*(修正!B1:M1=G2)*(修正!B8:M16))</f>
        <v>0</v>
      </c>
      <c r="K21" s="786">
        <f>SUMPRODUCT((七通一平=K20)*(修正!B1:M1=G2)*(修正!B8:M16))</f>
        <v>0</v>
      </c>
      <c r="L21" s="786">
        <f>SUMPRODUCT((七通一平=L20)*(修正!B1:M1=G2)*(修正!B8:M16))</f>
        <v>0</v>
      </c>
      <c r="M21" s="786">
        <f>SUMPRODUCT((七通一平=M20)*(修正!B1:M1=G2)*(修正!B8:M16))</f>
        <v>0</v>
      </c>
      <c r="N21" s="786">
        <f>SUMPRODUCT((七通一平=N20)*(修正!B1:M1=G2)*(修正!B8:M16))</f>
        <v>0</v>
      </c>
      <c r="O21" s="933">
        <f>SUMPRODUCT((七通一平=O20)*(修正!B1:M1=G2)*(修正!B8:M16))</f>
        <v>0</v>
      </c>
      <c r="P21" s="692"/>
      <c r="Q21" s="936"/>
      <c r="R21" s="1004"/>
      <c r="S21" s="1004"/>
      <c r="T21" s="867"/>
      <c r="U21" s="867"/>
      <c r="V21" s="867"/>
      <c r="W21" s="691"/>
      <c r="X21" s="691"/>
      <c r="Y21" s="691"/>
      <c r="Z21" s="935"/>
      <c r="AA21" s="935"/>
      <c r="AB21" s="935"/>
      <c r="AC21" s="935"/>
      <c r="AD21" s="935"/>
      <c r="AE21" s="935"/>
      <c r="AF21" s="935"/>
      <c r="AG21" s="936"/>
      <c r="AH21" s="936"/>
      <c r="AI21" s="936"/>
      <c r="AJ21" s="936"/>
    </row>
    <row r="22" spans="1:37" s="690" customFormat="1" ht="15">
      <c r="A22" s="791" t="s">
        <v>1305</v>
      </c>
      <c r="B22" s="792" t="s">
        <v>2163</v>
      </c>
      <c r="C22" s="793">
        <f>SUMIF(修正!C20:C53,E3,修正!E20:E53)</f>
        <v>0</v>
      </c>
      <c r="D22" s="794"/>
      <c r="E22" s="795"/>
      <c r="F22" s="795"/>
      <c r="G22" s="795"/>
      <c r="H22" s="795"/>
      <c r="I22" s="795"/>
      <c r="J22" s="934"/>
      <c r="K22" s="935"/>
      <c r="L22" s="936"/>
      <c r="M22" s="936"/>
      <c r="N22" s="936"/>
      <c r="O22" s="937"/>
      <c r="P22" s="937"/>
      <c r="Q22" s="936"/>
      <c r="R22" s="1004"/>
      <c r="S22" s="1004"/>
      <c r="T22" s="867"/>
      <c r="U22" s="867"/>
      <c r="V22" s="867"/>
      <c r="W22" s="691"/>
      <c r="X22" s="691"/>
      <c r="Y22" s="691"/>
      <c r="Z22" s="935"/>
      <c r="AA22" s="935"/>
      <c r="AB22" s="935"/>
      <c r="AC22" s="935"/>
      <c r="AD22" s="935"/>
      <c r="AE22" s="935"/>
      <c r="AF22" s="935"/>
      <c r="AG22" s="936"/>
      <c r="AH22" s="936"/>
      <c r="AI22" s="936"/>
      <c r="AJ22" s="936"/>
    </row>
    <row r="23" spans="1:37" ht="15">
      <c r="A23" s="796" t="s">
        <v>1310</v>
      </c>
      <c r="B23" s="797" t="s">
        <v>2164</v>
      </c>
      <c r="C23" s="7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99" t="s">
        <v>2165</v>
      </c>
      <c r="E23" s="800">
        <v>44197</v>
      </c>
      <c r="F23" s="799" t="s">
        <v>2166</v>
      </c>
      <c r="G23" s="801">
        <f>'数据-取费表'!B2</f>
        <v>45911</v>
      </c>
      <c r="H23" s="802"/>
      <c r="I23" s="938" t="str">
        <f>IF(H23="季度增幅（自定义）",SUMIF(N25:N28,E2,O25:O28),"")</f>
        <v/>
      </c>
      <c r="J23" s="939"/>
      <c r="K23" s="935"/>
      <c r="L23" s="940" t="s">
        <v>2167</v>
      </c>
      <c r="M23" s="941">
        <f>ROUND(SUMIF(地价!B2:G2,E2,地价!B16:G16),0)</f>
        <v>0</v>
      </c>
      <c r="N23" s="942" t="s">
        <v>2168</v>
      </c>
      <c r="O23" s="943">
        <f>ROUNDDOWN(DATEDIF(E23,G23,"M")/3,0)</f>
        <v>18</v>
      </c>
      <c r="P23" s="944"/>
      <c r="Q23" s="936"/>
      <c r="R23" s="1004"/>
      <c r="S23" s="1004"/>
      <c r="T23" s="867"/>
      <c r="U23" s="867"/>
      <c r="V23" s="867"/>
      <c r="W23" s="691"/>
      <c r="X23" s="691"/>
      <c r="Y23" s="691"/>
      <c r="Z23" s="935"/>
      <c r="AA23" s="935"/>
      <c r="AB23" s="935"/>
      <c r="AC23" s="935"/>
      <c r="AD23" s="935"/>
      <c r="AE23" s="867"/>
      <c r="AF23" s="867"/>
      <c r="AG23" s="1021"/>
      <c r="AH23" s="1021"/>
      <c r="AI23" s="1021"/>
      <c r="AJ23" s="1021"/>
      <c r="AK23" s="693"/>
    </row>
    <row r="24" spans="1:37" s="690" customFormat="1" ht="24">
      <c r="A24" s="803" t="s">
        <v>1313</v>
      </c>
      <c r="B24" s="804" t="s">
        <v>2169</v>
      </c>
      <c r="C24" s="805" t="e">
        <f>ROUND(POWER(1+G24,J24-I24)*(POWER(1+G24,I24)-1)/(POWER(1+G24,J24)-1),4)</f>
        <v>#DIV/0!</v>
      </c>
      <c r="D24" s="806" t="s">
        <v>2170</v>
      </c>
      <c r="E24" s="807">
        <f>存贷款利率!E28/100</f>
        <v>4.3499999999999997E-2</v>
      </c>
      <c r="F24" s="806" t="s">
        <v>2171</v>
      </c>
      <c r="G24" s="808">
        <f>SUMIF(M30:Q30,E2,M33:Q33)</f>
        <v>0</v>
      </c>
      <c r="H24" s="806" t="s">
        <v>2172</v>
      </c>
      <c r="I24" s="945" t="e">
        <f>SUMIF('数据-取费表'!C6:C15,E2,'数据-取费表'!F6:F15)/COUNTIF('数据-取费表'!C6:C15,E2)</f>
        <v>#DIV/0!</v>
      </c>
      <c r="J24" s="946">
        <f>IF(E2="住宅",70,IF(E2="商业",40,50))</f>
        <v>50</v>
      </c>
      <c r="K24" s="935"/>
      <c r="L24" s="947" t="s">
        <v>2173</v>
      </c>
      <c r="M24" s="948">
        <f>ROUND(SUMPRODUCT((地价!A4:A16=YEAR(G23)&amp;"-"&amp;ROUNDUP(MONTH(G23)/3,0))*(地价!B2:G2=E2)*(地价!B4:G16)),0)</f>
        <v>0</v>
      </c>
      <c r="N24" s="949" t="s">
        <v>2174</v>
      </c>
      <c r="O24" s="950" t="s">
        <v>2175</v>
      </c>
      <c r="P24" s="951" t="s">
        <v>2176</v>
      </c>
      <c r="Q24" s="692"/>
      <c r="R24" s="1004"/>
      <c r="S24" s="1004"/>
      <c r="T24" s="867"/>
      <c r="U24" s="867"/>
      <c r="V24" s="867"/>
      <c r="W24" s="691"/>
      <c r="X24" s="691"/>
      <c r="Y24" s="691"/>
      <c r="Z24" s="935"/>
      <c r="AA24" s="935"/>
      <c r="AB24" s="935"/>
      <c r="AC24" s="935"/>
      <c r="AD24" s="935"/>
      <c r="AE24" s="935"/>
      <c r="AF24" s="935"/>
      <c r="AG24" s="936"/>
      <c r="AH24" s="936"/>
      <c r="AI24" s="936"/>
      <c r="AJ24" s="936"/>
    </row>
    <row r="25" spans="1:37" ht="15">
      <c r="A25" s="809" t="s">
        <v>1335</v>
      </c>
      <c r="B25" s="810" t="s">
        <v>2177</v>
      </c>
      <c r="C25" s="811">
        <f>IF(B25="容积率修正",IF(G3&lt;10,D26,J26),C27)</f>
        <v>0</v>
      </c>
      <c r="D25" s="812"/>
      <c r="E25" s="812"/>
      <c r="F25" s="812"/>
      <c r="G25" s="812"/>
      <c r="H25" s="812"/>
      <c r="I25" s="812"/>
      <c r="J25" s="952"/>
      <c r="K25" s="935"/>
      <c r="L25" s="936"/>
      <c r="M25" s="936"/>
      <c r="N25" s="953" t="s">
        <v>2178</v>
      </c>
      <c r="O25" s="954"/>
      <c r="P25" s="955">
        <f>SUMPRODUCT((地价!A3:A40=YEAR(G23)&amp;"-"&amp;ROUNDUP(MONTH(G23)/3,0))*(地价!AD2:AH2=N25)*(地价!AD3:AH40))</f>
        <v>0</v>
      </c>
      <c r="Q25" s="936"/>
      <c r="R25" s="1004"/>
      <c r="S25" s="1004"/>
      <c r="T25" s="867"/>
      <c r="U25" s="867"/>
      <c r="V25" s="867"/>
      <c r="W25" s="691"/>
      <c r="X25" s="691"/>
      <c r="Y25" s="691"/>
      <c r="Z25" s="935"/>
      <c r="AA25" s="935"/>
      <c r="AB25" s="935"/>
      <c r="AC25" s="935"/>
      <c r="AD25" s="935"/>
      <c r="AE25" s="867"/>
      <c r="AF25" s="867"/>
      <c r="AG25" s="1021"/>
      <c r="AH25" s="1021"/>
      <c r="AI25" s="1021"/>
      <c r="AJ25" s="1021"/>
    </row>
    <row r="26" spans="1:37" ht="14.25">
      <c r="A26" s="813" t="s">
        <v>2179</v>
      </c>
      <c r="B26" s="814" t="s">
        <v>2180</v>
      </c>
      <c r="C26" s="815" t="s">
        <v>2181</v>
      </c>
      <c r="D26" s="816">
        <f>IF(E26=G26,F26,IF(G3&lt;10,ROUND(F26+(H26-F26)*(G3-E26)/(G26-E26),4),"——"))</f>
        <v>0</v>
      </c>
      <c r="E26" s="706">
        <f>ROUNDDOWN(G3,1)</f>
        <v>0</v>
      </c>
      <c r="F26" s="8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8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15" t="s">
        <v>2182</v>
      </c>
      <c r="J26" s="956" t="str">
        <f>IF(G3&gt;=10,D115,"——")</f>
        <v>——</v>
      </c>
      <c r="K26" s="935"/>
      <c r="L26" s="936"/>
      <c r="M26" s="936"/>
      <c r="N26" s="953" t="s">
        <v>2183</v>
      </c>
      <c r="O26" s="954"/>
      <c r="P26" s="955">
        <f>SUMPRODUCT((地价!A3:A40=YEAR(G23)&amp;"-"&amp;ROUNDUP(MONTH(G23)/3,0))*(地价!AD2:AH2=N26)*(地价!AD3:AH40))</f>
        <v>0</v>
      </c>
      <c r="Q26" s="692"/>
      <c r="R26" s="1004"/>
      <c r="S26" s="1004"/>
      <c r="T26" s="867"/>
      <c r="U26" s="867"/>
      <c r="V26" s="867"/>
      <c r="W26" s="691"/>
      <c r="X26" s="691"/>
      <c r="Y26" s="691"/>
      <c r="Z26" s="935"/>
      <c r="AA26" s="935"/>
      <c r="AB26" s="935"/>
      <c r="AC26" s="935"/>
      <c r="AD26" s="935"/>
      <c r="AE26" s="867"/>
      <c r="AF26" s="867"/>
      <c r="AG26" s="1021"/>
      <c r="AH26" s="1021"/>
      <c r="AI26" s="1021"/>
      <c r="AJ26" s="1021"/>
    </row>
    <row r="27" spans="1:37" ht="15">
      <c r="A27" s="813" t="s">
        <v>2184</v>
      </c>
      <c r="B27" s="817" t="s">
        <v>2185</v>
      </c>
      <c r="C27" s="818">
        <f>ROUND(IF(I3&lt;6,SUMPRODUCT((B106:B110=I3)*(C105:N105=G2)*(C106:N110)),SUMIF(C105:N105,G2,C112:N112)),4)</f>
        <v>0</v>
      </c>
      <c r="D27" s="819"/>
      <c r="E27" s="819"/>
      <c r="F27" s="820"/>
      <c r="G27" s="821"/>
      <c r="H27" s="822"/>
      <c r="I27" s="957"/>
      <c r="J27" s="958"/>
      <c r="K27" s="691"/>
      <c r="L27" s="692"/>
      <c r="M27" s="692"/>
      <c r="N27" s="953" t="s">
        <v>2186</v>
      </c>
      <c r="O27" s="954"/>
      <c r="P27" s="955">
        <f>SUMPRODUCT((地价!A3:A40=YEAR(G23)&amp;"-"&amp;ROUNDUP(MONTH(G23)/3,0))*(地价!AD2:AH2=N27)*(地价!AD3:AH40))</f>
        <v>0</v>
      </c>
      <c r="Q27" s="692"/>
      <c r="R27" s="1004"/>
      <c r="S27" s="1004"/>
      <c r="T27" s="867"/>
      <c r="U27" s="867"/>
      <c r="V27" s="867"/>
      <c r="W27" s="691"/>
      <c r="X27" s="691"/>
      <c r="Y27" s="691"/>
      <c r="Z27" s="935"/>
      <c r="AA27" s="935"/>
      <c r="AB27" s="935"/>
      <c r="AC27" s="935"/>
      <c r="AD27" s="935"/>
      <c r="AE27" s="867"/>
      <c r="AF27" s="867"/>
      <c r="AG27" s="1021"/>
      <c r="AH27" s="1021"/>
      <c r="AI27" s="1021"/>
      <c r="AJ27" s="1021"/>
    </row>
    <row r="28" spans="1:37" ht="15">
      <c r="A28" s="803" t="s">
        <v>2187</v>
      </c>
      <c r="B28" s="797" t="s">
        <v>2188</v>
      </c>
      <c r="C28" s="798">
        <f>SUMIF(A47:A101,E2,B47:B101)</f>
        <v>0</v>
      </c>
      <c r="D28" s="823"/>
      <c r="E28" s="824"/>
      <c r="F28" s="824"/>
      <c r="G28" s="824"/>
      <c r="H28" s="824"/>
      <c r="I28" s="824"/>
      <c r="J28" s="959"/>
      <c r="K28" s="935"/>
      <c r="L28" s="936"/>
      <c r="M28" s="936"/>
      <c r="N28" s="960" t="s">
        <v>2189</v>
      </c>
      <c r="O28" s="961"/>
      <c r="P28" s="962">
        <f>SUMPRODUCT((地价!A3:A40=YEAR(G23)&amp;"-"&amp;ROUNDUP(MONTH(G23)/3,0))*(地价!AD2:AH2=N28)*(地价!AD3:AH40))</f>
        <v>0</v>
      </c>
      <c r="Q28" s="1004"/>
      <c r="R28" s="1004"/>
      <c r="S28" s="1004"/>
      <c r="T28" s="867"/>
      <c r="U28" s="867"/>
      <c r="V28" s="867"/>
      <c r="W28" s="691"/>
      <c r="X28" s="691"/>
      <c r="Y28" s="691"/>
      <c r="Z28" s="935"/>
      <c r="AA28" s="935"/>
      <c r="AB28" s="935"/>
      <c r="AC28" s="935"/>
      <c r="AD28" s="935"/>
      <c r="AE28" s="867"/>
      <c r="AF28" s="867"/>
      <c r="AG28" s="1021"/>
      <c r="AH28" s="1021"/>
      <c r="AI28" s="1021"/>
      <c r="AJ28" s="1021"/>
    </row>
    <row r="29" spans="1:37" ht="15">
      <c r="A29" s="803" t="s">
        <v>2190</v>
      </c>
      <c r="B29" s="825" t="s">
        <v>2191</v>
      </c>
      <c r="C29" s="826"/>
      <c r="D29" s="726"/>
      <c r="E29" s="726"/>
      <c r="F29" s="827"/>
      <c r="G29" s="726"/>
      <c r="H29" s="726"/>
      <c r="I29" s="726"/>
      <c r="J29" s="913"/>
      <c r="K29" s="691"/>
      <c r="L29" s="692"/>
      <c r="M29" s="692"/>
      <c r="N29" s="963" t="s">
        <v>2192</v>
      </c>
      <c r="O29" s="964"/>
      <c r="P29" s="965">
        <f>SUMPRODUCT((地价!A3:A40=YEAR(G23)&amp;"-"&amp;ROUNDUP(MONTH(G23)/3,0))*(地价!AD2:AH2=N29)*(地价!AD3:AH40))</f>
        <v>0</v>
      </c>
      <c r="Q29" s="1004"/>
      <c r="R29" s="1004"/>
      <c r="S29" s="1004"/>
      <c r="T29" s="867"/>
      <c r="U29" s="867"/>
      <c r="V29" s="867"/>
      <c r="W29" s="691"/>
      <c r="X29" s="691"/>
      <c r="Y29" s="691"/>
      <c r="Z29" s="935"/>
      <c r="AA29" s="935"/>
      <c r="AB29" s="935"/>
      <c r="AC29" s="935"/>
      <c r="AD29" s="935"/>
      <c r="AE29" s="691"/>
      <c r="AF29" s="691"/>
      <c r="AG29" s="692"/>
      <c r="AH29" s="692"/>
      <c r="AI29" s="692"/>
      <c r="AJ29" s="692"/>
    </row>
    <row r="30" spans="1:37" ht="15">
      <c r="A30" s="828"/>
      <c r="B30" s="814" t="s">
        <v>2193</v>
      </c>
      <c r="C30" s="829" t="e">
        <f>IF(B25="容积率修正",E33+SUM(E37:E42),SUM(V2:V16)+SUM(E37:E42))</f>
        <v>#DIV/0!</v>
      </c>
      <c r="D30" s="830"/>
      <c r="E30" s="819"/>
      <c r="F30" s="831"/>
      <c r="G30" s="819"/>
      <c r="H30" s="819"/>
      <c r="I30" s="819"/>
      <c r="J30" s="966"/>
      <c r="K30" s="691"/>
      <c r="L30" s="967" t="s">
        <v>2085</v>
      </c>
      <c r="M30" s="968" t="s">
        <v>2194</v>
      </c>
      <c r="N30" s="968" t="s">
        <v>2195</v>
      </c>
      <c r="O30" s="968" t="s">
        <v>2196</v>
      </c>
      <c r="P30" s="968" t="s">
        <v>2197</v>
      </c>
      <c r="Q30" s="1005" t="s">
        <v>231</v>
      </c>
      <c r="R30" s="1004"/>
      <c r="S30" s="1004"/>
      <c r="T30" s="867"/>
      <c r="U30" s="867"/>
      <c r="V30" s="867"/>
      <c r="W30" s="691"/>
      <c r="X30" s="691"/>
      <c r="Y30" s="691"/>
      <c r="Z30" s="935"/>
      <c r="AA30" s="935"/>
      <c r="AB30" s="935"/>
      <c r="AC30" s="935"/>
      <c r="AD30" s="935"/>
      <c r="AE30" s="691"/>
      <c r="AF30" s="691"/>
      <c r="AG30" s="692"/>
      <c r="AH30" s="692"/>
      <c r="AI30" s="692"/>
      <c r="AJ30" s="692"/>
    </row>
    <row r="31" spans="1:37" ht="15">
      <c r="A31" s="828"/>
      <c r="B31" s="832" t="s">
        <v>2198</v>
      </c>
      <c r="C31" s="833" t="e">
        <f>E34+SUM(I37:I42)</f>
        <v>#DIV/0!</v>
      </c>
      <c r="D31" s="834"/>
      <c r="E31" s="835"/>
      <c r="F31" s="836"/>
      <c r="G31" s="835"/>
      <c r="H31" s="835"/>
      <c r="I31" s="835"/>
      <c r="J31" s="969"/>
      <c r="K31" s="691"/>
      <c r="L31" s="970" t="s">
        <v>2199</v>
      </c>
      <c r="M31" s="701">
        <v>0.25</v>
      </c>
      <c r="N31" s="701">
        <v>0.2</v>
      </c>
      <c r="O31" s="701">
        <v>0.15</v>
      </c>
      <c r="P31" s="701">
        <v>0.1</v>
      </c>
      <c r="Q31" s="1006">
        <v>0.15</v>
      </c>
      <c r="R31" s="1004"/>
      <c r="S31" s="1004"/>
      <c r="T31" s="867"/>
      <c r="U31" s="867"/>
      <c r="V31" s="867"/>
      <c r="W31" s="691"/>
      <c r="X31" s="691"/>
      <c r="Y31" s="691"/>
      <c r="Z31" s="935"/>
      <c r="AA31" s="935"/>
      <c r="AB31" s="935"/>
      <c r="AC31" s="935"/>
      <c r="AD31" s="935"/>
      <c r="AE31" s="691"/>
      <c r="AF31" s="691"/>
      <c r="AG31" s="692"/>
      <c r="AH31" s="692"/>
      <c r="AI31" s="692"/>
      <c r="AJ31" s="692"/>
    </row>
    <row r="32" spans="1:37" ht="15">
      <c r="A32" s="837"/>
      <c r="B32" s="838" t="s">
        <v>2200</v>
      </c>
      <c r="C32" s="839" t="s">
        <v>2201</v>
      </c>
      <c r="D32" s="839" t="s">
        <v>608</v>
      </c>
      <c r="E32" s="840" t="s">
        <v>2202</v>
      </c>
      <c r="F32" s="841"/>
      <c r="G32" s="749"/>
      <c r="H32" s="749"/>
      <c r="I32" s="749"/>
      <c r="J32" s="919"/>
      <c r="K32" s="691"/>
      <c r="L32" s="971" t="s">
        <v>2171</v>
      </c>
      <c r="M32" s="972">
        <f>ROUND($E$24*(1+M31),3)</f>
        <v>5.3999999999999999E-2</v>
      </c>
      <c r="N32" s="972">
        <f>ROUND($E$24*(1+N31),3)</f>
        <v>5.1999999999999998E-2</v>
      </c>
      <c r="O32" s="972">
        <f>ROUND($E$24*(1+O31),3)</f>
        <v>0.05</v>
      </c>
      <c r="P32" s="972">
        <f>ROUND($E$24*(1+P31),3)</f>
        <v>4.8000000000000001E-2</v>
      </c>
      <c r="Q32" s="1007">
        <f>ROUND($E$24*(1+Q31),3)</f>
        <v>0.05</v>
      </c>
      <c r="R32" s="1004"/>
      <c r="S32" s="1004"/>
      <c r="T32" s="867"/>
      <c r="U32" s="867"/>
      <c r="V32" s="867"/>
      <c r="W32" s="691"/>
      <c r="X32" s="691"/>
      <c r="Y32" s="691"/>
      <c r="Z32" s="935"/>
      <c r="AA32" s="935"/>
      <c r="AB32" s="935"/>
      <c r="AC32" s="935"/>
      <c r="AD32" s="935"/>
      <c r="AE32" s="691"/>
      <c r="AF32" s="691"/>
      <c r="AG32" s="692"/>
      <c r="AH32" s="692"/>
      <c r="AI32" s="692"/>
      <c r="AJ32" s="692"/>
    </row>
    <row r="33" spans="1:37" ht="14.25">
      <c r="A33" s="842"/>
      <c r="B33" s="843" t="s">
        <v>2203</v>
      </c>
      <c r="C33" s="844" t="e">
        <f>ROUND(C5*C22*C23*C24*C25*C28,0)</f>
        <v>#DIV/0!</v>
      </c>
      <c r="D33" s="845"/>
      <c r="E33" s="846" t="e">
        <f>ROUND(C33*D33/10000,0)</f>
        <v>#DIV/0!</v>
      </c>
      <c r="F33" s="847" t="s">
        <v>2204</v>
      </c>
      <c r="G33" s="848"/>
      <c r="H33" s="848"/>
      <c r="I33" s="848"/>
      <c r="J33" s="973"/>
      <c r="K33" s="691"/>
      <c r="L33" s="974" t="s">
        <v>2205</v>
      </c>
      <c r="M33" s="975">
        <v>5.5E-2</v>
      </c>
      <c r="N33" s="975">
        <v>5.5E-2</v>
      </c>
      <c r="O33" s="975">
        <v>0.05</v>
      </c>
      <c r="P33" s="975">
        <v>0.05</v>
      </c>
      <c r="Q33" s="975">
        <v>0.05</v>
      </c>
      <c r="R33" s="1004"/>
      <c r="S33" s="1004"/>
      <c r="T33" s="867"/>
      <c r="U33" s="867"/>
      <c r="V33" s="867"/>
      <c r="W33" s="691"/>
      <c r="X33" s="691"/>
      <c r="Y33" s="691"/>
      <c r="Z33" s="935"/>
      <c r="AA33" s="935"/>
      <c r="AB33" s="935"/>
      <c r="AC33" s="935"/>
      <c r="AD33" s="935"/>
      <c r="AE33" s="867"/>
      <c r="AF33" s="867"/>
      <c r="AG33" s="1021"/>
      <c r="AH33" s="1021"/>
      <c r="AI33" s="1021"/>
      <c r="AJ33" s="1021"/>
    </row>
    <row r="34" spans="1:37" ht="24.75">
      <c r="A34" s="849"/>
      <c r="B34" s="850" t="s">
        <v>2206</v>
      </c>
      <c r="C34" s="787" t="e">
        <f>ROUND(IF(E2="工业",C33*M42,IF(B25="楼层修正",SUM(V2:V16)*M41*10000/D34,C33*M41)),0)</f>
        <v>#DIV/0!</v>
      </c>
      <c r="D34" s="851"/>
      <c r="E34" s="846" t="e">
        <f>ROUND(IF(B25="楼层修正",SUM(V2:V16)*M40,C34*D34/10000),0)</f>
        <v>#DIV/0!</v>
      </c>
      <c r="F34" s="852" t="s">
        <v>2207</v>
      </c>
      <c r="G34" s="853"/>
      <c r="H34" s="853"/>
      <c r="I34" s="853"/>
      <c r="J34" s="976"/>
      <c r="K34" s="691"/>
      <c r="L34" s="974" t="s">
        <v>2208</v>
      </c>
      <c r="M34" s="975">
        <v>6.5000000000000002E-2</v>
      </c>
      <c r="N34" s="975">
        <v>6.5000000000000002E-2</v>
      </c>
      <c r="O34" s="975">
        <v>0.06</v>
      </c>
      <c r="P34" s="975">
        <v>0.06</v>
      </c>
      <c r="Q34" s="975">
        <v>0.06</v>
      </c>
      <c r="R34" s="1004"/>
      <c r="S34" s="1004"/>
      <c r="T34" s="867"/>
      <c r="U34" s="867"/>
      <c r="V34" s="867"/>
      <c r="W34" s="691"/>
      <c r="X34" s="691"/>
      <c r="Y34" s="691"/>
      <c r="Z34" s="935"/>
      <c r="AA34" s="935"/>
      <c r="AB34" s="935"/>
      <c r="AC34" s="935"/>
      <c r="AD34" s="935"/>
      <c r="AE34" s="867"/>
      <c r="AF34" s="867"/>
      <c r="AG34" s="1021"/>
      <c r="AH34" s="1021"/>
      <c r="AI34" s="1021"/>
      <c r="AJ34" s="1021"/>
    </row>
    <row r="35" spans="1:37">
      <c r="A35" s="854"/>
      <c r="B35" s="855" t="s">
        <v>2209</v>
      </c>
      <c r="C35" s="856" t="s">
        <v>2210</v>
      </c>
      <c r="D35" s="749"/>
      <c r="E35" s="857"/>
      <c r="F35" s="857"/>
      <c r="G35" s="747" t="s">
        <v>2207</v>
      </c>
      <c r="H35" s="749"/>
      <c r="I35" s="977"/>
      <c r="J35" s="919"/>
      <c r="K35" s="691"/>
      <c r="L35" s="691"/>
      <c r="M35" s="691"/>
      <c r="N35" s="691"/>
      <c r="O35" s="937"/>
      <c r="P35" s="937"/>
      <c r="Q35" s="1004"/>
      <c r="R35" s="691"/>
      <c r="S35" s="691"/>
      <c r="T35" s="691"/>
      <c r="U35" s="691"/>
      <c r="V35" s="691"/>
      <c r="W35" s="691"/>
      <c r="X35" s="691"/>
      <c r="Y35" s="691"/>
      <c r="Z35" s="867"/>
      <c r="AA35" s="867"/>
      <c r="AB35" s="867"/>
      <c r="AC35" s="867"/>
      <c r="AD35" s="867"/>
      <c r="AE35" s="867"/>
      <c r="AF35" s="867"/>
      <c r="AG35" s="1021"/>
      <c r="AH35" s="1021"/>
      <c r="AI35" s="1021"/>
      <c r="AJ35" s="1021"/>
    </row>
    <row r="36" spans="1:37" ht="24">
      <c r="A36" s="842"/>
      <c r="B36" s="858"/>
      <c r="C36" s="859" t="s">
        <v>2201</v>
      </c>
      <c r="D36" s="860" t="s">
        <v>608</v>
      </c>
      <c r="E36" s="860" t="s">
        <v>2202</v>
      </c>
      <c r="F36" s="698" t="s">
        <v>2211</v>
      </c>
      <c r="G36" s="861" t="s">
        <v>2201</v>
      </c>
      <c r="H36" s="861" t="s">
        <v>608</v>
      </c>
      <c r="I36" s="861" t="s">
        <v>2202</v>
      </c>
      <c r="J36" s="437"/>
      <c r="K36" s="978" t="s">
        <v>2212</v>
      </c>
      <c r="L36" s="979">
        <f ca="1">'数据-取费表'!B40</f>
        <v>3.1300000000000001E-2</v>
      </c>
      <c r="M36" s="980">
        <f ca="1">ROUND($L$36*(1+M31),3)</f>
        <v>3.9E-2</v>
      </c>
      <c r="N36" s="980">
        <f ca="1">ROUND($L$36*(1+N31),3)</f>
        <v>3.7999999999999999E-2</v>
      </c>
      <c r="O36" s="980">
        <f ca="1">ROUND($L$36*(1+O31),3)</f>
        <v>3.5999999999999997E-2</v>
      </c>
      <c r="P36" s="980">
        <f ca="1">ROUND($L$36*(1+P31),3)</f>
        <v>3.4000000000000002E-2</v>
      </c>
      <c r="Q36" s="980">
        <f ca="1">ROUND($L$36*(1+Q31),3)</f>
        <v>3.5999999999999997E-2</v>
      </c>
      <c r="R36" s="691"/>
      <c r="S36" s="691"/>
      <c r="T36" s="691"/>
      <c r="U36" s="691"/>
      <c r="V36" s="691"/>
      <c r="W36" s="691"/>
      <c r="X36" s="691"/>
      <c r="Y36" s="691"/>
      <c r="Z36" s="867"/>
      <c r="AA36" s="867"/>
      <c r="AB36" s="867"/>
      <c r="AC36" s="867"/>
      <c r="AD36" s="867"/>
      <c r="AE36" s="867"/>
      <c r="AF36" s="867"/>
      <c r="AG36" s="1021"/>
      <c r="AH36" s="1021"/>
      <c r="AI36" s="1021"/>
      <c r="AJ36" s="1021"/>
    </row>
    <row r="37" spans="1:37" ht="24">
      <c r="A37" s="3792"/>
      <c r="B37" s="862" t="s">
        <v>2213</v>
      </c>
      <c r="C37" s="844" t="e">
        <f>ROUND(D5*C22*C23*C24*C28*F37,0)</f>
        <v>#DIV/0!</v>
      </c>
      <c r="D37" s="845"/>
      <c r="E37" s="734" t="e">
        <f>ROUND(C37*D37/10000,0)</f>
        <v>#DIV/0!</v>
      </c>
      <c r="F37" s="734">
        <f>SUMIF(修正!A59:A70,G2,修正!B59:B70)</f>
        <v>0</v>
      </c>
      <c r="G37" s="734" t="e">
        <f>ROUND(IF(E2="工业",C37*$M$42,C37*$M$41),0)</f>
        <v>#DIV/0!</v>
      </c>
      <c r="H37" s="734">
        <f>D37</f>
        <v>0</v>
      </c>
      <c r="I37" s="734" t="e">
        <f>ROUND(G37*H37/10000,0)</f>
        <v>#DIV/0!</v>
      </c>
      <c r="J37" s="981"/>
      <c r="K37" s="982" t="s">
        <v>2214</v>
      </c>
      <c r="L37" s="978">
        <f ca="1">L36+K38</f>
        <v>3.6299999999999999E-2</v>
      </c>
      <c r="M37" s="980">
        <f ca="1">ROUND($L$37*(1+M31),3)</f>
        <v>4.4999999999999998E-2</v>
      </c>
      <c r="N37" s="980">
        <f t="shared" ref="N37:Q37" ca="1" si="3">ROUND($L$37*(1+N31),3)</f>
        <v>4.3999999999999997E-2</v>
      </c>
      <c r="O37" s="980">
        <f t="shared" ca="1" si="3"/>
        <v>4.2000000000000003E-2</v>
      </c>
      <c r="P37" s="980">
        <f t="shared" ca="1" si="3"/>
        <v>0.04</v>
      </c>
      <c r="Q37" s="980">
        <f t="shared" ca="1" si="3"/>
        <v>4.2000000000000003E-2</v>
      </c>
      <c r="R37" s="691"/>
      <c r="S37" s="691"/>
      <c r="T37" s="691"/>
      <c r="U37" s="691"/>
      <c r="V37" s="691"/>
      <c r="W37" s="691"/>
      <c r="X37" s="691"/>
      <c r="Y37" s="691"/>
      <c r="Z37" s="867"/>
      <c r="AA37" s="867"/>
      <c r="AB37" s="867"/>
      <c r="AC37" s="867"/>
      <c r="AD37" s="867"/>
      <c r="AE37" s="867"/>
      <c r="AF37" s="867"/>
      <c r="AG37" s="1021"/>
      <c r="AH37" s="1021"/>
      <c r="AI37" s="1021"/>
      <c r="AJ37" s="1021"/>
    </row>
    <row r="38" spans="1:37">
      <c r="A38" s="3793"/>
      <c r="B38" s="752" t="s">
        <v>2215</v>
      </c>
      <c r="C38" s="844" t="e">
        <f>ROUND(D5*C22*C23*C24*C28*F38,0)</f>
        <v>#DIV/0!</v>
      </c>
      <c r="D38" s="845"/>
      <c r="E38" s="734" t="e">
        <f t="shared" ref="E38:E42" si="4">ROUND(C38*D38/10000,0)</f>
        <v>#DIV/0!</v>
      </c>
      <c r="F38" s="734">
        <f>SUMIF(修正!A59:A70,G2,修正!C59:C70)</f>
        <v>0</v>
      </c>
      <c r="G38" s="734" t="e">
        <f>ROUND(IF(E2="工业",C38*$M$42,C38*$M$41),0)</f>
        <v>#DIV/0!</v>
      </c>
      <c r="H38" s="734">
        <f t="shared" ref="H38:H42" si="5">D38</f>
        <v>0</v>
      </c>
      <c r="I38" s="734" t="e">
        <f t="shared" ref="I38:I42" si="6">ROUND(G38*H38/10000,0)</f>
        <v>#DIV/0!</v>
      </c>
      <c r="J38" s="863"/>
      <c r="K38" s="978">
        <v>5.0000000000000001E-3</v>
      </c>
      <c r="L38" s="978"/>
      <c r="M38" s="978"/>
      <c r="N38" s="978"/>
      <c r="O38" s="978"/>
      <c r="P38" s="978"/>
      <c r="Q38" s="978"/>
      <c r="R38" s="691"/>
      <c r="S38" s="691"/>
      <c r="T38" s="691"/>
      <c r="U38" s="691"/>
      <c r="V38" s="691"/>
      <c r="W38" s="691"/>
      <c r="X38" s="691"/>
      <c r="Y38" s="691"/>
      <c r="Z38" s="867"/>
      <c r="AA38" s="867"/>
      <c r="AB38" s="867"/>
      <c r="AC38" s="867"/>
      <c r="AD38" s="867"/>
    </row>
    <row r="39" spans="1:37">
      <c r="A39" s="3793"/>
      <c r="B39" s="752" t="s">
        <v>2216</v>
      </c>
      <c r="C39" s="844" t="e">
        <f>ROUND(D5*C22*C23*C24*C28*F39,0)</f>
        <v>#DIV/0!</v>
      </c>
      <c r="D39" s="845"/>
      <c r="E39" s="734" t="e">
        <f t="shared" si="4"/>
        <v>#DIV/0!</v>
      </c>
      <c r="F39" s="734">
        <f>SUMIF(修正!A59:A70,G2,修正!D59:D70)</f>
        <v>0</v>
      </c>
      <c r="G39" s="734" t="e">
        <f>ROUND(IF(E2="工业",C39*$M$42,C39*$M$41),0)</f>
        <v>#DIV/0!</v>
      </c>
      <c r="H39" s="734">
        <f t="shared" si="5"/>
        <v>0</v>
      </c>
      <c r="I39" s="734" t="e">
        <f t="shared" si="6"/>
        <v>#DIV/0!</v>
      </c>
      <c r="J39" s="863"/>
      <c r="K39" s="691"/>
      <c r="L39" s="691"/>
      <c r="M39" s="691"/>
      <c r="N39" s="691"/>
      <c r="O39" s="691"/>
      <c r="P39" s="691"/>
      <c r="Q39" s="691"/>
      <c r="R39" s="691"/>
      <c r="S39" s="691"/>
      <c r="T39" s="691"/>
      <c r="U39" s="691"/>
      <c r="V39" s="691"/>
      <c r="W39" s="691"/>
      <c r="X39" s="691"/>
      <c r="Y39" s="691"/>
      <c r="Z39" s="867"/>
      <c r="AA39" s="867"/>
      <c r="AB39" s="867"/>
      <c r="AC39" s="867"/>
      <c r="AD39" s="867"/>
    </row>
    <row r="40" spans="1:37" s="691" customFormat="1">
      <c r="A40" s="864"/>
      <c r="B40" s="752" t="s">
        <v>2217</v>
      </c>
      <c r="C40" s="734" t="e">
        <f>ROUND(D5*C22*C23*C24*C28*F40,0)</f>
        <v>#DIV/0!</v>
      </c>
      <c r="D40" s="845"/>
      <c r="E40" s="734" t="e">
        <f t="shared" si="4"/>
        <v>#DIV/0!</v>
      </c>
      <c r="F40" s="844">
        <f>SUMIF(修正!A59:A70,G2,修正!E59:E70)</f>
        <v>0</v>
      </c>
      <c r="G40" s="734" t="e">
        <f>ROUND(IF(E2="工业",C40*$M$42,C40*$M$41),0)</f>
        <v>#DIV/0!</v>
      </c>
      <c r="H40" s="734">
        <f t="shared" si="5"/>
        <v>0</v>
      </c>
      <c r="I40" s="734" t="e">
        <f t="shared" si="6"/>
        <v>#DIV/0!</v>
      </c>
      <c r="J40" s="983"/>
      <c r="L40" s="984" t="s">
        <v>2218</v>
      </c>
      <c r="M40" s="985"/>
      <c r="Z40" s="867"/>
      <c r="AA40" s="867"/>
      <c r="AB40" s="867"/>
      <c r="AC40" s="867"/>
      <c r="AD40" s="867"/>
      <c r="AE40" s="867"/>
      <c r="AF40" s="867"/>
      <c r="AG40" s="867"/>
      <c r="AH40" s="867"/>
      <c r="AI40" s="867"/>
      <c r="AJ40" s="867"/>
    </row>
    <row r="41" spans="1:37" s="691" customFormat="1">
      <c r="A41" s="864"/>
      <c r="B41" s="752" t="s">
        <v>2219</v>
      </c>
      <c r="C41" s="734" t="e">
        <f>ROUND(D5*C22*C23*C44*C28*F41,0)</f>
        <v>#DIV/0!</v>
      </c>
      <c r="D41" s="845"/>
      <c r="E41" s="734" t="e">
        <f t="shared" si="4"/>
        <v>#DIV/0!</v>
      </c>
      <c r="F41" s="844">
        <f>SUMIF(修正!A59:A70,G2,修正!F59:F70)</f>
        <v>0</v>
      </c>
      <c r="G41" s="734" t="e">
        <f>ROUND(IF(E2="工业",C41*$M$42,C41*$M$41),0)</f>
        <v>#DIV/0!</v>
      </c>
      <c r="H41" s="734">
        <f t="shared" si="5"/>
        <v>0</v>
      </c>
      <c r="I41" s="734" t="e">
        <f t="shared" si="6"/>
        <v>#DIV/0!</v>
      </c>
      <c r="J41" s="983"/>
      <c r="L41" s="986" t="s">
        <v>2220</v>
      </c>
      <c r="M41" s="987">
        <v>0.25</v>
      </c>
      <c r="Z41" s="867"/>
      <c r="AA41" s="867"/>
      <c r="AB41" s="867"/>
      <c r="AC41" s="867"/>
      <c r="AD41" s="867"/>
      <c r="AE41" s="867"/>
      <c r="AF41" s="867"/>
      <c r="AG41" s="867"/>
      <c r="AH41" s="867"/>
      <c r="AI41" s="867"/>
      <c r="AJ41" s="867"/>
    </row>
    <row r="42" spans="1:37" s="691" customFormat="1">
      <c r="A42" s="849"/>
      <c r="B42" s="865" t="s">
        <v>2221</v>
      </c>
      <c r="C42" s="787" t="e">
        <f>ROUND(D5*C22*C23*C44*C28*F42,0)</f>
        <v>#DIV/0!</v>
      </c>
      <c r="D42" s="851"/>
      <c r="E42" s="787" t="e">
        <f t="shared" si="4"/>
        <v>#DIV/0!</v>
      </c>
      <c r="F42" s="866">
        <f>SUMIF(修正!A59:A70,G2,修正!G59:G70)</f>
        <v>0</v>
      </c>
      <c r="G42" s="787" t="e">
        <f>ROUND(IF(E2="工业",C42*$M$42,C42*$M$41),0)</f>
        <v>#DIV/0!</v>
      </c>
      <c r="H42" s="787">
        <f t="shared" si="5"/>
        <v>0</v>
      </c>
      <c r="I42" s="787" t="e">
        <f t="shared" si="6"/>
        <v>#DIV/0!</v>
      </c>
      <c r="J42" s="988"/>
      <c r="L42" s="989" t="s">
        <v>2197</v>
      </c>
      <c r="M42" s="990">
        <v>0.15</v>
      </c>
      <c r="Z42" s="867"/>
      <c r="AA42" s="867"/>
      <c r="AB42" s="867"/>
      <c r="AC42" s="867"/>
      <c r="AD42" s="867"/>
      <c r="AE42" s="867"/>
      <c r="AF42" s="867"/>
      <c r="AG42" s="867"/>
      <c r="AH42" s="867"/>
      <c r="AI42" s="867"/>
      <c r="AJ42" s="867"/>
    </row>
    <row r="43" spans="1:37" s="691" customFormat="1">
      <c r="Z43" s="867"/>
      <c r="AA43" s="867"/>
      <c r="AB43" s="867"/>
      <c r="AC43" s="867"/>
      <c r="AD43" s="867"/>
      <c r="AE43" s="867"/>
      <c r="AF43" s="867"/>
      <c r="AG43" s="867"/>
      <c r="AH43" s="867"/>
      <c r="AI43" s="867"/>
      <c r="AJ43" s="867"/>
    </row>
    <row r="44" spans="1:37" s="691" customFormat="1">
      <c r="A44" s="867"/>
      <c r="B44" s="868" t="s">
        <v>2222</v>
      </c>
      <c r="C44" s="698" t="e">
        <f>ROUND(POWER(1+E44,H44-G44)*(POWER(1+E44,G44)-1)/(POWER(1+E44,H44)-1),4)</f>
        <v>#DIV/0!</v>
      </c>
      <c r="D44" s="734" t="s">
        <v>2171</v>
      </c>
      <c r="E44" s="869">
        <f>G24</f>
        <v>0</v>
      </c>
      <c r="F44" s="734" t="s">
        <v>2172</v>
      </c>
      <c r="G44" s="870"/>
      <c r="H44" s="734">
        <v>50</v>
      </c>
      <c r="Z44" s="867"/>
      <c r="AA44" s="867"/>
      <c r="AB44" s="867"/>
      <c r="AC44" s="867"/>
      <c r="AD44" s="867"/>
      <c r="AE44" s="867"/>
      <c r="AF44" s="867"/>
      <c r="AG44" s="867"/>
      <c r="AH44" s="867"/>
      <c r="AI44" s="867"/>
      <c r="AJ44" s="867"/>
    </row>
    <row r="45" spans="1:37" s="691" customFormat="1">
      <c r="A45" s="867"/>
      <c r="B45" s="871"/>
      <c r="Z45" s="867"/>
      <c r="AA45" s="867"/>
      <c r="AB45" s="867"/>
      <c r="AC45" s="867"/>
      <c r="AD45" s="867"/>
      <c r="AE45" s="867"/>
      <c r="AF45" s="867"/>
      <c r="AG45" s="867"/>
      <c r="AH45" s="867"/>
      <c r="AI45" s="867"/>
      <c r="AJ45" s="867"/>
    </row>
    <row r="46" spans="1:37" s="691" customFormat="1">
      <c r="A46" s="867"/>
      <c r="B46" s="871"/>
      <c r="AA46" s="867"/>
      <c r="AB46" s="867"/>
      <c r="AC46" s="867"/>
      <c r="AD46" s="867"/>
      <c r="AE46" s="867"/>
      <c r="AF46" s="867"/>
      <c r="AG46" s="867"/>
      <c r="AH46" s="867"/>
      <c r="AI46" s="867"/>
      <c r="AJ46" s="867"/>
      <c r="AK46" s="867"/>
    </row>
    <row r="47" spans="1:37" s="691" customFormat="1" ht="15">
      <c r="A47" s="872" t="s">
        <v>2223</v>
      </c>
      <c r="B47" s="873"/>
      <c r="C47" s="874"/>
      <c r="D47" s="874"/>
      <c r="E47" s="874"/>
      <c r="F47" s="875"/>
      <c r="G47" s="875"/>
      <c r="H47" s="875"/>
      <c r="I47" s="991"/>
      <c r="J47" s="991"/>
      <c r="K47" s="991"/>
      <c r="L47" s="991"/>
      <c r="M47" s="991"/>
      <c r="AA47" s="867"/>
      <c r="AB47" s="867"/>
      <c r="AC47" s="867"/>
      <c r="AD47" s="867"/>
      <c r="AE47" s="867"/>
      <c r="AF47" s="867"/>
      <c r="AG47" s="867"/>
      <c r="AH47" s="867"/>
      <c r="AI47" s="867"/>
      <c r="AJ47" s="867"/>
      <c r="AK47" s="867"/>
    </row>
    <row r="48" spans="1:37" s="691" customFormat="1" ht="15">
      <c r="A48" s="876" t="s">
        <v>2224</v>
      </c>
      <c r="B48" s="877">
        <f>1+E50</f>
        <v>1</v>
      </c>
      <c r="C48" s="878"/>
      <c r="D48" s="879"/>
      <c r="E48" s="880"/>
      <c r="F48" s="881"/>
      <c r="G48" s="875"/>
      <c r="H48" s="874"/>
      <c r="I48" s="991"/>
      <c r="J48" s="991"/>
      <c r="K48" s="991"/>
      <c r="L48" s="991"/>
      <c r="M48" s="991"/>
      <c r="AA48" s="867"/>
      <c r="AB48" s="867"/>
      <c r="AC48" s="867"/>
      <c r="AD48" s="867"/>
      <c r="AE48" s="867"/>
      <c r="AF48" s="867"/>
      <c r="AG48" s="867"/>
      <c r="AH48" s="867"/>
      <c r="AI48" s="867"/>
      <c r="AJ48" s="867"/>
      <c r="AK48" s="867"/>
    </row>
    <row r="49" spans="1:37" s="691" customFormat="1" ht="24.75">
      <c r="A49" s="882" t="s">
        <v>2225</v>
      </c>
      <c r="B49" s="883" t="s">
        <v>2226</v>
      </c>
      <c r="C49" s="883" t="s">
        <v>2227</v>
      </c>
      <c r="D49" s="883" t="s">
        <v>2228</v>
      </c>
      <c r="E49" s="884" t="s">
        <v>2229</v>
      </c>
      <c r="F49" s="885" t="s">
        <v>2230</v>
      </c>
      <c r="G49" s="883" t="s">
        <v>2148</v>
      </c>
      <c r="H49" s="886" t="s">
        <v>2231</v>
      </c>
      <c r="I49" s="883" t="s">
        <v>2232</v>
      </c>
      <c r="J49" s="992" t="s">
        <v>1463</v>
      </c>
      <c r="K49" s="992" t="s">
        <v>1464</v>
      </c>
      <c r="L49" s="992" t="s">
        <v>1465</v>
      </c>
      <c r="M49" s="992" t="s">
        <v>1466</v>
      </c>
      <c r="N49" s="992" t="s">
        <v>1467</v>
      </c>
      <c r="AA49" s="867"/>
      <c r="AB49" s="867"/>
      <c r="AC49" s="867"/>
      <c r="AD49" s="867"/>
      <c r="AE49" s="867"/>
      <c r="AF49" s="867"/>
      <c r="AG49" s="867"/>
      <c r="AH49" s="867"/>
      <c r="AI49" s="867"/>
      <c r="AJ49" s="867"/>
      <c r="AK49" s="867"/>
    </row>
    <row r="50" spans="1:37" s="691" customFormat="1" ht="38.25">
      <c r="A50" s="882" t="s">
        <v>2233</v>
      </c>
      <c r="B50" s="887" t="str">
        <f>估价对象房地状况!C4</f>
        <v>估价对象位于XX商圈，周边商业氛围成熟，人流量大，商业繁华度好</v>
      </c>
      <c r="C50" s="758"/>
      <c r="D50" s="888">
        <f t="shared" ref="D50:D58" si="7">SUMIF($J$49:$N$49,C50,J50:N50)</f>
        <v>0</v>
      </c>
      <c r="E50" s="889">
        <f>ROUND(SUM(D50:D58),4)</f>
        <v>0</v>
      </c>
      <c r="F50" s="890" t="str">
        <f>IF(E2="商业",SUMIF(L1:L12,G2,N1:N12),"——")</f>
        <v>——</v>
      </c>
      <c r="G50" s="891"/>
      <c r="H50" s="892" t="str">
        <f t="shared" ref="H50:H58" si="8">IFERROR(ROUNDDOWN($F$50*I50/2,4),"——")</f>
        <v>——</v>
      </c>
      <c r="I50" s="993">
        <v>0.3</v>
      </c>
      <c r="J50" s="994">
        <f t="shared" ref="J50:J58" si="9">K50+$G50</f>
        <v>0</v>
      </c>
      <c r="K50" s="994">
        <f t="shared" ref="K50:K58" si="10">$L50+$G50</f>
        <v>0</v>
      </c>
      <c r="L50" s="994">
        <v>0</v>
      </c>
      <c r="M50" s="994">
        <f t="shared" ref="M50:N58" si="11">L50-$G50</f>
        <v>0</v>
      </c>
      <c r="N50" s="994">
        <f t="shared" si="11"/>
        <v>0</v>
      </c>
      <c r="AA50" s="867"/>
      <c r="AB50" s="867"/>
      <c r="AC50" s="867"/>
      <c r="AD50" s="867"/>
      <c r="AE50" s="867"/>
      <c r="AF50" s="867"/>
      <c r="AG50" s="867"/>
      <c r="AH50" s="867"/>
      <c r="AI50" s="867"/>
      <c r="AJ50" s="867"/>
      <c r="AK50" s="867"/>
    </row>
    <row r="51" spans="1:37" s="691" customFormat="1" ht="38.25">
      <c r="A51" s="882" t="s">
        <v>2234</v>
      </c>
      <c r="B51" s="893" t="str">
        <f>估价对象房地状况!C18</f>
        <v>估价对象周边道路状况、公共交通通达情况、停车便捷程度，综合评价交通便捷度较好</v>
      </c>
      <c r="C51" s="758"/>
      <c r="D51" s="888">
        <f t="shared" si="7"/>
        <v>0</v>
      </c>
      <c r="E51" s="894"/>
      <c r="F51" s="890"/>
      <c r="G51" s="891"/>
      <c r="H51" s="892" t="str">
        <f t="shared" si="8"/>
        <v>——</v>
      </c>
      <c r="I51" s="993">
        <v>0.22</v>
      </c>
      <c r="J51" s="994">
        <f t="shared" si="9"/>
        <v>0</v>
      </c>
      <c r="K51" s="994">
        <f t="shared" si="10"/>
        <v>0</v>
      </c>
      <c r="L51" s="994">
        <v>0</v>
      </c>
      <c r="M51" s="994">
        <f t="shared" si="11"/>
        <v>0</v>
      </c>
      <c r="N51" s="994">
        <f t="shared" si="11"/>
        <v>0</v>
      </c>
      <c r="AA51" s="867"/>
      <c r="AB51" s="867"/>
      <c r="AC51" s="867"/>
      <c r="AD51" s="867"/>
      <c r="AE51" s="867"/>
      <c r="AF51" s="867"/>
      <c r="AG51" s="867"/>
      <c r="AH51" s="867"/>
      <c r="AI51" s="867"/>
      <c r="AJ51" s="867"/>
      <c r="AK51" s="867"/>
    </row>
    <row r="52" spans="1:37" s="691" customFormat="1" ht="36">
      <c r="A52" s="895" t="s">
        <v>2235</v>
      </c>
      <c r="B52" s="893">
        <f>估价对象房地状况!C19</f>
        <v>0</v>
      </c>
      <c r="C52" s="758"/>
      <c r="D52" s="888">
        <f t="shared" si="7"/>
        <v>0</v>
      </c>
      <c r="E52" s="894"/>
      <c r="F52" s="890"/>
      <c r="G52" s="891"/>
      <c r="H52" s="892" t="str">
        <f t="shared" si="8"/>
        <v>——</v>
      </c>
      <c r="I52" s="993">
        <v>0.12</v>
      </c>
      <c r="J52" s="994">
        <f t="shared" si="9"/>
        <v>0</v>
      </c>
      <c r="K52" s="994">
        <f t="shared" si="10"/>
        <v>0</v>
      </c>
      <c r="L52" s="994">
        <v>0</v>
      </c>
      <c r="M52" s="994">
        <f t="shared" si="11"/>
        <v>0</v>
      </c>
      <c r="N52" s="994">
        <f t="shared" si="11"/>
        <v>0</v>
      </c>
      <c r="AA52" s="867"/>
      <c r="AB52" s="867"/>
      <c r="AC52" s="867"/>
      <c r="AD52" s="867"/>
      <c r="AE52" s="867"/>
      <c r="AF52" s="867"/>
      <c r="AG52" s="867"/>
      <c r="AH52" s="867"/>
      <c r="AI52" s="867"/>
      <c r="AJ52" s="867"/>
      <c r="AK52" s="867"/>
    </row>
    <row r="53" spans="1:37" s="691" customFormat="1" ht="36.75">
      <c r="A53" s="882" t="s">
        <v>2236</v>
      </c>
      <c r="B53" s="896" t="s">
        <v>2237</v>
      </c>
      <c r="C53" s="758"/>
      <c r="D53" s="888">
        <f t="shared" si="7"/>
        <v>0</v>
      </c>
      <c r="E53" s="894"/>
      <c r="F53" s="890"/>
      <c r="G53" s="891"/>
      <c r="H53" s="892" t="str">
        <f t="shared" si="8"/>
        <v>——</v>
      </c>
      <c r="I53" s="993">
        <v>0.05</v>
      </c>
      <c r="J53" s="994">
        <f t="shared" si="9"/>
        <v>0</v>
      </c>
      <c r="K53" s="994">
        <f t="shared" si="10"/>
        <v>0</v>
      </c>
      <c r="L53" s="994">
        <v>0</v>
      </c>
      <c r="M53" s="994">
        <f t="shared" si="11"/>
        <v>0</v>
      </c>
      <c r="N53" s="994">
        <f t="shared" si="11"/>
        <v>0</v>
      </c>
      <c r="AA53" s="867"/>
      <c r="AB53" s="867"/>
      <c r="AC53" s="867"/>
      <c r="AD53" s="867"/>
      <c r="AE53" s="867"/>
      <c r="AF53" s="867"/>
      <c r="AG53" s="867"/>
      <c r="AH53" s="867"/>
      <c r="AI53" s="867"/>
      <c r="AJ53" s="867"/>
      <c r="AK53" s="867"/>
    </row>
    <row r="54" spans="1:37" s="691" customFormat="1" ht="24">
      <c r="A54" s="882" t="s">
        <v>2238</v>
      </c>
      <c r="B54" s="893">
        <f>估价对象房地状况!C24</f>
        <v>0</v>
      </c>
      <c r="C54" s="758"/>
      <c r="D54" s="888">
        <f t="shared" si="7"/>
        <v>0</v>
      </c>
      <c r="E54" s="894"/>
      <c r="F54" s="890"/>
      <c r="G54" s="891"/>
      <c r="H54" s="892" t="str">
        <f t="shared" si="8"/>
        <v>——</v>
      </c>
      <c r="I54" s="993">
        <v>0.08</v>
      </c>
      <c r="J54" s="994">
        <f t="shared" si="9"/>
        <v>0</v>
      </c>
      <c r="K54" s="994">
        <f t="shared" si="10"/>
        <v>0</v>
      </c>
      <c r="L54" s="994">
        <v>0</v>
      </c>
      <c r="M54" s="994">
        <f t="shared" si="11"/>
        <v>0</v>
      </c>
      <c r="N54" s="994">
        <f t="shared" si="11"/>
        <v>0</v>
      </c>
      <c r="AA54" s="867"/>
      <c r="AB54" s="867"/>
      <c r="AC54" s="867"/>
      <c r="AD54" s="867"/>
      <c r="AE54" s="867"/>
      <c r="AF54" s="867"/>
      <c r="AG54" s="867"/>
      <c r="AH54" s="867"/>
      <c r="AI54" s="867"/>
      <c r="AJ54" s="867"/>
      <c r="AK54" s="867"/>
    </row>
    <row r="55" spans="1:37" s="691" customFormat="1" ht="24">
      <c r="A55" s="882" t="s">
        <v>2239</v>
      </c>
      <c r="B55" s="897" t="s">
        <v>2240</v>
      </c>
      <c r="C55" s="758"/>
      <c r="D55" s="888">
        <f t="shared" si="7"/>
        <v>0</v>
      </c>
      <c r="E55" s="894"/>
      <c r="F55" s="890"/>
      <c r="G55" s="891"/>
      <c r="H55" s="892" t="str">
        <f t="shared" si="8"/>
        <v>——</v>
      </c>
      <c r="I55" s="993">
        <v>0.05</v>
      </c>
      <c r="J55" s="994">
        <f t="shared" si="9"/>
        <v>0</v>
      </c>
      <c r="K55" s="994">
        <f t="shared" si="10"/>
        <v>0</v>
      </c>
      <c r="L55" s="994">
        <v>0</v>
      </c>
      <c r="M55" s="994">
        <f t="shared" si="11"/>
        <v>0</v>
      </c>
      <c r="N55" s="994">
        <f t="shared" si="11"/>
        <v>0</v>
      </c>
      <c r="AA55" s="867"/>
      <c r="AB55" s="867"/>
      <c r="AC55" s="867"/>
      <c r="AD55" s="867"/>
      <c r="AE55" s="867"/>
      <c r="AF55" s="867"/>
      <c r="AG55" s="867"/>
      <c r="AH55" s="867"/>
      <c r="AI55" s="867"/>
      <c r="AJ55" s="867"/>
      <c r="AK55" s="867"/>
    </row>
    <row r="56" spans="1:37" s="691" customFormat="1" ht="25.5">
      <c r="A56" s="898" t="s">
        <v>2241</v>
      </c>
      <c r="B56" s="598" t="str">
        <f>估价对象房地状况!C21</f>
        <v>估价对象所在区域公共配套设施齐备情况</v>
      </c>
      <c r="C56" s="758"/>
      <c r="D56" s="888">
        <f t="shared" si="7"/>
        <v>0</v>
      </c>
      <c r="E56" s="894"/>
      <c r="F56" s="890"/>
      <c r="G56" s="891"/>
      <c r="H56" s="892" t="str">
        <f t="shared" si="8"/>
        <v>——</v>
      </c>
      <c r="I56" s="993">
        <v>0.05</v>
      </c>
      <c r="J56" s="994">
        <f t="shared" si="9"/>
        <v>0</v>
      </c>
      <c r="K56" s="994">
        <f t="shared" si="10"/>
        <v>0</v>
      </c>
      <c r="L56" s="994">
        <v>0</v>
      </c>
      <c r="M56" s="994">
        <f t="shared" si="11"/>
        <v>0</v>
      </c>
      <c r="N56" s="994">
        <f t="shared" si="11"/>
        <v>0</v>
      </c>
      <c r="AA56" s="867"/>
      <c r="AB56" s="867"/>
      <c r="AC56" s="867"/>
      <c r="AD56" s="867"/>
      <c r="AE56" s="867"/>
      <c r="AF56" s="867"/>
      <c r="AG56" s="867"/>
      <c r="AH56" s="867"/>
      <c r="AI56" s="867"/>
      <c r="AJ56" s="867"/>
      <c r="AK56" s="867"/>
    </row>
    <row r="57" spans="1:37" s="691" customFormat="1" ht="25.5">
      <c r="A57" s="898" t="s">
        <v>2242</v>
      </c>
      <c r="B57" s="893" t="str">
        <f>估价对象房地状况!C22</f>
        <v>估价对象所在区域基础设施水平</v>
      </c>
      <c r="C57" s="758"/>
      <c r="D57" s="888">
        <f t="shared" si="7"/>
        <v>0</v>
      </c>
      <c r="E57" s="894"/>
      <c r="F57" s="890"/>
      <c r="G57" s="891"/>
      <c r="H57" s="892" t="str">
        <f t="shared" si="8"/>
        <v>——</v>
      </c>
      <c r="I57" s="993">
        <v>0.08</v>
      </c>
      <c r="J57" s="994">
        <f t="shared" si="9"/>
        <v>0</v>
      </c>
      <c r="K57" s="994">
        <f t="shared" si="10"/>
        <v>0</v>
      </c>
      <c r="L57" s="994">
        <v>0</v>
      </c>
      <c r="M57" s="994">
        <f t="shared" si="11"/>
        <v>0</v>
      </c>
      <c r="N57" s="994">
        <f t="shared" si="11"/>
        <v>0</v>
      </c>
      <c r="AA57" s="867"/>
      <c r="AB57" s="867"/>
      <c r="AC57" s="867"/>
      <c r="AD57" s="867"/>
      <c r="AE57" s="867"/>
      <c r="AF57" s="867"/>
      <c r="AG57" s="867"/>
      <c r="AH57" s="867"/>
      <c r="AI57" s="867"/>
      <c r="AJ57" s="867"/>
      <c r="AK57" s="867"/>
    </row>
    <row r="58" spans="1:37" s="691" customFormat="1" ht="25.5">
      <c r="A58" s="899" t="s">
        <v>2243</v>
      </c>
      <c r="B58" s="900" t="str">
        <f>估价对象房地状况!C20</f>
        <v>区域自然环境：；人文环境；综合评价环境状况一般</v>
      </c>
      <c r="C58" s="758"/>
      <c r="D58" s="888">
        <f t="shared" si="7"/>
        <v>0</v>
      </c>
      <c r="E58" s="901"/>
      <c r="F58" s="890"/>
      <c r="G58" s="891"/>
      <c r="H58" s="892" t="str">
        <f t="shared" si="8"/>
        <v>——</v>
      </c>
      <c r="I58" s="995">
        <v>0.05</v>
      </c>
      <c r="J58" s="994">
        <f t="shared" si="9"/>
        <v>0</v>
      </c>
      <c r="K58" s="994">
        <f t="shared" si="10"/>
        <v>0</v>
      </c>
      <c r="L58" s="994">
        <v>0</v>
      </c>
      <c r="M58" s="994">
        <f t="shared" si="11"/>
        <v>0</v>
      </c>
      <c r="N58" s="994">
        <f t="shared" si="11"/>
        <v>0</v>
      </c>
      <c r="AA58" s="867"/>
      <c r="AB58" s="867"/>
      <c r="AC58" s="867"/>
      <c r="AD58" s="867"/>
      <c r="AE58" s="867"/>
      <c r="AF58" s="867"/>
      <c r="AG58" s="867"/>
      <c r="AH58" s="867"/>
      <c r="AI58" s="867"/>
      <c r="AJ58" s="867"/>
      <c r="AK58" s="867"/>
    </row>
    <row r="59" spans="1:37" s="691" customFormat="1" ht="15">
      <c r="A59" s="876" t="s">
        <v>2244</v>
      </c>
      <c r="B59" s="877">
        <f>1+E61</f>
        <v>1</v>
      </c>
      <c r="C59" s="879"/>
      <c r="D59" s="879"/>
      <c r="E59" s="880"/>
      <c r="F59" s="881"/>
      <c r="G59" s="875"/>
      <c r="H59" s="875"/>
      <c r="I59" s="875"/>
      <c r="J59" s="874"/>
      <c r="K59" s="874"/>
      <c r="L59" s="874"/>
      <c r="M59" s="874"/>
      <c r="N59" s="874"/>
      <c r="AA59" s="867"/>
      <c r="AB59" s="867"/>
      <c r="AC59" s="867"/>
      <c r="AD59" s="867"/>
      <c r="AE59" s="867"/>
      <c r="AF59" s="867"/>
      <c r="AG59" s="867"/>
      <c r="AH59" s="867"/>
      <c r="AI59" s="867"/>
      <c r="AJ59" s="867"/>
      <c r="AK59" s="867"/>
    </row>
    <row r="60" spans="1:37" s="691" customFormat="1" ht="24.75">
      <c r="A60" s="882" t="s">
        <v>2225</v>
      </c>
      <c r="B60" s="883"/>
      <c r="C60" s="883" t="s">
        <v>2227</v>
      </c>
      <c r="D60" s="883" t="s">
        <v>2228</v>
      </c>
      <c r="E60" s="884" t="s">
        <v>2229</v>
      </c>
      <c r="F60" s="885" t="s">
        <v>2245</v>
      </c>
      <c r="G60" s="883" t="s">
        <v>2148</v>
      </c>
      <c r="H60" s="886" t="s">
        <v>2231</v>
      </c>
      <c r="I60" s="883" t="s">
        <v>2232</v>
      </c>
      <c r="J60" s="992" t="s">
        <v>1463</v>
      </c>
      <c r="K60" s="992" t="s">
        <v>1464</v>
      </c>
      <c r="L60" s="992" t="s">
        <v>1465</v>
      </c>
      <c r="M60" s="992" t="s">
        <v>1466</v>
      </c>
      <c r="N60" s="992" t="s">
        <v>1467</v>
      </c>
      <c r="AA60" s="867"/>
      <c r="AB60" s="867"/>
      <c r="AC60" s="867"/>
      <c r="AD60" s="867"/>
      <c r="AE60" s="867"/>
      <c r="AF60" s="867"/>
      <c r="AG60" s="867"/>
      <c r="AH60" s="867"/>
      <c r="AI60" s="867"/>
      <c r="AJ60" s="867"/>
      <c r="AK60" s="867"/>
    </row>
    <row r="61" spans="1:37" s="691" customFormat="1" ht="38.25">
      <c r="A61" s="882" t="s">
        <v>2246</v>
      </c>
      <c r="B61" s="887" t="str">
        <f>估价对象房地状况!C17</f>
        <v>估价对象位于XX商圈，周边办公楼项目较多，入驻率高，办公集聚程度较好</v>
      </c>
      <c r="C61" s="758"/>
      <c r="D61" s="888">
        <f t="shared" ref="D61:D69" si="12">SUMIF($J$60:$N$60,C61,J61:N61)</f>
        <v>0</v>
      </c>
      <c r="E61" s="889">
        <f>ROUND(SUM(D61:D69),4)</f>
        <v>0</v>
      </c>
      <c r="F61" s="890" t="str">
        <f>IF(E2="办公",SUMIF(L1:L12,G2,N1:N12),"——")</f>
        <v>——</v>
      </c>
      <c r="G61" s="891"/>
      <c r="H61" s="892" t="str">
        <f t="shared" ref="H61:H69" si="13">IFERROR(ROUNDDOWN($F$61*I61/2,4),"——")</f>
        <v>——</v>
      </c>
      <c r="I61" s="993">
        <v>0.25</v>
      </c>
      <c r="J61" s="994">
        <f t="shared" ref="J61:J69" si="14">K61+$G61</f>
        <v>0</v>
      </c>
      <c r="K61" s="994">
        <f t="shared" ref="K61:K69" si="15">$L61+$G61</f>
        <v>0</v>
      </c>
      <c r="L61" s="994">
        <v>0</v>
      </c>
      <c r="M61" s="994">
        <f t="shared" ref="M61:N69" si="16">L61-$G61</f>
        <v>0</v>
      </c>
      <c r="N61" s="994">
        <f t="shared" si="16"/>
        <v>0</v>
      </c>
      <c r="AA61" s="867"/>
      <c r="AB61" s="867"/>
      <c r="AC61" s="867"/>
      <c r="AD61" s="867"/>
      <c r="AE61" s="867"/>
      <c r="AF61" s="867"/>
      <c r="AG61" s="867"/>
      <c r="AH61" s="867"/>
      <c r="AI61" s="867"/>
      <c r="AJ61" s="867"/>
      <c r="AK61" s="867"/>
    </row>
    <row r="62" spans="1:37" s="691" customFormat="1" ht="38.25">
      <c r="A62" s="882" t="s">
        <v>2234</v>
      </c>
      <c r="B62" s="893" t="str">
        <f>估价对象房地状况!C18</f>
        <v>估价对象周边道路状况、公共交通通达情况、停车便捷程度，综合评价交通便捷度较好</v>
      </c>
      <c r="C62" s="758"/>
      <c r="D62" s="888">
        <f t="shared" si="12"/>
        <v>0</v>
      </c>
      <c r="E62" s="894"/>
      <c r="F62" s="890"/>
      <c r="G62" s="891"/>
      <c r="H62" s="892" t="str">
        <f t="shared" si="13"/>
        <v>——</v>
      </c>
      <c r="I62" s="993">
        <v>0.26</v>
      </c>
      <c r="J62" s="994">
        <f t="shared" si="14"/>
        <v>0</v>
      </c>
      <c r="K62" s="994">
        <f t="shared" si="15"/>
        <v>0</v>
      </c>
      <c r="L62" s="994">
        <v>0</v>
      </c>
      <c r="M62" s="994">
        <f t="shared" si="16"/>
        <v>0</v>
      </c>
      <c r="N62" s="994">
        <f t="shared" si="16"/>
        <v>0</v>
      </c>
      <c r="AA62" s="867"/>
      <c r="AB62" s="867"/>
      <c r="AC62" s="867"/>
      <c r="AD62" s="867"/>
      <c r="AE62" s="867"/>
      <c r="AF62" s="867"/>
      <c r="AG62" s="867"/>
      <c r="AH62" s="867"/>
      <c r="AI62" s="867"/>
      <c r="AJ62" s="867"/>
      <c r="AK62" s="867"/>
    </row>
    <row r="63" spans="1:37" s="691" customFormat="1" ht="36">
      <c r="A63" s="895" t="s">
        <v>2235</v>
      </c>
      <c r="B63" s="893">
        <f>估价对象房地状况!C19</f>
        <v>0</v>
      </c>
      <c r="C63" s="758"/>
      <c r="D63" s="888">
        <f t="shared" si="12"/>
        <v>0</v>
      </c>
      <c r="E63" s="894"/>
      <c r="F63" s="890"/>
      <c r="G63" s="891"/>
      <c r="H63" s="892" t="str">
        <f t="shared" si="13"/>
        <v>——</v>
      </c>
      <c r="I63" s="993">
        <v>0.11</v>
      </c>
      <c r="J63" s="994">
        <f t="shared" si="14"/>
        <v>0</v>
      </c>
      <c r="K63" s="994">
        <f t="shared" si="15"/>
        <v>0</v>
      </c>
      <c r="L63" s="994">
        <v>0</v>
      </c>
      <c r="M63" s="994">
        <f t="shared" si="16"/>
        <v>0</v>
      </c>
      <c r="N63" s="994">
        <f t="shared" si="16"/>
        <v>0</v>
      </c>
      <c r="AA63" s="867"/>
      <c r="AB63" s="867"/>
      <c r="AC63" s="867"/>
      <c r="AD63" s="867"/>
      <c r="AE63" s="867"/>
      <c r="AF63" s="867"/>
      <c r="AG63" s="867"/>
      <c r="AH63" s="867"/>
      <c r="AI63" s="867"/>
      <c r="AJ63" s="867"/>
      <c r="AK63" s="867"/>
    </row>
    <row r="64" spans="1:37" s="691" customFormat="1" ht="36.75">
      <c r="A64" s="882" t="s">
        <v>2236</v>
      </c>
      <c r="B64" s="896" t="s">
        <v>2237</v>
      </c>
      <c r="C64" s="758"/>
      <c r="D64" s="888">
        <f t="shared" si="12"/>
        <v>0</v>
      </c>
      <c r="E64" s="894"/>
      <c r="F64" s="890"/>
      <c r="G64" s="891"/>
      <c r="H64" s="892" t="str">
        <f t="shared" si="13"/>
        <v>——</v>
      </c>
      <c r="I64" s="993">
        <v>0.05</v>
      </c>
      <c r="J64" s="994">
        <f t="shared" si="14"/>
        <v>0</v>
      </c>
      <c r="K64" s="994">
        <f t="shared" si="15"/>
        <v>0</v>
      </c>
      <c r="L64" s="994">
        <v>0</v>
      </c>
      <c r="M64" s="994">
        <f t="shared" si="16"/>
        <v>0</v>
      </c>
      <c r="N64" s="994">
        <f t="shared" si="16"/>
        <v>0</v>
      </c>
      <c r="AA64" s="867"/>
      <c r="AB64" s="867"/>
      <c r="AC64" s="867"/>
      <c r="AD64" s="867"/>
      <c r="AE64" s="867"/>
      <c r="AF64" s="867"/>
      <c r="AG64" s="867"/>
      <c r="AH64" s="867"/>
      <c r="AI64" s="867"/>
      <c r="AJ64" s="867"/>
      <c r="AK64" s="867"/>
    </row>
    <row r="65" spans="1:37" s="691" customFormat="1" ht="24">
      <c r="A65" s="882" t="s">
        <v>2238</v>
      </c>
      <c r="B65" s="893">
        <f>估价对象房地状况!C24</f>
        <v>0</v>
      </c>
      <c r="C65" s="758"/>
      <c r="D65" s="888">
        <f t="shared" si="12"/>
        <v>0</v>
      </c>
      <c r="E65" s="894"/>
      <c r="F65" s="890"/>
      <c r="G65" s="891"/>
      <c r="H65" s="892" t="str">
        <f t="shared" si="13"/>
        <v>——</v>
      </c>
      <c r="I65" s="993">
        <v>0.05</v>
      </c>
      <c r="J65" s="994">
        <f t="shared" si="14"/>
        <v>0</v>
      </c>
      <c r="K65" s="994">
        <f t="shared" si="15"/>
        <v>0</v>
      </c>
      <c r="L65" s="994">
        <v>0</v>
      </c>
      <c r="M65" s="994">
        <f t="shared" si="16"/>
        <v>0</v>
      </c>
      <c r="N65" s="994">
        <f t="shared" si="16"/>
        <v>0</v>
      </c>
      <c r="AA65" s="867"/>
      <c r="AB65" s="867"/>
      <c r="AC65" s="867"/>
      <c r="AD65" s="867"/>
      <c r="AE65" s="867"/>
      <c r="AF65" s="867"/>
      <c r="AG65" s="867"/>
      <c r="AH65" s="867"/>
      <c r="AI65" s="867"/>
      <c r="AJ65" s="867"/>
      <c r="AK65" s="867"/>
    </row>
    <row r="66" spans="1:37" s="691" customFormat="1" ht="24">
      <c r="A66" s="882" t="s">
        <v>2239</v>
      </c>
      <c r="B66" s="897" t="s">
        <v>2240</v>
      </c>
      <c r="C66" s="758"/>
      <c r="D66" s="888">
        <f t="shared" si="12"/>
        <v>0</v>
      </c>
      <c r="E66" s="894"/>
      <c r="F66" s="890"/>
      <c r="G66" s="891"/>
      <c r="H66" s="892" t="str">
        <f t="shared" si="13"/>
        <v>——</v>
      </c>
      <c r="I66" s="993">
        <v>0.06</v>
      </c>
      <c r="J66" s="994">
        <f t="shared" si="14"/>
        <v>0</v>
      </c>
      <c r="K66" s="994">
        <f t="shared" si="15"/>
        <v>0</v>
      </c>
      <c r="L66" s="994">
        <v>0</v>
      </c>
      <c r="M66" s="994">
        <f t="shared" si="16"/>
        <v>0</v>
      </c>
      <c r="N66" s="994">
        <f t="shared" si="16"/>
        <v>0</v>
      </c>
      <c r="AA66" s="867"/>
      <c r="AB66" s="867"/>
      <c r="AC66" s="867"/>
      <c r="AD66" s="867"/>
      <c r="AE66" s="867"/>
      <c r="AF66" s="867"/>
      <c r="AG66" s="867"/>
      <c r="AH66" s="867"/>
      <c r="AI66" s="867"/>
      <c r="AJ66" s="867"/>
      <c r="AK66" s="867"/>
    </row>
    <row r="67" spans="1:37" s="691" customFormat="1" ht="25.5">
      <c r="A67" s="882" t="s">
        <v>2241</v>
      </c>
      <c r="B67" s="598" t="str">
        <f>估价对象房地状况!C21</f>
        <v>估价对象所在区域公共配套设施齐备情况</v>
      </c>
      <c r="C67" s="758"/>
      <c r="D67" s="888">
        <f t="shared" si="12"/>
        <v>0</v>
      </c>
      <c r="E67" s="894"/>
      <c r="F67" s="890"/>
      <c r="G67" s="891"/>
      <c r="H67" s="892" t="str">
        <f t="shared" si="13"/>
        <v>——</v>
      </c>
      <c r="I67" s="993">
        <v>0.06</v>
      </c>
      <c r="J67" s="994">
        <f t="shared" si="14"/>
        <v>0</v>
      </c>
      <c r="K67" s="994">
        <f t="shared" si="15"/>
        <v>0</v>
      </c>
      <c r="L67" s="994">
        <v>0</v>
      </c>
      <c r="M67" s="994">
        <f t="shared" si="16"/>
        <v>0</v>
      </c>
      <c r="N67" s="994">
        <f t="shared" si="16"/>
        <v>0</v>
      </c>
      <c r="AA67" s="867"/>
      <c r="AB67" s="867"/>
      <c r="AC67" s="867"/>
      <c r="AD67" s="867"/>
      <c r="AE67" s="867"/>
      <c r="AF67" s="867"/>
      <c r="AG67" s="867"/>
      <c r="AH67" s="867"/>
      <c r="AI67" s="867"/>
      <c r="AJ67" s="867"/>
      <c r="AK67" s="867"/>
    </row>
    <row r="68" spans="1:37" s="691" customFormat="1" ht="25.5">
      <c r="A68" s="882" t="s">
        <v>2242</v>
      </c>
      <c r="B68" s="598" t="str">
        <f>估价对象房地状况!C22</f>
        <v>估价对象所在区域基础设施水平</v>
      </c>
      <c r="C68" s="758"/>
      <c r="D68" s="888">
        <f t="shared" si="12"/>
        <v>0</v>
      </c>
      <c r="E68" s="894"/>
      <c r="F68" s="890"/>
      <c r="G68" s="891"/>
      <c r="H68" s="892" t="str">
        <f t="shared" si="13"/>
        <v>——</v>
      </c>
      <c r="I68" s="993">
        <v>0.09</v>
      </c>
      <c r="J68" s="994">
        <f t="shared" si="14"/>
        <v>0</v>
      </c>
      <c r="K68" s="994">
        <f t="shared" si="15"/>
        <v>0</v>
      </c>
      <c r="L68" s="994">
        <v>0</v>
      </c>
      <c r="M68" s="994">
        <f t="shared" si="16"/>
        <v>0</v>
      </c>
      <c r="N68" s="994">
        <f t="shared" si="16"/>
        <v>0</v>
      </c>
      <c r="AA68" s="867"/>
      <c r="AB68" s="867"/>
      <c r="AC68" s="867"/>
      <c r="AD68" s="867"/>
      <c r="AE68" s="867"/>
      <c r="AF68" s="867"/>
      <c r="AG68" s="867"/>
      <c r="AH68" s="867"/>
      <c r="AI68" s="867"/>
      <c r="AJ68" s="867"/>
      <c r="AK68" s="867"/>
    </row>
    <row r="69" spans="1:37" s="691" customFormat="1" ht="25.5">
      <c r="A69" s="899" t="s">
        <v>2243</v>
      </c>
      <c r="B69" s="1025" t="str">
        <f>估价对象房地状况!C20</f>
        <v>区域自然环境：；人文环境；综合评价环境状况一般</v>
      </c>
      <c r="C69" s="758"/>
      <c r="D69" s="888">
        <f t="shared" si="12"/>
        <v>0</v>
      </c>
      <c r="E69" s="901"/>
      <c r="F69" s="890"/>
      <c r="G69" s="891"/>
      <c r="H69" s="892" t="str">
        <f t="shared" si="13"/>
        <v>——</v>
      </c>
      <c r="I69" s="995">
        <v>7.0000000000000007E-2</v>
      </c>
      <c r="J69" s="994">
        <f t="shared" si="14"/>
        <v>0</v>
      </c>
      <c r="K69" s="994">
        <f t="shared" si="15"/>
        <v>0</v>
      </c>
      <c r="L69" s="994">
        <v>0</v>
      </c>
      <c r="M69" s="994">
        <f t="shared" si="16"/>
        <v>0</v>
      </c>
      <c r="N69" s="994">
        <f t="shared" si="16"/>
        <v>0</v>
      </c>
      <c r="AA69" s="867"/>
      <c r="AB69" s="867"/>
      <c r="AC69" s="867"/>
      <c r="AD69" s="867"/>
      <c r="AE69" s="867"/>
      <c r="AF69" s="867"/>
      <c r="AG69" s="867"/>
      <c r="AH69" s="867"/>
      <c r="AI69" s="867"/>
      <c r="AJ69" s="867"/>
      <c r="AK69" s="867"/>
    </row>
    <row r="70" spans="1:37" s="691" customFormat="1" ht="15">
      <c r="A70" s="876" t="s">
        <v>2247</v>
      </c>
      <c r="B70" s="877">
        <f>1+E72</f>
        <v>1</v>
      </c>
      <c r="C70" s="879"/>
      <c r="D70" s="879"/>
      <c r="E70" s="880"/>
      <c r="F70" s="881"/>
      <c r="G70" s="875"/>
      <c r="H70" s="875"/>
      <c r="I70" s="875"/>
      <c r="J70" s="874"/>
      <c r="K70" s="874"/>
      <c r="L70" s="874"/>
      <c r="M70" s="874"/>
      <c r="N70" s="874"/>
      <c r="AA70" s="867"/>
      <c r="AB70" s="867"/>
      <c r="AC70" s="867"/>
      <c r="AD70" s="867"/>
      <c r="AE70" s="867"/>
      <c r="AF70" s="867"/>
      <c r="AG70" s="867"/>
      <c r="AH70" s="867"/>
      <c r="AI70" s="867"/>
      <c r="AJ70" s="867"/>
      <c r="AK70" s="867"/>
    </row>
    <row r="71" spans="1:37" s="691" customFormat="1" ht="24.75">
      <c r="A71" s="882" t="s">
        <v>2225</v>
      </c>
      <c r="B71" s="883"/>
      <c r="C71" s="883" t="s">
        <v>2227</v>
      </c>
      <c r="D71" s="883" t="s">
        <v>2228</v>
      </c>
      <c r="E71" s="884" t="s">
        <v>2229</v>
      </c>
      <c r="F71" s="885" t="s">
        <v>2245</v>
      </c>
      <c r="G71" s="883" t="s">
        <v>2148</v>
      </c>
      <c r="H71" s="886" t="s">
        <v>2231</v>
      </c>
      <c r="I71" s="883" t="s">
        <v>2232</v>
      </c>
      <c r="J71" s="992" t="s">
        <v>1463</v>
      </c>
      <c r="K71" s="992" t="s">
        <v>1464</v>
      </c>
      <c r="L71" s="992" t="s">
        <v>1465</v>
      </c>
      <c r="M71" s="992" t="s">
        <v>1466</v>
      </c>
      <c r="N71" s="992" t="s">
        <v>1467</v>
      </c>
      <c r="AA71" s="867"/>
      <c r="AB71" s="867"/>
      <c r="AC71" s="867"/>
      <c r="AD71" s="867"/>
      <c r="AE71" s="867"/>
      <c r="AF71" s="867"/>
      <c r="AG71" s="867"/>
      <c r="AH71" s="867"/>
      <c r="AI71" s="867"/>
      <c r="AJ71" s="867"/>
      <c r="AK71" s="867"/>
    </row>
    <row r="72" spans="1:37" s="691" customFormat="1" ht="51">
      <c r="A72" s="882" t="s">
        <v>2248</v>
      </c>
      <c r="B72" s="887" t="str">
        <f>估价对象房地状况!C15</f>
        <v>估价对象周边居住用地比例、居住小区规模和社区发展完善程度，综合评价居住社区成熟度一般</v>
      </c>
      <c r="C72" s="758"/>
      <c r="D72" s="888">
        <f t="shared" ref="D72:D80" si="17">SUMIF($J$71:$N$71,C72,J72:N72)</f>
        <v>0</v>
      </c>
      <c r="E72" s="889">
        <f>ROUND(SUM(D72:D80),4)</f>
        <v>0</v>
      </c>
      <c r="F72" s="890" t="str">
        <f>IF(E2="住宅",SUMIF(L1:L12,G2,N1:N12),"——")</f>
        <v>——</v>
      </c>
      <c r="G72" s="891"/>
      <c r="H72" s="892" t="str">
        <f t="shared" ref="H72:H80" si="18">IFERROR(ROUNDDOWN($F$72*I72/2,4),"——")</f>
        <v>——</v>
      </c>
      <c r="I72" s="993">
        <v>0.2</v>
      </c>
      <c r="J72" s="994">
        <f t="shared" ref="J72:J80" si="19">K72+$G72</f>
        <v>0</v>
      </c>
      <c r="K72" s="994">
        <f t="shared" ref="K72:K80" si="20">$L72+$G72</f>
        <v>0</v>
      </c>
      <c r="L72" s="994">
        <v>0</v>
      </c>
      <c r="M72" s="994">
        <f t="shared" ref="M72:N80" si="21">L72-$G72</f>
        <v>0</v>
      </c>
      <c r="N72" s="994">
        <f t="shared" si="21"/>
        <v>0</v>
      </c>
      <c r="AA72" s="867"/>
      <c r="AB72" s="867"/>
      <c r="AC72" s="867"/>
      <c r="AD72" s="867"/>
      <c r="AE72" s="867"/>
      <c r="AF72" s="867"/>
      <c r="AG72" s="867"/>
      <c r="AH72" s="867"/>
      <c r="AI72" s="867"/>
      <c r="AJ72" s="867"/>
      <c r="AK72" s="867"/>
    </row>
    <row r="73" spans="1:37" s="691" customFormat="1" ht="38.25">
      <c r="A73" s="882" t="s">
        <v>2234</v>
      </c>
      <c r="B73" s="893" t="str">
        <f>估价对象房地状况!C18</f>
        <v>估价对象周边道路状况、公共交通通达情况、停车便捷程度，综合评价交通便捷度较好</v>
      </c>
      <c r="C73" s="758"/>
      <c r="D73" s="888">
        <f t="shared" si="17"/>
        <v>0</v>
      </c>
      <c r="E73" s="1026"/>
      <c r="F73" s="890"/>
      <c r="G73" s="891"/>
      <c r="H73" s="892" t="str">
        <f t="shared" si="18"/>
        <v>——</v>
      </c>
      <c r="I73" s="993">
        <v>0.26</v>
      </c>
      <c r="J73" s="994">
        <f t="shared" si="19"/>
        <v>0</v>
      </c>
      <c r="K73" s="994">
        <f t="shared" si="20"/>
        <v>0</v>
      </c>
      <c r="L73" s="994">
        <v>0</v>
      </c>
      <c r="M73" s="994">
        <f t="shared" si="21"/>
        <v>0</v>
      </c>
      <c r="N73" s="994">
        <f t="shared" si="21"/>
        <v>0</v>
      </c>
      <c r="AA73" s="867"/>
      <c r="AB73" s="867"/>
      <c r="AC73" s="867"/>
      <c r="AD73" s="867"/>
      <c r="AE73" s="867"/>
      <c r="AF73" s="867"/>
      <c r="AG73" s="867"/>
      <c r="AH73" s="867"/>
      <c r="AI73" s="867"/>
      <c r="AJ73" s="867"/>
      <c r="AK73" s="867"/>
    </row>
    <row r="74" spans="1:37" s="692" customFormat="1" ht="36">
      <c r="A74" s="895" t="s">
        <v>2235</v>
      </c>
      <c r="B74" s="893">
        <f>估价对象房地状况!C19</f>
        <v>0</v>
      </c>
      <c r="C74" s="758"/>
      <c r="D74" s="888">
        <f t="shared" si="17"/>
        <v>0</v>
      </c>
      <c r="E74" s="1026"/>
      <c r="F74" s="890"/>
      <c r="G74" s="891"/>
      <c r="H74" s="892" t="str">
        <f t="shared" si="18"/>
        <v>——</v>
      </c>
      <c r="I74" s="993">
        <v>0.1</v>
      </c>
      <c r="J74" s="994">
        <f t="shared" si="19"/>
        <v>0</v>
      </c>
      <c r="K74" s="994">
        <f t="shared" si="20"/>
        <v>0</v>
      </c>
      <c r="L74" s="994">
        <v>0</v>
      </c>
      <c r="M74" s="994">
        <f t="shared" si="21"/>
        <v>0</v>
      </c>
      <c r="N74" s="994">
        <f t="shared" si="21"/>
        <v>0</v>
      </c>
      <c r="O74" s="691"/>
      <c r="P74" s="691"/>
      <c r="Q74" s="691"/>
      <c r="AA74" s="1021"/>
      <c r="AB74" s="867"/>
      <c r="AC74" s="867"/>
      <c r="AD74" s="867"/>
      <c r="AE74" s="867"/>
      <c r="AF74" s="867"/>
      <c r="AG74" s="867"/>
      <c r="AH74" s="1021"/>
      <c r="AI74" s="1021"/>
      <c r="AJ74" s="1021"/>
      <c r="AK74" s="1021"/>
    </row>
    <row r="75" spans="1:37" ht="14.25">
      <c r="A75" s="882" t="s">
        <v>2249</v>
      </c>
      <c r="B75" s="893">
        <f>估价对象房地状况!C24</f>
        <v>0</v>
      </c>
      <c r="C75" s="758"/>
      <c r="D75" s="888">
        <f t="shared" si="17"/>
        <v>0</v>
      </c>
      <c r="E75" s="1026"/>
      <c r="F75" s="890"/>
      <c r="G75" s="891"/>
      <c r="H75" s="892" t="str">
        <f t="shared" si="18"/>
        <v>——</v>
      </c>
      <c r="I75" s="993">
        <v>0.05</v>
      </c>
      <c r="J75" s="994">
        <f t="shared" si="19"/>
        <v>0</v>
      </c>
      <c r="K75" s="994">
        <f t="shared" si="20"/>
        <v>0</v>
      </c>
      <c r="L75" s="994">
        <v>0</v>
      </c>
      <c r="M75" s="994">
        <f t="shared" si="21"/>
        <v>0</v>
      </c>
      <c r="N75" s="994">
        <f t="shared" si="21"/>
        <v>0</v>
      </c>
      <c r="O75" s="691"/>
      <c r="P75" s="691"/>
      <c r="Q75" s="692"/>
      <c r="Z75" s="695"/>
      <c r="AA75" s="693"/>
      <c r="AG75" s="697"/>
      <c r="AK75" s="693"/>
    </row>
    <row r="76" spans="1:37" ht="25.5">
      <c r="A76" s="882" t="s">
        <v>2241</v>
      </c>
      <c r="B76" s="598" t="str">
        <f>估价对象房地状况!C21</f>
        <v>估价对象所在区域公共配套设施齐备情况</v>
      </c>
      <c r="C76" s="758"/>
      <c r="D76" s="888">
        <f t="shared" si="17"/>
        <v>0</v>
      </c>
      <c r="E76" s="1026"/>
      <c r="F76" s="890"/>
      <c r="G76" s="891"/>
      <c r="H76" s="892" t="str">
        <f t="shared" si="18"/>
        <v>——</v>
      </c>
      <c r="I76" s="993">
        <v>0.08</v>
      </c>
      <c r="J76" s="994">
        <f t="shared" si="19"/>
        <v>0</v>
      </c>
      <c r="K76" s="994">
        <f t="shared" si="20"/>
        <v>0</v>
      </c>
      <c r="L76" s="994">
        <v>0</v>
      </c>
      <c r="M76" s="994">
        <f t="shared" si="21"/>
        <v>0</v>
      </c>
      <c r="N76" s="994">
        <f t="shared" si="21"/>
        <v>0</v>
      </c>
      <c r="O76" s="691"/>
      <c r="P76" s="691"/>
      <c r="Z76" s="695"/>
      <c r="AA76" s="693"/>
      <c r="AG76" s="697"/>
      <c r="AK76" s="693"/>
    </row>
    <row r="77" spans="1:37" ht="25.5">
      <c r="A77" s="882" t="s">
        <v>2242</v>
      </c>
      <c r="B77" s="598" t="str">
        <f>估价对象房地状况!C22</f>
        <v>估价对象所在区域基础设施水平</v>
      </c>
      <c r="C77" s="758"/>
      <c r="D77" s="888">
        <f t="shared" si="17"/>
        <v>0</v>
      </c>
      <c r="E77" s="1026"/>
      <c r="F77" s="890"/>
      <c r="G77" s="891"/>
      <c r="H77" s="892" t="str">
        <f t="shared" si="18"/>
        <v>——</v>
      </c>
      <c r="I77" s="993">
        <v>0.09</v>
      </c>
      <c r="J77" s="994">
        <f t="shared" si="19"/>
        <v>0</v>
      </c>
      <c r="K77" s="994">
        <f t="shared" si="20"/>
        <v>0</v>
      </c>
      <c r="L77" s="994">
        <v>0</v>
      </c>
      <c r="M77" s="994">
        <f t="shared" si="21"/>
        <v>0</v>
      </c>
      <c r="N77" s="994">
        <f t="shared" si="21"/>
        <v>0</v>
      </c>
      <c r="O77" s="691"/>
      <c r="P77" s="691"/>
      <c r="Z77" s="695"/>
      <c r="AA77" s="693"/>
      <c r="AG77" s="697"/>
      <c r="AK77" s="693"/>
    </row>
    <row r="78" spans="1:37" ht="24">
      <c r="A78" s="882" t="s">
        <v>2239</v>
      </c>
      <c r="B78" s="897" t="s">
        <v>2240</v>
      </c>
      <c r="C78" s="758"/>
      <c r="D78" s="888">
        <f t="shared" si="17"/>
        <v>0</v>
      </c>
      <c r="E78" s="1026"/>
      <c r="F78" s="890"/>
      <c r="G78" s="891"/>
      <c r="H78" s="892" t="str">
        <f t="shared" si="18"/>
        <v>——</v>
      </c>
      <c r="I78" s="993">
        <v>0.05</v>
      </c>
      <c r="J78" s="994">
        <f t="shared" si="19"/>
        <v>0</v>
      </c>
      <c r="K78" s="994">
        <f t="shared" si="20"/>
        <v>0</v>
      </c>
      <c r="L78" s="994">
        <v>0</v>
      </c>
      <c r="M78" s="994">
        <f t="shared" si="21"/>
        <v>0</v>
      </c>
      <c r="N78" s="994">
        <f t="shared" si="21"/>
        <v>0</v>
      </c>
      <c r="O78" s="692"/>
      <c r="P78" s="692"/>
      <c r="Z78" s="695"/>
      <c r="AA78" s="693"/>
      <c r="AG78" s="697"/>
      <c r="AK78" s="693"/>
    </row>
    <row r="79" spans="1:37" ht="25.5">
      <c r="A79" s="882" t="s">
        <v>2243</v>
      </c>
      <c r="B79" s="887" t="str">
        <f>估价对象房地状况!C20</f>
        <v>区域自然环境：；人文环境；综合评价环境状况一般</v>
      </c>
      <c r="C79" s="758"/>
      <c r="D79" s="888">
        <f t="shared" si="17"/>
        <v>0</v>
      </c>
      <c r="E79" s="1026"/>
      <c r="F79" s="890"/>
      <c r="G79" s="891"/>
      <c r="H79" s="892" t="str">
        <f t="shared" si="18"/>
        <v>——</v>
      </c>
      <c r="I79" s="993">
        <v>0.12</v>
      </c>
      <c r="J79" s="994">
        <f t="shared" si="19"/>
        <v>0</v>
      </c>
      <c r="K79" s="994">
        <f t="shared" si="20"/>
        <v>0</v>
      </c>
      <c r="L79" s="994">
        <v>0</v>
      </c>
      <c r="M79" s="994">
        <f t="shared" si="21"/>
        <v>0</v>
      </c>
      <c r="N79" s="994">
        <f t="shared" si="21"/>
        <v>0</v>
      </c>
      <c r="Z79" s="695"/>
      <c r="AA79" s="693"/>
      <c r="AG79" s="697"/>
      <c r="AK79" s="693"/>
    </row>
    <row r="80" spans="1:37" ht="24">
      <c r="A80" s="899" t="s">
        <v>2250</v>
      </c>
      <c r="B80" s="1027"/>
      <c r="C80" s="758"/>
      <c r="D80" s="888">
        <f t="shared" si="17"/>
        <v>0</v>
      </c>
      <c r="E80" s="1028"/>
      <c r="F80" s="890"/>
      <c r="G80" s="891"/>
      <c r="H80" s="892" t="str">
        <f t="shared" si="18"/>
        <v>——</v>
      </c>
      <c r="I80" s="995">
        <v>0.05</v>
      </c>
      <c r="J80" s="994">
        <f t="shared" si="19"/>
        <v>0</v>
      </c>
      <c r="K80" s="994">
        <f t="shared" si="20"/>
        <v>0</v>
      </c>
      <c r="L80" s="994">
        <v>0</v>
      </c>
      <c r="M80" s="994">
        <f t="shared" si="21"/>
        <v>0</v>
      </c>
      <c r="N80" s="994">
        <f t="shared" si="21"/>
        <v>0</v>
      </c>
      <c r="Z80" s="695"/>
      <c r="AA80" s="693"/>
      <c r="AG80" s="697"/>
      <c r="AK80" s="693"/>
    </row>
    <row r="81" spans="1:37" ht="15">
      <c r="A81" s="876" t="s">
        <v>2251</v>
      </c>
      <c r="B81" s="877">
        <f>1+E83</f>
        <v>1</v>
      </c>
      <c r="C81" s="879"/>
      <c r="D81" s="879"/>
      <c r="E81" s="880"/>
      <c r="F81" s="881"/>
      <c r="G81" s="875"/>
      <c r="H81" s="875"/>
      <c r="I81" s="875"/>
      <c r="J81" s="874"/>
      <c r="K81" s="874"/>
      <c r="L81" s="874"/>
      <c r="M81" s="874"/>
      <c r="N81" s="874"/>
      <c r="Z81" s="695"/>
      <c r="AA81" s="693"/>
      <c r="AG81" s="697"/>
      <c r="AK81" s="693"/>
    </row>
    <row r="82" spans="1:37" ht="24.75">
      <c r="A82" s="882" t="s">
        <v>2225</v>
      </c>
      <c r="B82" s="883"/>
      <c r="C82" s="883" t="s">
        <v>2227</v>
      </c>
      <c r="D82" s="883" t="s">
        <v>2228</v>
      </c>
      <c r="E82" s="884" t="s">
        <v>2229</v>
      </c>
      <c r="F82" s="885" t="s">
        <v>2245</v>
      </c>
      <c r="G82" s="883" t="s">
        <v>2148</v>
      </c>
      <c r="H82" s="886" t="s">
        <v>2231</v>
      </c>
      <c r="I82" s="883" t="s">
        <v>2232</v>
      </c>
      <c r="J82" s="992" t="s">
        <v>1463</v>
      </c>
      <c r="K82" s="992" t="s">
        <v>1464</v>
      </c>
      <c r="L82" s="992" t="s">
        <v>1465</v>
      </c>
      <c r="M82" s="992" t="s">
        <v>1466</v>
      </c>
      <c r="N82" s="992" t="s">
        <v>1467</v>
      </c>
      <c r="Z82" s="695"/>
      <c r="AA82" s="693"/>
      <c r="AG82" s="697"/>
      <c r="AK82" s="693"/>
    </row>
    <row r="83" spans="1:37" ht="38.25">
      <c r="A83" s="882" t="s">
        <v>2252</v>
      </c>
      <c r="B83" s="893" t="str">
        <f>估价对象房地状况!G15</f>
        <v>估价对象位于XX开发区，园区建设成熟度XX，产业集聚程度XX</v>
      </c>
      <c r="C83" s="758"/>
      <c r="D83" s="888">
        <f t="shared" ref="D83:D90" si="22">SUMIF($J$82:$N$82,C83,J83:N83)</f>
        <v>0</v>
      </c>
      <c r="E83" s="889">
        <f>ROUND(SUM(D83:D90),4)</f>
        <v>0</v>
      </c>
      <c r="F83" s="890" t="str">
        <f>IF(E2="工业",SUMIF(L1:L12,G2,N1:N12),"——")</f>
        <v>——</v>
      </c>
      <c r="G83" s="891"/>
      <c r="H83" s="892" t="str">
        <f t="shared" ref="H83:H90" si="23">IFERROR(ROUNDDOWN($F$83*I83/2,4),"——")</f>
        <v>——</v>
      </c>
      <c r="I83" s="993">
        <v>0.26</v>
      </c>
      <c r="J83" s="994">
        <f t="shared" ref="J83:J90" si="24">K83+$G83</f>
        <v>0</v>
      </c>
      <c r="K83" s="994">
        <f t="shared" ref="K83:K90" si="25">$L83+$G83</f>
        <v>0</v>
      </c>
      <c r="L83" s="994">
        <v>0</v>
      </c>
      <c r="M83" s="994">
        <f t="shared" ref="M83:N90" si="26">L83-$G83</f>
        <v>0</v>
      </c>
      <c r="N83" s="994">
        <f t="shared" si="26"/>
        <v>0</v>
      </c>
      <c r="Z83" s="695"/>
      <c r="AA83" s="693"/>
      <c r="AG83" s="697"/>
      <c r="AK83" s="693"/>
    </row>
    <row r="84" spans="1:37" ht="38.25">
      <c r="A84" s="882" t="s">
        <v>2234</v>
      </c>
      <c r="B84" s="893" t="str">
        <f>估价对象房地状况!G16</f>
        <v>估价对象周边道路状况、公共交通通达情况、停车便捷程度，综合评价交通便捷度较好</v>
      </c>
      <c r="C84" s="758"/>
      <c r="D84" s="888">
        <f t="shared" si="22"/>
        <v>0</v>
      </c>
      <c r="E84" s="1026"/>
      <c r="F84" s="890"/>
      <c r="G84" s="891"/>
      <c r="H84" s="892" t="str">
        <f t="shared" si="23"/>
        <v>——</v>
      </c>
      <c r="I84" s="993">
        <v>0.3</v>
      </c>
      <c r="J84" s="994">
        <f t="shared" si="24"/>
        <v>0</v>
      </c>
      <c r="K84" s="994">
        <f t="shared" si="25"/>
        <v>0</v>
      </c>
      <c r="L84" s="994">
        <v>0</v>
      </c>
      <c r="M84" s="994">
        <f t="shared" si="26"/>
        <v>0</v>
      </c>
      <c r="N84" s="994">
        <f t="shared" si="26"/>
        <v>0</v>
      </c>
      <c r="Z84" s="695"/>
      <c r="AA84" s="693"/>
      <c r="AG84" s="697"/>
      <c r="AK84" s="693"/>
    </row>
    <row r="85" spans="1:37" ht="36">
      <c r="A85" s="895" t="s">
        <v>2235</v>
      </c>
      <c r="B85" s="893">
        <f>估价对象房地状况!G17</f>
        <v>0</v>
      </c>
      <c r="C85" s="758"/>
      <c r="D85" s="888">
        <f t="shared" si="22"/>
        <v>0</v>
      </c>
      <c r="E85" s="1026"/>
      <c r="F85" s="890"/>
      <c r="G85" s="891"/>
      <c r="H85" s="892" t="str">
        <f t="shared" si="23"/>
        <v>——</v>
      </c>
      <c r="I85" s="993">
        <v>0.1</v>
      </c>
      <c r="J85" s="994">
        <f t="shared" si="24"/>
        <v>0</v>
      </c>
      <c r="K85" s="994">
        <f t="shared" si="25"/>
        <v>0</v>
      </c>
      <c r="L85" s="994">
        <v>0</v>
      </c>
      <c r="M85" s="994">
        <f t="shared" si="26"/>
        <v>0</v>
      </c>
      <c r="N85" s="994">
        <f t="shared" si="26"/>
        <v>0</v>
      </c>
      <c r="Z85" s="695"/>
      <c r="AA85" s="693"/>
      <c r="AG85" s="697"/>
      <c r="AK85" s="693"/>
    </row>
    <row r="86" spans="1:37" ht="14.25">
      <c r="A86" s="882" t="s">
        <v>2249</v>
      </c>
      <c r="B86" s="893">
        <f>估价对象房地状况!G22</f>
        <v>0</v>
      </c>
      <c r="C86" s="758"/>
      <c r="D86" s="888">
        <f t="shared" si="22"/>
        <v>0</v>
      </c>
      <c r="E86" s="1026"/>
      <c r="F86" s="890"/>
      <c r="G86" s="891"/>
      <c r="H86" s="892" t="str">
        <f t="shared" si="23"/>
        <v>——</v>
      </c>
      <c r="I86" s="993">
        <v>0.05</v>
      </c>
      <c r="J86" s="994">
        <f t="shared" si="24"/>
        <v>0</v>
      </c>
      <c r="K86" s="994">
        <f t="shared" si="25"/>
        <v>0</v>
      </c>
      <c r="L86" s="994">
        <v>0</v>
      </c>
      <c r="M86" s="994">
        <f t="shared" si="26"/>
        <v>0</v>
      </c>
      <c r="N86" s="994">
        <f t="shared" si="26"/>
        <v>0</v>
      </c>
      <c r="Z86" s="695"/>
      <c r="AA86" s="693"/>
      <c r="AG86" s="697"/>
      <c r="AK86" s="693"/>
    </row>
    <row r="87" spans="1:37" ht="25.5">
      <c r="A87" s="882" t="s">
        <v>2241</v>
      </c>
      <c r="B87" s="598" t="str">
        <f>估价对象房地状况!G19</f>
        <v>估价对象所在区域公共配套设施齐备情况</v>
      </c>
      <c r="C87" s="758"/>
      <c r="D87" s="888">
        <f t="shared" si="22"/>
        <v>0</v>
      </c>
      <c r="E87" s="1026"/>
      <c r="F87" s="890"/>
      <c r="G87" s="891"/>
      <c r="H87" s="892" t="str">
        <f t="shared" si="23"/>
        <v>——</v>
      </c>
      <c r="I87" s="993">
        <v>0.06</v>
      </c>
      <c r="J87" s="994">
        <f t="shared" si="24"/>
        <v>0</v>
      </c>
      <c r="K87" s="994">
        <f t="shared" si="25"/>
        <v>0</v>
      </c>
      <c r="L87" s="994">
        <v>0</v>
      </c>
      <c r="M87" s="994">
        <f t="shared" si="26"/>
        <v>0</v>
      </c>
      <c r="N87" s="994">
        <f t="shared" si="26"/>
        <v>0</v>
      </c>
    </row>
    <row r="88" spans="1:37" ht="25.5">
      <c r="A88" s="882" t="s">
        <v>2242</v>
      </c>
      <c r="B88" s="598" t="str">
        <f>估价对象房地状况!G20</f>
        <v>估价对象所在区域基础设施水平</v>
      </c>
      <c r="C88" s="758"/>
      <c r="D88" s="888">
        <f t="shared" si="22"/>
        <v>0</v>
      </c>
      <c r="E88" s="1026"/>
      <c r="F88" s="890"/>
      <c r="G88" s="891"/>
      <c r="H88" s="892" t="str">
        <f t="shared" si="23"/>
        <v>——</v>
      </c>
      <c r="I88" s="993">
        <v>0.12</v>
      </c>
      <c r="J88" s="994">
        <f t="shared" si="24"/>
        <v>0</v>
      </c>
      <c r="K88" s="994">
        <f t="shared" si="25"/>
        <v>0</v>
      </c>
      <c r="L88" s="994">
        <v>0</v>
      </c>
      <c r="M88" s="994">
        <f t="shared" si="26"/>
        <v>0</v>
      </c>
      <c r="N88" s="994">
        <f t="shared" si="26"/>
        <v>0</v>
      </c>
    </row>
    <row r="89" spans="1:37" ht="24">
      <c r="A89" s="882" t="s">
        <v>2239</v>
      </c>
      <c r="B89" s="897" t="s">
        <v>2253</v>
      </c>
      <c r="C89" s="758"/>
      <c r="D89" s="888">
        <f t="shared" si="22"/>
        <v>0</v>
      </c>
      <c r="E89" s="1026"/>
      <c r="F89" s="890"/>
      <c r="G89" s="891"/>
      <c r="H89" s="892" t="str">
        <f t="shared" si="23"/>
        <v>——</v>
      </c>
      <c r="I89" s="993">
        <v>0.06</v>
      </c>
      <c r="J89" s="994">
        <f t="shared" si="24"/>
        <v>0</v>
      </c>
      <c r="K89" s="994">
        <f t="shared" si="25"/>
        <v>0</v>
      </c>
      <c r="L89" s="994">
        <v>0</v>
      </c>
      <c r="M89" s="994">
        <f t="shared" si="26"/>
        <v>0</v>
      </c>
      <c r="N89" s="994">
        <f t="shared" si="26"/>
        <v>0</v>
      </c>
    </row>
    <row r="90" spans="1:37" ht="38.25">
      <c r="A90" s="899" t="s">
        <v>2254</v>
      </c>
      <c r="B90" s="1029" t="str">
        <f>估价对象房地状况!G18</f>
        <v>该园区内是否有污染型企业，绿化情况，卫生条件，整体环境状况判断</v>
      </c>
      <c r="C90" s="758"/>
      <c r="D90" s="888">
        <f t="shared" si="22"/>
        <v>0</v>
      </c>
      <c r="E90" s="1028"/>
      <c r="F90" s="890"/>
      <c r="G90" s="891"/>
      <c r="H90" s="892" t="str">
        <f t="shared" si="23"/>
        <v>——</v>
      </c>
      <c r="I90" s="995">
        <v>0.05</v>
      </c>
      <c r="J90" s="994">
        <f t="shared" si="24"/>
        <v>0</v>
      </c>
      <c r="K90" s="994">
        <f t="shared" si="25"/>
        <v>0</v>
      </c>
      <c r="L90" s="994">
        <v>0</v>
      </c>
      <c r="M90" s="994">
        <f t="shared" si="26"/>
        <v>0</v>
      </c>
      <c r="N90" s="994">
        <f t="shared" si="26"/>
        <v>0</v>
      </c>
    </row>
    <row r="91" spans="1:37" ht="15">
      <c r="A91" s="1030" t="s">
        <v>231</v>
      </c>
      <c r="B91" s="1031">
        <f>1+E93</f>
        <v>1</v>
      </c>
      <c r="C91" s="1032"/>
      <c r="D91" s="1033"/>
      <c r="E91" s="890"/>
      <c r="F91" s="890"/>
      <c r="G91" s="1034"/>
      <c r="H91" s="1035"/>
      <c r="I91" s="1069"/>
      <c r="J91" s="1070"/>
      <c r="K91" s="1070"/>
      <c r="L91" s="1070"/>
      <c r="M91" s="1070"/>
      <c r="N91" s="1070"/>
    </row>
    <row r="92" spans="1:37" ht="24.75">
      <c r="A92" s="1036" t="s">
        <v>2225</v>
      </c>
      <c r="B92" s="1037"/>
      <c r="C92" s="1037" t="s">
        <v>2227</v>
      </c>
      <c r="D92" s="1037" t="s">
        <v>2228</v>
      </c>
      <c r="E92" s="1006" t="s">
        <v>2229</v>
      </c>
      <c r="F92" s="1038" t="s">
        <v>2245</v>
      </c>
      <c r="G92" s="1037" t="s">
        <v>2148</v>
      </c>
      <c r="H92" s="1039" t="s">
        <v>2231</v>
      </c>
      <c r="I92" s="1037" t="s">
        <v>2232</v>
      </c>
      <c r="J92" s="1071" t="s">
        <v>1463</v>
      </c>
      <c r="K92" s="1071" t="s">
        <v>1464</v>
      </c>
      <c r="L92" s="1071" t="s">
        <v>1465</v>
      </c>
      <c r="M92" s="1071" t="s">
        <v>1466</v>
      </c>
      <c r="N92" s="1071" t="s">
        <v>1467</v>
      </c>
    </row>
    <row r="93" spans="1:37" ht="24">
      <c r="A93" s="895" t="s">
        <v>2255</v>
      </c>
      <c r="B93" s="631"/>
      <c r="C93" s="758"/>
      <c r="D93" s="1037">
        <f>SUMIF($J$92:$N$92,C93,J93:N93)</f>
        <v>0</v>
      </c>
      <c r="E93" s="1040">
        <f>ROUND(SUM(D93:D101),4)</f>
        <v>0</v>
      </c>
      <c r="F93" s="890" t="str">
        <f>IF(E2="公共服务",SUMIF(L1:L12,G2,N1:N12),"——")</f>
        <v>——</v>
      </c>
      <c r="G93" s="1034"/>
      <c r="H93" s="1041" t="str">
        <f>IFERROR(ROUNDDOWN($F$93*I93/2,4),"——")</f>
        <v>——</v>
      </c>
      <c r="I93" s="993">
        <v>0.25</v>
      </c>
      <c r="J93" s="815">
        <f t="shared" ref="J93:J101" si="27">K93+$G93</f>
        <v>0</v>
      </c>
      <c r="K93" s="815">
        <f t="shared" ref="K93:K101" si="28">$L93+$G93</f>
        <v>0</v>
      </c>
      <c r="L93" s="815">
        <v>0</v>
      </c>
      <c r="M93" s="815">
        <f t="shared" ref="M93:N101" si="29">L93-$G93</f>
        <v>0</v>
      </c>
      <c r="N93" s="815">
        <f t="shared" si="29"/>
        <v>0</v>
      </c>
    </row>
    <row r="94" spans="1:37" ht="38.25">
      <c r="A94" s="1036" t="s">
        <v>2234</v>
      </c>
      <c r="B94" s="1042" t="str">
        <f>估价对象房地状况!C18</f>
        <v>估价对象周边道路状况、公共交通通达情况、停车便捷程度，综合评价交通便捷度较好</v>
      </c>
      <c r="C94" s="758"/>
      <c r="D94" s="1037">
        <f t="shared" ref="D94:D101" si="30">SUMIF($J$60:$N$60,C94,J94:N94)</f>
        <v>0</v>
      </c>
      <c r="E94" s="1043"/>
      <c r="F94" s="890"/>
      <c r="G94" s="1034"/>
      <c r="H94" s="1041" t="str">
        <f>IFERROR(ROUNDDOWN($F$93*I94/2,4),"——")</f>
        <v>——</v>
      </c>
      <c r="I94" s="993">
        <v>0.26</v>
      </c>
      <c r="J94" s="815">
        <f t="shared" si="27"/>
        <v>0</v>
      </c>
      <c r="K94" s="815">
        <f t="shared" si="28"/>
        <v>0</v>
      </c>
      <c r="L94" s="815">
        <v>0</v>
      </c>
      <c r="M94" s="815">
        <f t="shared" si="29"/>
        <v>0</v>
      </c>
      <c r="N94" s="815">
        <f t="shared" si="29"/>
        <v>0</v>
      </c>
    </row>
    <row r="95" spans="1:37" ht="36">
      <c r="A95" s="895" t="s">
        <v>2235</v>
      </c>
      <c r="B95" s="1042">
        <f>估价对象房地状况!C19</f>
        <v>0</v>
      </c>
      <c r="C95" s="758"/>
      <c r="D95" s="1037">
        <f t="shared" si="30"/>
        <v>0</v>
      </c>
      <c r="E95" s="1043"/>
      <c r="F95" s="890"/>
      <c r="G95" s="1034"/>
      <c r="H95" s="1041" t="str">
        <f t="shared" ref="H95:H101" si="31">IFERROR(ROUNDDOWN($F$93*I95/2,4),"——")</f>
        <v>——</v>
      </c>
      <c r="I95" s="993">
        <v>0.11</v>
      </c>
      <c r="J95" s="815">
        <f t="shared" si="27"/>
        <v>0</v>
      </c>
      <c r="K95" s="815">
        <f t="shared" si="28"/>
        <v>0</v>
      </c>
      <c r="L95" s="815">
        <v>0</v>
      </c>
      <c r="M95" s="815">
        <f t="shared" si="29"/>
        <v>0</v>
      </c>
      <c r="N95" s="815">
        <f t="shared" si="29"/>
        <v>0</v>
      </c>
    </row>
    <row r="96" spans="1:37" ht="36.75">
      <c r="A96" s="1036" t="s">
        <v>2236</v>
      </c>
      <c r="B96" s="1044" t="s">
        <v>2237</v>
      </c>
      <c r="C96" s="758"/>
      <c r="D96" s="1037">
        <f t="shared" si="30"/>
        <v>0</v>
      </c>
      <c r="E96" s="1043"/>
      <c r="F96" s="890"/>
      <c r="G96" s="1034"/>
      <c r="H96" s="1041" t="str">
        <f t="shared" si="31"/>
        <v>——</v>
      </c>
      <c r="I96" s="993">
        <v>0.05</v>
      </c>
      <c r="J96" s="815">
        <f t="shared" si="27"/>
        <v>0</v>
      </c>
      <c r="K96" s="815">
        <f t="shared" si="28"/>
        <v>0</v>
      </c>
      <c r="L96" s="815">
        <v>0</v>
      </c>
      <c r="M96" s="815">
        <f t="shared" si="29"/>
        <v>0</v>
      </c>
      <c r="N96" s="815">
        <f t="shared" si="29"/>
        <v>0</v>
      </c>
    </row>
    <row r="97" spans="1:14" ht="24">
      <c r="A97" s="1036" t="s">
        <v>2238</v>
      </c>
      <c r="B97" s="1042">
        <f>估价对象房地状况!C24</f>
        <v>0</v>
      </c>
      <c r="C97" s="758"/>
      <c r="D97" s="1037">
        <f t="shared" si="30"/>
        <v>0</v>
      </c>
      <c r="E97" s="1043"/>
      <c r="F97" s="890"/>
      <c r="G97" s="1034"/>
      <c r="H97" s="1041" t="str">
        <f t="shared" si="31"/>
        <v>——</v>
      </c>
      <c r="I97" s="993">
        <v>0.05</v>
      </c>
      <c r="J97" s="815">
        <f t="shared" si="27"/>
        <v>0</v>
      </c>
      <c r="K97" s="815">
        <f t="shared" si="28"/>
        <v>0</v>
      </c>
      <c r="L97" s="815">
        <v>0</v>
      </c>
      <c r="M97" s="815">
        <f t="shared" si="29"/>
        <v>0</v>
      </c>
      <c r="N97" s="815">
        <f t="shared" si="29"/>
        <v>0</v>
      </c>
    </row>
    <row r="98" spans="1:14" ht="24">
      <c r="A98" s="1036" t="s">
        <v>2239</v>
      </c>
      <c r="B98" s="1045" t="s">
        <v>2240</v>
      </c>
      <c r="C98" s="758"/>
      <c r="D98" s="1037">
        <f t="shared" si="30"/>
        <v>0</v>
      </c>
      <c r="E98" s="1043"/>
      <c r="F98" s="890"/>
      <c r="G98" s="1034"/>
      <c r="H98" s="1041" t="str">
        <f t="shared" si="31"/>
        <v>——</v>
      </c>
      <c r="I98" s="993">
        <v>0.06</v>
      </c>
      <c r="J98" s="815">
        <f t="shared" si="27"/>
        <v>0</v>
      </c>
      <c r="K98" s="815">
        <f t="shared" si="28"/>
        <v>0</v>
      </c>
      <c r="L98" s="815">
        <v>0</v>
      </c>
      <c r="M98" s="815">
        <f t="shared" si="29"/>
        <v>0</v>
      </c>
      <c r="N98" s="815">
        <f t="shared" si="29"/>
        <v>0</v>
      </c>
    </row>
    <row r="99" spans="1:14" ht="25.5">
      <c r="A99" s="1036" t="s">
        <v>2241</v>
      </c>
      <c r="B99" s="1042" t="str">
        <f>估价对象房地状况!C21</f>
        <v>估价对象所在区域公共配套设施齐备情况</v>
      </c>
      <c r="C99" s="758"/>
      <c r="D99" s="1037">
        <f t="shared" si="30"/>
        <v>0</v>
      </c>
      <c r="E99" s="1043"/>
      <c r="F99" s="890"/>
      <c r="G99" s="1034"/>
      <c r="H99" s="1041" t="str">
        <f t="shared" si="31"/>
        <v>——</v>
      </c>
      <c r="I99" s="993">
        <v>0.06</v>
      </c>
      <c r="J99" s="815">
        <f t="shared" si="27"/>
        <v>0</v>
      </c>
      <c r="K99" s="815">
        <f t="shared" si="28"/>
        <v>0</v>
      </c>
      <c r="L99" s="815">
        <v>0</v>
      </c>
      <c r="M99" s="815">
        <f t="shared" si="29"/>
        <v>0</v>
      </c>
      <c r="N99" s="815">
        <f t="shared" si="29"/>
        <v>0</v>
      </c>
    </row>
    <row r="100" spans="1:14" ht="25.5">
      <c r="A100" s="1036" t="s">
        <v>2242</v>
      </c>
      <c r="B100" s="1042" t="str">
        <f>估价对象房地状况!C22</f>
        <v>估价对象所在区域基础设施水平</v>
      </c>
      <c r="C100" s="758"/>
      <c r="D100" s="1037">
        <f t="shared" si="30"/>
        <v>0</v>
      </c>
      <c r="E100" s="1043"/>
      <c r="F100" s="890"/>
      <c r="G100" s="1034"/>
      <c r="H100" s="1041" t="str">
        <f t="shared" si="31"/>
        <v>——</v>
      </c>
      <c r="I100" s="993">
        <v>0.09</v>
      </c>
      <c r="J100" s="815">
        <f t="shared" si="27"/>
        <v>0</v>
      </c>
      <c r="K100" s="815">
        <f t="shared" si="28"/>
        <v>0</v>
      </c>
      <c r="L100" s="815">
        <v>0</v>
      </c>
      <c r="M100" s="815">
        <f t="shared" si="29"/>
        <v>0</v>
      </c>
      <c r="N100" s="815">
        <f t="shared" si="29"/>
        <v>0</v>
      </c>
    </row>
    <row r="101" spans="1:14" ht="25.5">
      <c r="A101" s="1046" t="s">
        <v>2243</v>
      </c>
      <c r="B101" s="1047" t="str">
        <f>估价对象房地状况!C20</f>
        <v>区域自然环境：；人文环境；综合评价环境状况一般</v>
      </c>
      <c r="C101" s="758"/>
      <c r="D101" s="1037">
        <f t="shared" si="30"/>
        <v>0</v>
      </c>
      <c r="E101" s="1048"/>
      <c r="F101" s="890"/>
      <c r="G101" s="1034"/>
      <c r="H101" s="1041" t="str">
        <f t="shared" si="31"/>
        <v>——</v>
      </c>
      <c r="I101" s="995">
        <v>7.0000000000000007E-2</v>
      </c>
      <c r="J101" s="815">
        <f t="shared" si="27"/>
        <v>0</v>
      </c>
      <c r="K101" s="815">
        <f t="shared" si="28"/>
        <v>0</v>
      </c>
      <c r="L101" s="815">
        <v>0</v>
      </c>
      <c r="M101" s="815">
        <f t="shared" si="29"/>
        <v>0</v>
      </c>
      <c r="N101" s="815">
        <f t="shared" si="29"/>
        <v>0</v>
      </c>
    </row>
    <row r="103" spans="1:14">
      <c r="A103" s="3788" t="s">
        <v>2256</v>
      </c>
      <c r="B103" s="3788"/>
      <c r="C103" s="3788"/>
      <c r="D103" s="3788"/>
      <c r="E103" s="3788"/>
      <c r="F103" s="3788"/>
      <c r="G103" s="3788"/>
      <c r="H103" s="3788"/>
      <c r="I103" s="3788"/>
      <c r="J103" s="3788"/>
      <c r="K103" s="1049"/>
      <c r="L103" s="1049"/>
      <c r="M103" s="1049"/>
      <c r="N103" s="1049"/>
    </row>
    <row r="104" spans="1:14">
      <c r="A104" s="3794" t="s">
        <v>2257</v>
      </c>
      <c r="B104" s="3794" t="s">
        <v>2258</v>
      </c>
      <c r="C104" s="1051" t="s">
        <v>2259</v>
      </c>
      <c r="D104" s="1052"/>
      <c r="E104" s="1052"/>
      <c r="F104" s="1052"/>
      <c r="G104" s="1052"/>
      <c r="H104" s="1052"/>
      <c r="I104" s="1052"/>
      <c r="J104" s="1072"/>
      <c r="K104" s="1073"/>
      <c r="L104" s="1073"/>
      <c r="M104" s="1073"/>
      <c r="N104" s="1073"/>
    </row>
    <row r="105" spans="1:14">
      <c r="A105" s="3794"/>
      <c r="B105" s="3794"/>
      <c r="C105" s="1050" t="s">
        <v>2109</v>
      </c>
      <c r="D105" s="1050" t="s">
        <v>2110</v>
      </c>
      <c r="E105" s="1050" t="s">
        <v>2111</v>
      </c>
      <c r="F105" s="1050" t="s">
        <v>2112</v>
      </c>
      <c r="G105" s="1050" t="s">
        <v>2113</v>
      </c>
      <c r="H105" s="1050" t="s">
        <v>2114</v>
      </c>
      <c r="I105" s="1050" t="s">
        <v>2115</v>
      </c>
      <c r="J105" s="1050" t="s">
        <v>2116</v>
      </c>
      <c r="K105" s="1050" t="s">
        <v>2117</v>
      </c>
      <c r="L105" s="1050" t="s">
        <v>2118</v>
      </c>
      <c r="M105" s="1050" t="s">
        <v>2119</v>
      </c>
      <c r="N105" s="1050" t="s">
        <v>2120</v>
      </c>
    </row>
    <row r="106" spans="1:14">
      <c r="A106" s="3795" t="s">
        <v>2260</v>
      </c>
      <c r="B106" s="1050">
        <v>1</v>
      </c>
      <c r="C106" s="1050">
        <v>1.5206</v>
      </c>
      <c r="D106" s="1050">
        <v>1.5206</v>
      </c>
      <c r="E106" s="1050">
        <v>1.5019</v>
      </c>
      <c r="F106" s="1050">
        <v>1.5019</v>
      </c>
      <c r="G106" s="1050">
        <v>1.5019</v>
      </c>
      <c r="H106" s="1050">
        <v>1.5019</v>
      </c>
      <c r="I106" s="1050">
        <v>1.5019</v>
      </c>
      <c r="J106" s="1050">
        <v>1.5418000000000001</v>
      </c>
      <c r="K106" s="1050">
        <v>1.5418000000000001</v>
      </c>
      <c r="L106" s="1050">
        <v>1.5418000000000001</v>
      </c>
      <c r="M106" s="1050">
        <v>1.5418000000000001</v>
      </c>
      <c r="N106" s="1050">
        <v>1.5418000000000001</v>
      </c>
    </row>
    <row r="107" spans="1:14">
      <c r="A107" s="3796"/>
      <c r="B107" s="1050">
        <v>2</v>
      </c>
      <c r="C107" s="1050">
        <v>1.2072000000000001</v>
      </c>
      <c r="D107" s="1050">
        <v>1.2072000000000001</v>
      </c>
      <c r="E107" s="1050">
        <v>1.1838</v>
      </c>
      <c r="F107" s="1050">
        <v>1.1838</v>
      </c>
      <c r="G107" s="1050">
        <v>1.1838</v>
      </c>
      <c r="H107" s="1050">
        <v>1.1838</v>
      </c>
      <c r="I107" s="1050">
        <v>1.1838</v>
      </c>
      <c r="J107" s="1050">
        <v>1.1883999999999999</v>
      </c>
      <c r="K107" s="1050">
        <v>1.1883999999999999</v>
      </c>
      <c r="L107" s="1050">
        <v>1.1883999999999999</v>
      </c>
      <c r="M107" s="1050">
        <v>1.1883999999999999</v>
      </c>
      <c r="N107" s="1050">
        <v>1.1883999999999999</v>
      </c>
    </row>
    <row r="108" spans="1:14">
      <c r="A108" s="3796"/>
      <c r="B108" s="1050">
        <v>3</v>
      </c>
      <c r="C108" s="1050">
        <v>1.0430999999999999</v>
      </c>
      <c r="D108" s="1050">
        <v>1.0430999999999999</v>
      </c>
      <c r="E108" s="1050">
        <v>1.0004999999999999</v>
      </c>
      <c r="F108" s="1050">
        <v>1.0004999999999999</v>
      </c>
      <c r="G108" s="1050">
        <v>1.0004999999999999</v>
      </c>
      <c r="H108" s="1050">
        <v>1.0004999999999999</v>
      </c>
      <c r="I108" s="1050">
        <v>1.0004999999999999</v>
      </c>
      <c r="J108" s="1050">
        <v>0.96940000000000004</v>
      </c>
      <c r="K108" s="1050">
        <v>0.96940000000000004</v>
      </c>
      <c r="L108" s="1050">
        <v>0.96940000000000004</v>
      </c>
      <c r="M108" s="1050">
        <v>0.96940000000000004</v>
      </c>
      <c r="N108" s="1050">
        <v>0.96940000000000004</v>
      </c>
    </row>
    <row r="109" spans="1:14">
      <c r="A109" s="3796"/>
      <c r="B109" s="1050">
        <v>4</v>
      </c>
      <c r="C109" s="1050">
        <v>0.94389999999999996</v>
      </c>
      <c r="D109" s="1050">
        <v>0.94389999999999996</v>
      </c>
      <c r="E109" s="1050">
        <v>0.88239999999999996</v>
      </c>
      <c r="F109" s="1050">
        <v>0.88239999999999996</v>
      </c>
      <c r="G109" s="1050">
        <v>0.88239999999999996</v>
      </c>
      <c r="H109" s="1050">
        <v>0.88239999999999996</v>
      </c>
      <c r="I109" s="1050">
        <v>0.88239999999999996</v>
      </c>
      <c r="J109" s="1050">
        <v>0.82299999999999995</v>
      </c>
      <c r="K109" s="1050">
        <v>0.82299999999999995</v>
      </c>
      <c r="L109" s="1050">
        <v>0.82299999999999995</v>
      </c>
      <c r="M109" s="1050">
        <v>0.82299999999999995</v>
      </c>
      <c r="N109" s="1050">
        <v>0.82299999999999995</v>
      </c>
    </row>
    <row r="110" spans="1:14">
      <c r="A110" s="3796"/>
      <c r="B110" s="1050">
        <v>5</v>
      </c>
      <c r="C110" s="1050">
        <v>0.89959999999999996</v>
      </c>
      <c r="D110" s="1050">
        <v>0.89959999999999996</v>
      </c>
      <c r="E110" s="1050">
        <v>0.84799999999999998</v>
      </c>
      <c r="F110" s="1050">
        <v>0.84799999999999998</v>
      </c>
      <c r="G110" s="1050">
        <v>0.84799999999999998</v>
      </c>
      <c r="H110" s="1050">
        <v>0.84799999999999998</v>
      </c>
      <c r="I110" s="1050">
        <v>0.84799999999999998</v>
      </c>
      <c r="J110" s="1050">
        <v>0.74980000000000002</v>
      </c>
      <c r="K110" s="1050">
        <v>0.74980000000000002</v>
      </c>
      <c r="L110" s="1050">
        <v>0.74980000000000002</v>
      </c>
      <c r="M110" s="1050">
        <v>0.74980000000000002</v>
      </c>
      <c r="N110" s="1050">
        <v>0.74980000000000002</v>
      </c>
    </row>
    <row r="111" spans="1:14">
      <c r="A111" s="3796"/>
      <c r="B111" s="1050" t="s">
        <v>2125</v>
      </c>
      <c r="C111" s="1053">
        <f>$I$3</f>
        <v>0</v>
      </c>
      <c r="D111" s="1053">
        <f t="shared" ref="D111:N111" si="32">$I$3</f>
        <v>0</v>
      </c>
      <c r="E111" s="1053">
        <f t="shared" si="32"/>
        <v>0</v>
      </c>
      <c r="F111" s="1053">
        <f t="shared" si="32"/>
        <v>0</v>
      </c>
      <c r="G111" s="1053">
        <f t="shared" si="32"/>
        <v>0</v>
      </c>
      <c r="H111" s="1053">
        <f t="shared" si="32"/>
        <v>0</v>
      </c>
      <c r="I111" s="1053">
        <f t="shared" si="32"/>
        <v>0</v>
      </c>
      <c r="J111" s="1053">
        <f t="shared" si="32"/>
        <v>0</v>
      </c>
      <c r="K111" s="1053">
        <f t="shared" si="32"/>
        <v>0</v>
      </c>
      <c r="L111" s="1053">
        <f t="shared" si="32"/>
        <v>0</v>
      </c>
      <c r="M111" s="1053">
        <f t="shared" si="32"/>
        <v>0</v>
      </c>
      <c r="N111" s="1053">
        <f t="shared" si="32"/>
        <v>0</v>
      </c>
    </row>
    <row r="112" spans="1:14">
      <c r="A112" s="3797"/>
      <c r="B112" s="1050">
        <v>6</v>
      </c>
      <c r="C112" s="1039">
        <f>(-0.5556*(C111^2)-0.2719*C111+8944)*(10^(-4))</f>
        <v>0.89439999999999997</v>
      </c>
      <c r="D112" s="1039">
        <f>(-0.5556*(D111^2)-0.2719*D111+8944)*(10^(-4))</f>
        <v>0.89439999999999997</v>
      </c>
      <c r="E112" s="1039">
        <f>(-0.7912*(E111^2)-11.3794*E111+8482)*(10^(-4))</f>
        <v>0.84819999999999995</v>
      </c>
      <c r="F112" s="1039">
        <f t="shared" ref="F112:I112" si="33">(-0.7912*(F111^2)-11.3794*F111+8482)*(10^(-4))</f>
        <v>0.84819999999999995</v>
      </c>
      <c r="G112" s="1039">
        <f t="shared" si="33"/>
        <v>0.84819999999999995</v>
      </c>
      <c r="H112" s="1039">
        <f t="shared" si="33"/>
        <v>0.84819999999999995</v>
      </c>
      <c r="I112" s="1039">
        <f t="shared" si="33"/>
        <v>0.84819999999999995</v>
      </c>
      <c r="J112" s="1039">
        <f>(-0.989*(J111^2)-63.78*J111+7771)*(10^(-4))</f>
        <v>0.77710000000000001</v>
      </c>
      <c r="K112" s="1039">
        <f t="shared" ref="K112:N112" si="34">(-0.989*(K111^2)-63.78*K111+7771)*(10^(-4))</f>
        <v>0.77710000000000001</v>
      </c>
      <c r="L112" s="1039">
        <f t="shared" si="34"/>
        <v>0.77710000000000001</v>
      </c>
      <c r="M112" s="1039">
        <f t="shared" si="34"/>
        <v>0.77710000000000001</v>
      </c>
      <c r="N112" s="1039">
        <f t="shared" si="34"/>
        <v>0.77710000000000001</v>
      </c>
    </row>
    <row r="113" spans="1:14">
      <c r="A113" s="3789" t="s">
        <v>2261</v>
      </c>
      <c r="B113" s="3789"/>
      <c r="C113" s="3789"/>
      <c r="D113" s="3789"/>
      <c r="E113" s="3789"/>
      <c r="F113" s="3789"/>
      <c r="G113" s="3789"/>
      <c r="H113" s="3789"/>
      <c r="I113" s="3789"/>
      <c r="J113" s="3789"/>
      <c r="K113" s="1054"/>
      <c r="L113" s="1054"/>
      <c r="M113" s="1054"/>
      <c r="N113" s="1054"/>
    </row>
    <row r="114" spans="1:14">
      <c r="A114" s="1055"/>
      <c r="B114" s="1055"/>
      <c r="C114" s="1055"/>
      <c r="D114" s="1055"/>
      <c r="E114" s="1055"/>
      <c r="F114" s="1055"/>
      <c r="G114" s="1055"/>
      <c r="H114" s="1055"/>
      <c r="I114" s="1055"/>
      <c r="J114" s="1055"/>
      <c r="K114" s="978"/>
      <c r="L114" s="1055"/>
      <c r="M114" s="1055"/>
      <c r="N114" s="1055"/>
    </row>
    <row r="115" spans="1:14">
      <c r="A115" s="1055"/>
      <c r="B115" s="1055"/>
      <c r="C115" s="1055"/>
      <c r="D115" s="1055"/>
      <c r="E115" s="1055"/>
      <c r="F115" s="1055"/>
      <c r="G115" s="1055"/>
      <c r="H115" s="1055"/>
      <c r="I115" s="1055"/>
      <c r="J115" s="1055"/>
      <c r="K115" s="978"/>
      <c r="L115" s="1055"/>
      <c r="M115" s="1055"/>
      <c r="N115" s="1055"/>
    </row>
    <row r="116" spans="1:14" ht="24.75">
      <c r="A116" s="1056" t="s">
        <v>2262</v>
      </c>
      <c r="B116" s="1057">
        <f>G3</f>
        <v>0</v>
      </c>
      <c r="C116" s="1058" t="s">
        <v>2263</v>
      </c>
      <c r="D116" s="1059">
        <f>SUMPRODUCT((A118:A122=F116)*(B117:M117=H116)*B118:M122)</f>
        <v>0</v>
      </c>
      <c r="E116" s="701" t="s">
        <v>2085</v>
      </c>
      <c r="F116" s="1060">
        <f>E2</f>
        <v>0</v>
      </c>
      <c r="G116" s="701" t="s">
        <v>2086</v>
      </c>
      <c r="H116" s="1060">
        <f>G2</f>
        <v>0</v>
      </c>
      <c r="I116" s="701"/>
      <c r="J116" s="1074"/>
      <c r="K116" s="1074"/>
      <c r="L116" s="1074"/>
      <c r="M116" s="1074"/>
      <c r="N116" s="1055"/>
    </row>
    <row r="117" spans="1:14">
      <c r="A117" s="1061"/>
      <c r="B117" s="1062" t="s">
        <v>2264</v>
      </c>
      <c r="C117" s="1062" t="s">
        <v>2265</v>
      </c>
      <c r="D117" s="1062" t="s">
        <v>2266</v>
      </c>
      <c r="E117" s="1063" t="s">
        <v>2267</v>
      </c>
      <c r="F117" s="1063" t="s">
        <v>2268</v>
      </c>
      <c r="G117" s="1063" t="s">
        <v>2269</v>
      </c>
      <c r="H117" s="1064" t="s">
        <v>2270</v>
      </c>
      <c r="I117" s="1064" t="s">
        <v>2271</v>
      </c>
      <c r="J117" s="1075" t="s">
        <v>2272</v>
      </c>
      <c r="K117" s="1075" t="s">
        <v>2273</v>
      </c>
      <c r="L117" s="1075" t="s">
        <v>2274</v>
      </c>
      <c r="M117" s="1076" t="s">
        <v>2275</v>
      </c>
      <c r="N117" s="1055"/>
    </row>
    <row r="118" spans="1:14">
      <c r="A118" s="1065" t="s">
        <v>2194</v>
      </c>
      <c r="B118" s="1039">
        <f>ROUND(0.9968-0.011*B116,4)</f>
        <v>0.99680000000000002</v>
      </c>
      <c r="C118" s="1039">
        <f>B118</f>
        <v>0.99680000000000002</v>
      </c>
      <c r="D118" s="1039">
        <f>ROUND(0.949-0.014*B116,4)</f>
        <v>0.94899999999999995</v>
      </c>
      <c r="E118" s="1039">
        <f>D118</f>
        <v>0.94899999999999995</v>
      </c>
      <c r="F118" s="1039">
        <f>E118</f>
        <v>0.94899999999999995</v>
      </c>
      <c r="G118" s="1039">
        <f>F118</f>
        <v>0.94899999999999995</v>
      </c>
      <c r="H118" s="1039">
        <f>G118</f>
        <v>0.94899999999999995</v>
      </c>
      <c r="I118" s="1039">
        <f>ROUND(0.8486-0.018*B116,4)</f>
        <v>0.84860000000000002</v>
      </c>
      <c r="J118" s="1039">
        <f t="shared" ref="J118:M122" si="35">I118</f>
        <v>0.84860000000000002</v>
      </c>
      <c r="K118" s="1039">
        <f t="shared" si="35"/>
        <v>0.84860000000000002</v>
      </c>
      <c r="L118" s="1039">
        <f t="shared" si="35"/>
        <v>0.84860000000000002</v>
      </c>
      <c r="M118" s="1077">
        <f t="shared" si="35"/>
        <v>0.84860000000000002</v>
      </c>
      <c r="N118" s="1055"/>
    </row>
    <row r="119" spans="1:14">
      <c r="A119" s="1065" t="s">
        <v>2195</v>
      </c>
      <c r="B119" s="1039">
        <f>ROUND(0.993-0.0112*B116,4)</f>
        <v>0.99299999999999999</v>
      </c>
      <c r="C119" s="1039">
        <f>B119</f>
        <v>0.99299999999999999</v>
      </c>
      <c r="D119" s="1039">
        <f>ROUND(0.9415-0.0142*B116,4)</f>
        <v>0.9415</v>
      </c>
      <c r="E119" s="1039">
        <f t="shared" ref="E119:H120" si="36">D119</f>
        <v>0.9415</v>
      </c>
      <c r="F119" s="1039">
        <f t="shared" si="36"/>
        <v>0.9415</v>
      </c>
      <c r="G119" s="1039">
        <f t="shared" si="36"/>
        <v>0.9415</v>
      </c>
      <c r="H119" s="1039">
        <f t="shared" si="36"/>
        <v>0.9415</v>
      </c>
      <c r="I119" s="1039">
        <f>ROUND(0.838-0.0182*B116,4)</f>
        <v>0.83799999999999997</v>
      </c>
      <c r="J119" s="1039">
        <f t="shared" si="35"/>
        <v>0.83799999999999997</v>
      </c>
      <c r="K119" s="1039">
        <f t="shared" si="35"/>
        <v>0.83799999999999997</v>
      </c>
      <c r="L119" s="1039">
        <f t="shared" si="35"/>
        <v>0.83799999999999997</v>
      </c>
      <c r="M119" s="1077">
        <f t="shared" si="35"/>
        <v>0.83799999999999997</v>
      </c>
      <c r="N119" s="1055"/>
    </row>
    <row r="120" spans="1:14">
      <c r="A120" s="1065" t="s">
        <v>2196</v>
      </c>
      <c r="B120" s="1039">
        <f>ROUND(0.9448-0.0115*B116,4)</f>
        <v>0.94479999999999997</v>
      </c>
      <c r="C120" s="1039">
        <f>B120</f>
        <v>0.94479999999999997</v>
      </c>
      <c r="D120" s="1039">
        <f>ROUND(0.937-0.0145*B116,4)</f>
        <v>0.93700000000000006</v>
      </c>
      <c r="E120" s="1039">
        <f t="shared" si="36"/>
        <v>0.93700000000000006</v>
      </c>
      <c r="F120" s="1039">
        <f t="shared" si="36"/>
        <v>0.93700000000000006</v>
      </c>
      <c r="G120" s="1039">
        <f t="shared" si="36"/>
        <v>0.93700000000000006</v>
      </c>
      <c r="H120" s="1039">
        <f t="shared" si="36"/>
        <v>0.93700000000000006</v>
      </c>
      <c r="I120" s="1039">
        <f>ROUND(0.7965-0.0185*B116,4)</f>
        <v>0.79649999999999999</v>
      </c>
      <c r="J120" s="1039">
        <f t="shared" si="35"/>
        <v>0.79649999999999999</v>
      </c>
      <c r="K120" s="1039">
        <f t="shared" si="35"/>
        <v>0.79649999999999999</v>
      </c>
      <c r="L120" s="1039">
        <f t="shared" si="35"/>
        <v>0.79649999999999999</v>
      </c>
      <c r="M120" s="1077">
        <f t="shared" si="35"/>
        <v>0.79649999999999999</v>
      </c>
      <c r="N120" s="1055"/>
    </row>
    <row r="121" spans="1:14">
      <c r="A121" s="1066" t="s">
        <v>2197</v>
      </c>
      <c r="B121" s="1067">
        <f>ROUND(0.7836-0.012*B116,4)</f>
        <v>0.78359999999999996</v>
      </c>
      <c r="C121" s="1067">
        <f>B121</f>
        <v>0.78359999999999996</v>
      </c>
      <c r="D121" s="1067">
        <f>ROUND(0.753-0.015*B116,4)</f>
        <v>0.753</v>
      </c>
      <c r="E121" s="1067">
        <f>D121</f>
        <v>0.753</v>
      </c>
      <c r="F121" s="1067">
        <f>E121</f>
        <v>0.753</v>
      </c>
      <c r="G121" s="1067">
        <f>ROUND(0.6612-0.018*B116,4)</f>
        <v>0.66120000000000001</v>
      </c>
      <c r="H121" s="1067">
        <f>G121</f>
        <v>0.66120000000000001</v>
      </c>
      <c r="I121" s="1067">
        <f>ROUND(0.5905-0.019*B116,4)</f>
        <v>0.59050000000000002</v>
      </c>
      <c r="J121" s="1067">
        <f t="shared" si="35"/>
        <v>0.59050000000000002</v>
      </c>
      <c r="K121" s="1067">
        <f t="shared" si="35"/>
        <v>0.59050000000000002</v>
      </c>
      <c r="L121" s="1067">
        <f t="shared" si="35"/>
        <v>0.59050000000000002</v>
      </c>
      <c r="M121" s="1078">
        <f t="shared" si="35"/>
        <v>0.59050000000000002</v>
      </c>
      <c r="N121" s="1055"/>
    </row>
    <row r="122" spans="1:14">
      <c r="A122" s="1068" t="s">
        <v>231</v>
      </c>
      <c r="B122" s="1039">
        <f>ROUND(0.9404-0.0106*B116,4)</f>
        <v>0.94040000000000001</v>
      </c>
      <c r="C122" s="1039">
        <f>B122</f>
        <v>0.94040000000000001</v>
      </c>
      <c r="D122" s="1039">
        <f>ROUND(0.8955-0.0135*B116,4)</f>
        <v>0.89549999999999996</v>
      </c>
      <c r="E122" s="1039">
        <f t="shared" ref="E122:H122" si="37">D122</f>
        <v>0.89549999999999996</v>
      </c>
      <c r="F122" s="1039">
        <f t="shared" si="37"/>
        <v>0.89549999999999996</v>
      </c>
      <c r="G122" s="1039">
        <f t="shared" si="37"/>
        <v>0.89549999999999996</v>
      </c>
      <c r="H122" s="1039">
        <f t="shared" si="37"/>
        <v>0.89549999999999996</v>
      </c>
      <c r="I122" s="1039">
        <f>ROUND(0.7632-0.0166*B116,4)</f>
        <v>0.76319999999999999</v>
      </c>
      <c r="J122" s="1039">
        <f t="shared" si="35"/>
        <v>0.76319999999999999</v>
      </c>
      <c r="K122" s="1039">
        <f t="shared" si="35"/>
        <v>0.76319999999999999</v>
      </c>
      <c r="L122" s="1039">
        <f t="shared" si="35"/>
        <v>0.76319999999999999</v>
      </c>
      <c r="M122" s="1077">
        <f t="shared" si="35"/>
        <v>0.76319999999999999</v>
      </c>
      <c r="N122" s="105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9" priority="6" stopIfTrue="1" operator="notEqual">
      <formula>"——"</formula>
    </cfRule>
  </conditionalFormatting>
  <conditionalFormatting sqref="F61">
    <cfRule type="cellIs" dxfId="8" priority="5" stopIfTrue="1" operator="notEqual">
      <formula>"——"</formula>
    </cfRule>
  </conditionalFormatting>
  <conditionalFormatting sqref="F72">
    <cfRule type="cellIs" dxfId="7" priority="4" stopIfTrue="1" operator="notEqual">
      <formula>"——"</formula>
    </cfRule>
  </conditionalFormatting>
  <conditionalFormatting sqref="F83">
    <cfRule type="cellIs" dxfId="6" priority="3" stopIfTrue="1" operator="notEqual">
      <formula>"——"</formula>
    </cfRule>
  </conditionalFormatting>
  <conditionalFormatting sqref="H93:H101">
    <cfRule type="cellIs" dxfId="5" priority="1" operator="notEqual">
      <formula>"——"</formula>
    </cfRule>
  </conditionalFormatting>
  <conditionalFormatting sqref="H50:H58 H61:H69 H72:H80 H83:H91">
    <cfRule type="cellIs" dxfId="4"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41"/>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562" customWidth="1"/>
    <col min="2" max="2" width="9.25" style="563" customWidth="1"/>
    <col min="3" max="3" width="5" style="563" customWidth="1"/>
    <col min="4" max="4" width="9" style="563"/>
    <col min="5" max="5" width="5" style="563" customWidth="1"/>
    <col min="6" max="6" width="9" style="563"/>
    <col min="7" max="7" width="5" style="563" customWidth="1"/>
    <col min="8" max="8" width="9" style="563"/>
    <col min="9" max="9" width="5" style="563" customWidth="1"/>
    <col min="10" max="10" width="9" style="563"/>
    <col min="11" max="11" width="5" style="563" customWidth="1"/>
    <col min="12" max="12" width="9" style="563"/>
    <col min="13" max="13" width="5" style="563" customWidth="1"/>
    <col min="14" max="14" width="9" style="563"/>
    <col min="15" max="15" width="5" style="563" customWidth="1"/>
    <col min="16" max="16" width="9" style="563"/>
    <col min="17" max="17" width="5" style="563" customWidth="1"/>
    <col min="18" max="18" width="12" style="564" customWidth="1"/>
    <col min="19" max="19" width="9" style="562"/>
    <col min="20" max="45" width="9" style="565"/>
    <col min="46" max="16384" width="9" style="562"/>
  </cols>
  <sheetData>
    <row r="1" spans="1:45" ht="14.25" customHeight="1">
      <c r="A1" s="566"/>
      <c r="B1" s="567" t="s">
        <v>2276</v>
      </c>
      <c r="C1" s="3799" t="s">
        <v>2277</v>
      </c>
      <c r="D1" s="3800"/>
      <c r="E1" s="3800"/>
      <c r="F1" s="3800"/>
      <c r="G1" s="3800"/>
      <c r="H1" s="3800"/>
      <c r="I1" s="3800"/>
      <c r="J1" s="3800"/>
      <c r="K1" s="3800"/>
      <c r="L1" s="3800"/>
      <c r="M1" s="3800"/>
      <c r="N1" s="3800"/>
      <c r="O1" s="3800"/>
      <c r="P1" s="3800"/>
      <c r="Q1" s="3800"/>
      <c r="R1" s="3800"/>
      <c r="S1" s="3801"/>
      <c r="T1" s="567" t="s">
        <v>2148</v>
      </c>
    </row>
    <row r="2" spans="1:45" s="557" customFormat="1">
      <c r="A2" s="568"/>
      <c r="B2" s="569" t="s">
        <v>505</v>
      </c>
      <c r="C2" s="570" t="str">
        <f t="shared" ref="C2:R2" si="0">C3&amp;"(含)"&amp;"-"&amp;D3</f>
        <v>0(含)-</v>
      </c>
      <c r="D2" s="571" t="str">
        <f t="shared" si="0"/>
        <v>(含)-</v>
      </c>
      <c r="E2" s="571" t="str">
        <f t="shared" si="0"/>
        <v>(含)-</v>
      </c>
      <c r="F2" s="571" t="str">
        <f t="shared" si="0"/>
        <v>(含)-</v>
      </c>
      <c r="G2" s="571" t="str">
        <f t="shared" si="0"/>
        <v>(含)-</v>
      </c>
      <c r="H2" s="571" t="str">
        <f t="shared" si="0"/>
        <v>(含)-</v>
      </c>
      <c r="I2" s="571" t="str">
        <f t="shared" si="0"/>
        <v>(含)-</v>
      </c>
      <c r="J2" s="571" t="str">
        <f t="shared" si="0"/>
        <v>(含)-</v>
      </c>
      <c r="K2" s="571" t="str">
        <f t="shared" si="0"/>
        <v>(含)-</v>
      </c>
      <c r="L2" s="571" t="str">
        <f t="shared" si="0"/>
        <v>(含)-</v>
      </c>
      <c r="M2" s="571" t="str">
        <f t="shared" si="0"/>
        <v>(含)-</v>
      </c>
      <c r="N2" s="571" t="str">
        <f t="shared" si="0"/>
        <v>(含)-</v>
      </c>
      <c r="O2" s="571" t="str">
        <f t="shared" si="0"/>
        <v>(含)-</v>
      </c>
      <c r="P2" s="571" t="str">
        <f t="shared" si="0"/>
        <v>(含)-</v>
      </c>
      <c r="Q2" s="571" t="str">
        <f t="shared" si="0"/>
        <v>(含)-</v>
      </c>
      <c r="R2" s="571" t="str">
        <f t="shared" si="0"/>
        <v>(含)-</v>
      </c>
      <c r="S2" s="653" t="str">
        <f>S3&amp;"(含)"&amp;"-"</f>
        <v>(含)-</v>
      </c>
      <c r="T2" s="654"/>
      <c r="U2" s="655"/>
      <c r="V2" s="655"/>
      <c r="W2" s="655"/>
      <c r="X2" s="655"/>
      <c r="Y2" s="655"/>
      <c r="Z2" s="655"/>
      <c r="AA2" s="655"/>
      <c r="AB2" s="655"/>
      <c r="AC2" s="655"/>
      <c r="AD2" s="655"/>
      <c r="AE2" s="655"/>
      <c r="AF2" s="655"/>
      <c r="AG2" s="655"/>
      <c r="AH2" s="655"/>
      <c r="AI2" s="655"/>
      <c r="AJ2" s="655"/>
      <c r="AK2" s="655"/>
      <c r="AL2" s="655"/>
      <c r="AM2" s="655"/>
      <c r="AN2" s="655"/>
      <c r="AO2" s="655"/>
      <c r="AP2" s="655"/>
      <c r="AQ2" s="655"/>
      <c r="AR2" s="655"/>
      <c r="AS2" s="655"/>
    </row>
    <row r="3" spans="1:45" s="558" customFormat="1">
      <c r="A3" s="572"/>
      <c r="B3" s="573"/>
      <c r="C3" s="574">
        <v>0</v>
      </c>
      <c r="D3" s="575"/>
      <c r="E3" s="575"/>
      <c r="F3" s="576"/>
      <c r="G3" s="576"/>
      <c r="H3" s="576"/>
      <c r="I3" s="576"/>
      <c r="J3" s="576"/>
      <c r="K3" s="576"/>
      <c r="L3" s="631"/>
      <c r="M3" s="632"/>
      <c r="N3" s="632"/>
      <c r="O3" s="576"/>
      <c r="P3" s="576"/>
      <c r="Q3" s="576"/>
      <c r="R3" s="576"/>
      <c r="S3" s="656"/>
      <c r="T3" s="657"/>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58" customFormat="1">
      <c r="A4" s="577"/>
      <c r="B4" s="578"/>
      <c r="C4" s="579"/>
      <c r="D4" s="580"/>
      <c r="E4" s="580"/>
      <c r="F4" s="581"/>
      <c r="G4" s="581"/>
      <c r="H4" s="581"/>
      <c r="I4" s="581"/>
      <c r="J4" s="581"/>
      <c r="K4" s="581"/>
      <c r="L4" s="581"/>
      <c r="M4" s="633"/>
      <c r="N4" s="633"/>
      <c r="O4" s="581"/>
      <c r="P4" s="581"/>
      <c r="Q4" s="581"/>
      <c r="R4" s="581"/>
      <c r="S4" s="659"/>
      <c r="T4" s="660"/>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559" customFormat="1">
      <c r="A5" s="582"/>
      <c r="B5" s="583" t="s">
        <v>2278</v>
      </c>
      <c r="C5" s="584"/>
      <c r="D5" s="585"/>
      <c r="E5" s="586"/>
      <c r="F5" s="587"/>
      <c r="G5" s="587"/>
      <c r="H5" s="587"/>
      <c r="I5" s="587"/>
      <c r="J5" s="587"/>
      <c r="K5" s="587"/>
      <c r="L5" s="634"/>
      <c r="M5" s="635"/>
      <c r="N5" s="635"/>
      <c r="O5" s="587"/>
      <c r="P5" s="587"/>
      <c r="Q5" s="587"/>
      <c r="R5" s="587"/>
      <c r="S5" s="661"/>
      <c r="T5" s="662"/>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row>
    <row r="6" spans="1:45" s="559" customFormat="1">
      <c r="A6" s="582"/>
      <c r="B6" s="588"/>
      <c r="C6" s="589">
        <v>100</v>
      </c>
      <c r="D6" s="590">
        <f t="shared" ref="D6:S6" si="1">C6-$T5</f>
        <v>100</v>
      </c>
      <c r="E6" s="590">
        <f t="shared" si="1"/>
        <v>100</v>
      </c>
      <c r="F6" s="591">
        <f t="shared" si="1"/>
        <v>100</v>
      </c>
      <c r="G6" s="591">
        <f t="shared" si="1"/>
        <v>100</v>
      </c>
      <c r="H6" s="591">
        <f t="shared" si="1"/>
        <v>100</v>
      </c>
      <c r="I6" s="591">
        <f t="shared" si="1"/>
        <v>100</v>
      </c>
      <c r="J6" s="591">
        <f t="shared" si="1"/>
        <v>100</v>
      </c>
      <c r="K6" s="591">
        <f t="shared" si="1"/>
        <v>100</v>
      </c>
      <c r="L6" s="591">
        <f t="shared" si="1"/>
        <v>100</v>
      </c>
      <c r="M6" s="591">
        <f t="shared" si="1"/>
        <v>100</v>
      </c>
      <c r="N6" s="591">
        <f t="shared" si="1"/>
        <v>100</v>
      </c>
      <c r="O6" s="591">
        <f t="shared" si="1"/>
        <v>100</v>
      </c>
      <c r="P6" s="591">
        <f t="shared" si="1"/>
        <v>100</v>
      </c>
      <c r="Q6" s="591">
        <f t="shared" si="1"/>
        <v>100</v>
      </c>
      <c r="R6" s="591">
        <f t="shared" si="1"/>
        <v>100</v>
      </c>
      <c r="S6" s="591">
        <f t="shared" si="1"/>
        <v>100</v>
      </c>
      <c r="T6" s="664"/>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row>
    <row r="7" spans="1:45" s="559" customFormat="1">
      <c r="A7" s="582"/>
      <c r="B7" s="592" t="s">
        <v>2279</v>
      </c>
      <c r="C7" s="593"/>
      <c r="D7" s="594"/>
      <c r="E7" s="594"/>
      <c r="F7" s="595"/>
      <c r="G7" s="595"/>
      <c r="H7" s="595"/>
      <c r="I7" s="595"/>
      <c r="J7" s="595"/>
      <c r="K7" s="595"/>
      <c r="L7" s="595"/>
      <c r="M7" s="636"/>
      <c r="N7" s="637"/>
      <c r="O7" s="638"/>
      <c r="P7" s="639"/>
      <c r="Q7" s="665"/>
      <c r="R7" s="666"/>
      <c r="S7" s="667"/>
      <c r="T7" s="668"/>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row>
    <row r="8" spans="1:45" s="559" customFormat="1">
      <c r="A8" s="582"/>
      <c r="B8" s="588"/>
      <c r="C8" s="589">
        <v>100</v>
      </c>
      <c r="D8" s="590">
        <f t="shared" ref="D8:S8" si="2">C8-$T7</f>
        <v>100</v>
      </c>
      <c r="E8" s="590">
        <f t="shared" si="2"/>
        <v>100</v>
      </c>
      <c r="F8" s="591">
        <f t="shared" si="2"/>
        <v>100</v>
      </c>
      <c r="G8" s="591">
        <f t="shared" si="2"/>
        <v>100</v>
      </c>
      <c r="H8" s="591">
        <f t="shared" si="2"/>
        <v>100</v>
      </c>
      <c r="I8" s="591">
        <f t="shared" si="2"/>
        <v>100</v>
      </c>
      <c r="J8" s="591">
        <f t="shared" si="2"/>
        <v>100</v>
      </c>
      <c r="K8" s="591">
        <f t="shared" si="2"/>
        <v>100</v>
      </c>
      <c r="L8" s="591">
        <f t="shared" si="2"/>
        <v>100</v>
      </c>
      <c r="M8" s="591">
        <f t="shared" si="2"/>
        <v>100</v>
      </c>
      <c r="N8" s="591">
        <f t="shared" si="2"/>
        <v>100</v>
      </c>
      <c r="O8" s="591">
        <f t="shared" si="2"/>
        <v>100</v>
      </c>
      <c r="P8" s="591">
        <f t="shared" si="2"/>
        <v>100</v>
      </c>
      <c r="Q8" s="591">
        <f t="shared" si="2"/>
        <v>100</v>
      </c>
      <c r="R8" s="591">
        <f t="shared" si="2"/>
        <v>100</v>
      </c>
      <c r="S8" s="591">
        <f t="shared" si="2"/>
        <v>100</v>
      </c>
      <c r="T8" s="664"/>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row>
    <row r="9" spans="1:45" s="559" customFormat="1">
      <c r="A9" s="582"/>
      <c r="B9" s="592" t="s">
        <v>2280</v>
      </c>
      <c r="C9" s="593"/>
      <c r="D9" s="594"/>
      <c r="E9" s="594"/>
      <c r="F9" s="595"/>
      <c r="G9" s="595"/>
      <c r="H9" s="595"/>
      <c r="I9" s="595"/>
      <c r="J9" s="595"/>
      <c r="K9" s="595"/>
      <c r="L9" s="640"/>
      <c r="M9" s="636"/>
      <c r="N9" s="637"/>
      <c r="O9" s="638"/>
      <c r="P9" s="639"/>
      <c r="Q9" s="665"/>
      <c r="R9" s="666"/>
      <c r="S9" s="667"/>
      <c r="T9" s="668"/>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row>
    <row r="10" spans="1:45" s="559" customFormat="1">
      <c r="A10" s="582"/>
      <c r="B10" s="578"/>
      <c r="C10" s="596">
        <v>100</v>
      </c>
      <c r="D10" s="597">
        <f t="shared" ref="D10:S10" si="3">C10-$T9</f>
        <v>100</v>
      </c>
      <c r="E10" s="597">
        <f t="shared" si="3"/>
        <v>100</v>
      </c>
      <c r="F10" s="598">
        <f t="shared" si="3"/>
        <v>100</v>
      </c>
      <c r="G10" s="598">
        <f t="shared" si="3"/>
        <v>100</v>
      </c>
      <c r="H10" s="598">
        <f t="shared" si="3"/>
        <v>100</v>
      </c>
      <c r="I10" s="598">
        <f t="shared" si="3"/>
        <v>100</v>
      </c>
      <c r="J10" s="598">
        <f t="shared" si="3"/>
        <v>100</v>
      </c>
      <c r="K10" s="598">
        <f t="shared" si="3"/>
        <v>100</v>
      </c>
      <c r="L10" s="598">
        <f t="shared" si="3"/>
        <v>100</v>
      </c>
      <c r="M10" s="598">
        <f t="shared" si="3"/>
        <v>100</v>
      </c>
      <c r="N10" s="598">
        <f t="shared" si="3"/>
        <v>100</v>
      </c>
      <c r="O10" s="598">
        <f t="shared" si="3"/>
        <v>100</v>
      </c>
      <c r="P10" s="598">
        <f t="shared" si="3"/>
        <v>100</v>
      </c>
      <c r="Q10" s="598">
        <f t="shared" si="3"/>
        <v>100</v>
      </c>
      <c r="R10" s="598">
        <f t="shared" si="3"/>
        <v>100</v>
      </c>
      <c r="S10" s="598">
        <f t="shared" si="3"/>
        <v>100</v>
      </c>
      <c r="T10" s="660"/>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row>
    <row r="11" spans="1:45" s="559" customFormat="1">
      <c r="A11" s="582"/>
      <c r="B11" s="599" t="s">
        <v>2281</v>
      </c>
      <c r="C11" s="600"/>
      <c r="D11" s="586"/>
      <c r="E11" s="586"/>
      <c r="F11" s="586"/>
      <c r="G11" s="586"/>
      <c r="H11" s="586"/>
      <c r="I11" s="586"/>
      <c r="J11" s="586"/>
      <c r="K11" s="586"/>
      <c r="L11" s="586"/>
      <c r="M11" s="641"/>
      <c r="N11" s="642"/>
      <c r="O11" s="643"/>
      <c r="P11" s="644"/>
      <c r="Q11" s="669"/>
      <c r="R11" s="670"/>
      <c r="S11" s="671"/>
      <c r="T11" s="662"/>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row>
    <row r="12" spans="1:45" s="559" customFormat="1">
      <c r="A12" s="582"/>
      <c r="B12" s="588"/>
      <c r="C12" s="589">
        <v>100</v>
      </c>
      <c r="D12" s="590">
        <f t="shared" ref="D12:S12" si="4">C12-$T11</f>
        <v>100</v>
      </c>
      <c r="E12" s="590">
        <f t="shared" si="4"/>
        <v>100</v>
      </c>
      <c r="F12" s="590">
        <f t="shared" si="4"/>
        <v>100</v>
      </c>
      <c r="G12" s="590">
        <f t="shared" si="4"/>
        <v>100</v>
      </c>
      <c r="H12" s="590">
        <f t="shared" si="4"/>
        <v>100</v>
      </c>
      <c r="I12" s="590">
        <f t="shared" si="4"/>
        <v>100</v>
      </c>
      <c r="J12" s="590">
        <f t="shared" si="4"/>
        <v>100</v>
      </c>
      <c r="K12" s="590">
        <f t="shared" si="4"/>
        <v>100</v>
      </c>
      <c r="L12" s="590">
        <f t="shared" si="4"/>
        <v>100</v>
      </c>
      <c r="M12" s="590">
        <f t="shared" si="4"/>
        <v>100</v>
      </c>
      <c r="N12" s="590">
        <f t="shared" si="4"/>
        <v>100</v>
      </c>
      <c r="O12" s="590">
        <f t="shared" si="4"/>
        <v>100</v>
      </c>
      <c r="P12" s="590">
        <f t="shared" si="4"/>
        <v>100</v>
      </c>
      <c r="Q12" s="590">
        <f t="shared" si="4"/>
        <v>100</v>
      </c>
      <c r="R12" s="590">
        <f t="shared" si="4"/>
        <v>100</v>
      </c>
      <c r="S12" s="590">
        <f t="shared" si="4"/>
        <v>100</v>
      </c>
      <c r="T12" s="664"/>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row>
    <row r="13" spans="1:45" s="559" customFormat="1" ht="24">
      <c r="A13" s="582"/>
      <c r="B13" s="583" t="s">
        <v>2282</v>
      </c>
      <c r="C13" s="584" t="s">
        <v>805</v>
      </c>
      <c r="D13" s="585" t="s">
        <v>1054</v>
      </c>
      <c r="E13" s="585" t="s">
        <v>2283</v>
      </c>
      <c r="F13" s="585" t="s">
        <v>1015</v>
      </c>
      <c r="G13" s="586"/>
      <c r="H13" s="586"/>
      <c r="I13" s="586"/>
      <c r="J13" s="586"/>
      <c r="K13" s="586"/>
      <c r="L13" s="586"/>
      <c r="M13" s="641"/>
      <c r="N13" s="642"/>
      <c r="O13" s="643"/>
      <c r="P13" s="644"/>
      <c r="Q13" s="669"/>
      <c r="R13" s="670"/>
      <c r="S13" s="671"/>
      <c r="T13" s="672"/>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row>
    <row r="14" spans="1:45" s="559" customFormat="1">
      <c r="A14" s="582"/>
      <c r="B14" s="588"/>
      <c r="C14" s="601">
        <v>100</v>
      </c>
      <c r="D14" s="602">
        <v>150</v>
      </c>
      <c r="E14" s="602"/>
      <c r="F14" s="602">
        <v>40</v>
      </c>
      <c r="G14" s="602"/>
      <c r="H14" s="602"/>
      <c r="I14" s="602"/>
      <c r="J14" s="602"/>
      <c r="K14" s="602"/>
      <c r="L14" s="602"/>
      <c r="M14" s="645"/>
      <c r="N14" s="645"/>
      <c r="O14" s="602"/>
      <c r="P14" s="602"/>
      <c r="Q14" s="602"/>
      <c r="R14" s="602"/>
      <c r="S14" s="673"/>
      <c r="T14" s="664"/>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row>
    <row r="15" spans="1:45" s="559" customFormat="1">
      <c r="A15" s="582"/>
      <c r="B15" s="599" t="s">
        <v>2284</v>
      </c>
      <c r="C15" s="600"/>
      <c r="D15" s="586"/>
      <c r="E15" s="586"/>
      <c r="F15" s="586"/>
      <c r="G15" s="586"/>
      <c r="H15" s="586"/>
      <c r="I15" s="586"/>
      <c r="J15" s="586"/>
      <c r="K15" s="586"/>
      <c r="L15" s="586"/>
      <c r="M15" s="641"/>
      <c r="N15" s="642"/>
      <c r="O15" s="643"/>
      <c r="P15" s="644"/>
      <c r="Q15" s="669"/>
      <c r="R15" s="670"/>
      <c r="S15" s="671"/>
      <c r="T15" s="672"/>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row>
    <row r="16" spans="1:45" s="559" customFormat="1">
      <c r="A16" s="582"/>
      <c r="B16" s="578"/>
      <c r="C16" s="579"/>
      <c r="D16" s="580"/>
      <c r="E16" s="580"/>
      <c r="F16" s="580"/>
      <c r="G16" s="580"/>
      <c r="H16" s="580"/>
      <c r="I16" s="580"/>
      <c r="J16" s="580"/>
      <c r="K16" s="580"/>
      <c r="L16" s="580"/>
      <c r="M16" s="646"/>
      <c r="N16" s="646"/>
      <c r="O16" s="580"/>
      <c r="P16" s="580"/>
      <c r="Q16" s="580"/>
      <c r="R16" s="580"/>
      <c r="S16" s="674"/>
      <c r="T16" s="660"/>
      <c r="U16" s="663"/>
      <c r="V16" s="663"/>
      <c r="W16" s="663"/>
      <c r="X16" s="663"/>
      <c r="Y16" s="663"/>
      <c r="Z16" s="663"/>
      <c r="AA16" s="663"/>
      <c r="AB16" s="663"/>
      <c r="AC16" s="663"/>
      <c r="AD16" s="663"/>
      <c r="AE16" s="663"/>
      <c r="AF16" s="663"/>
      <c r="AG16" s="663"/>
      <c r="AH16" s="663"/>
      <c r="AI16" s="663"/>
      <c r="AJ16" s="663"/>
      <c r="AK16" s="663"/>
      <c r="AL16" s="663"/>
      <c r="AM16" s="663"/>
      <c r="AN16" s="663"/>
      <c r="AO16" s="663"/>
      <c r="AP16" s="663"/>
      <c r="AQ16" s="663"/>
      <c r="AR16" s="663"/>
      <c r="AS16" s="663"/>
    </row>
    <row r="17" spans="1:45" s="557" customFormat="1">
      <c r="A17" s="603" t="s">
        <v>2285</v>
      </c>
      <c r="B17" s="604" t="s">
        <v>2286</v>
      </c>
      <c r="C17" s="3487" t="s">
        <v>2287</v>
      </c>
      <c r="D17" s="3488" t="s">
        <v>2288</v>
      </c>
      <c r="E17" s="605"/>
      <c r="F17" s="605"/>
      <c r="G17" s="605"/>
      <c r="H17" s="605"/>
      <c r="I17" s="605"/>
      <c r="J17" s="605"/>
      <c r="K17" s="605"/>
      <c r="L17" s="647"/>
      <c r="M17" s="648"/>
      <c r="N17" s="649"/>
      <c r="O17" s="650"/>
      <c r="P17" s="651"/>
      <c r="Q17" s="675"/>
      <c r="R17" s="676"/>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655"/>
      <c r="AS17" s="655"/>
    </row>
    <row r="18" spans="1:45" s="557" customFormat="1">
      <c r="A18" s="606"/>
      <c r="B18" s="607"/>
      <c r="C18" s="608">
        <v>100</v>
      </c>
      <c r="D18" s="609">
        <v>95</v>
      </c>
      <c r="E18" s="609"/>
      <c r="F18" s="609"/>
      <c r="G18" s="609"/>
      <c r="H18" s="609"/>
      <c r="I18" s="609"/>
      <c r="J18" s="609"/>
      <c r="K18" s="609"/>
      <c r="L18" s="609"/>
      <c r="M18" s="652"/>
      <c r="N18" s="652"/>
      <c r="O18" s="609"/>
      <c r="P18" s="609"/>
      <c r="Q18" s="609"/>
      <c r="R18" s="609"/>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55"/>
      <c r="AS18" s="655"/>
    </row>
    <row r="19" spans="1:45">
      <c r="A19" s="610"/>
      <c r="B19" s="611"/>
      <c r="C19" s="611"/>
      <c r="D19" s="612" t="s">
        <v>2289</v>
      </c>
      <c r="E19" s="613"/>
      <c r="F19" s="613"/>
      <c r="G19" s="613"/>
      <c r="H19" s="614"/>
      <c r="I19" s="611"/>
      <c r="J19" s="611"/>
      <c r="K19" s="611"/>
      <c r="L19" s="611"/>
      <c r="M19" s="611"/>
      <c r="N19" s="611"/>
      <c r="O19" s="611"/>
      <c r="P19" s="611"/>
      <c r="Q19" s="611"/>
      <c r="R19" s="679"/>
      <c r="S19" s="610"/>
    </row>
    <row r="20" spans="1:45" ht="15.75">
      <c r="A20" s="615" t="s">
        <v>2290</v>
      </c>
      <c r="B20" s="616">
        <f ca="1">IF(D20="——",S22,S22-F20)</f>
        <v>0</v>
      </c>
      <c r="C20" s="611"/>
      <c r="D20" s="617" t="s">
        <v>124</v>
      </c>
      <c r="E20" s="618"/>
      <c r="F20" s="567" t="e">
        <f ca="1">SUMIF(INDIRECT("'"&amp;H20&amp;"'"&amp;"!A:A"),"承租人权益价值",INDIRECT("'"&amp;H20&amp;"'"&amp;"!c:c"))</f>
        <v>#REF!</v>
      </c>
      <c r="G20" s="567" t="s">
        <v>1206</v>
      </c>
      <c r="H20" s="619"/>
      <c r="I20" s="611"/>
      <c r="J20" s="611"/>
      <c r="K20" s="611"/>
      <c r="L20" s="611"/>
      <c r="M20" s="611"/>
      <c r="N20" s="611"/>
      <c r="O20" s="611"/>
      <c r="P20" s="611"/>
      <c r="Q20" s="611"/>
      <c r="R20" s="679"/>
      <c r="S20" s="610"/>
    </row>
    <row r="21" spans="1:45" ht="15.75">
      <c r="A21" s="615" t="s">
        <v>2291</v>
      </c>
      <c r="B21" s="616">
        <f ca="1">ROUND(B20*10000/B22,0)</f>
        <v>0</v>
      </c>
      <c r="C21" s="611"/>
      <c r="D21" s="611"/>
      <c r="E21" s="611"/>
      <c r="F21" s="611"/>
      <c r="G21" s="611"/>
      <c r="H21" s="611"/>
      <c r="I21" s="611"/>
      <c r="J21" s="611"/>
      <c r="K21" s="611"/>
      <c r="L21" s="611"/>
      <c r="M21" s="611"/>
      <c r="N21" s="611"/>
      <c r="O21" s="611"/>
      <c r="P21" s="611"/>
      <c r="Q21" s="611"/>
      <c r="R21" s="679"/>
      <c r="S21" s="610"/>
    </row>
    <row r="22" spans="1:45">
      <c r="A22" s="620" t="s">
        <v>2292</v>
      </c>
      <c r="B22" s="621">
        <f>SUM(B24:B10000)</f>
        <v>20061.910000000102</v>
      </c>
      <c r="C22" s="3802" t="s">
        <v>124</v>
      </c>
      <c r="D22" s="3803"/>
      <c r="E22" s="3803"/>
      <c r="F22" s="3803"/>
      <c r="G22" s="3803"/>
      <c r="H22" s="3803"/>
      <c r="I22" s="3803"/>
      <c r="J22" s="3803"/>
      <c r="K22" s="3803"/>
      <c r="L22" s="3803"/>
      <c r="M22" s="3803"/>
      <c r="N22" s="3803"/>
      <c r="O22" s="3803"/>
      <c r="P22" s="3803"/>
      <c r="Q22" s="3804"/>
      <c r="R22" s="681">
        <f ca="1">SUM(R24:R10000)</f>
        <v>7203.0290999999761</v>
      </c>
      <c r="S22" s="621">
        <f ca="1">SUM(S24:S10000)</f>
        <v>0</v>
      </c>
    </row>
    <row r="23" spans="1:45" s="560" customFormat="1" ht="24">
      <c r="A23" s="624" t="s">
        <v>2293</v>
      </c>
      <c r="B23" s="624" t="s">
        <v>505</v>
      </c>
      <c r="C23" s="624" t="s">
        <v>2148</v>
      </c>
      <c r="D23" s="624" t="str">
        <f>B5</f>
        <v>修正项2</v>
      </c>
      <c r="E23" s="624" t="s">
        <v>2148</v>
      </c>
      <c r="F23" s="624" t="str">
        <f>B7</f>
        <v>修正项3</v>
      </c>
      <c r="G23" s="624" t="s">
        <v>2148</v>
      </c>
      <c r="H23" s="624" t="str">
        <f>B9</f>
        <v>修正项4</v>
      </c>
      <c r="I23" s="624" t="s">
        <v>2148</v>
      </c>
      <c r="J23" s="624" t="str">
        <f>B11</f>
        <v>修正项5</v>
      </c>
      <c r="K23" s="624" t="s">
        <v>2148</v>
      </c>
      <c r="L23" s="624" t="str">
        <f>B13</f>
        <v>车位类型</v>
      </c>
      <c r="M23" s="624" t="s">
        <v>2148</v>
      </c>
      <c r="N23" s="624" t="str">
        <f>B15</f>
        <v>修正项7</v>
      </c>
      <c r="O23" s="624" t="s">
        <v>2148</v>
      </c>
      <c r="P23" s="624" t="str">
        <f>B17</f>
        <v>楼层</v>
      </c>
      <c r="Q23" s="624" t="s">
        <v>2148</v>
      </c>
      <c r="R23" s="682" t="s">
        <v>2294</v>
      </c>
      <c r="S23" s="624" t="s">
        <v>2295</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561" customFormat="1">
      <c r="A24" s="625" t="str">
        <f>可抵押车位明细清单!D3</f>
        <v>1#地库024</v>
      </c>
      <c r="B24" s="625">
        <f>可抵押车位明细清单!H3</f>
        <v>30.6</v>
      </c>
      <c r="C24" s="626">
        <v>1</v>
      </c>
      <c r="D24" s="627"/>
      <c r="E24" s="626">
        <v>1</v>
      </c>
      <c r="F24" s="627"/>
      <c r="G24" s="626">
        <v>1</v>
      </c>
      <c r="H24" s="627"/>
      <c r="I24" s="626">
        <v>1</v>
      </c>
      <c r="J24" s="627"/>
      <c r="K24" s="626">
        <v>1</v>
      </c>
      <c r="L24" s="627" t="s">
        <v>805</v>
      </c>
      <c r="M24" s="626">
        <v>1</v>
      </c>
      <c r="N24" s="627"/>
      <c r="O24" s="626">
        <v>1</v>
      </c>
      <c r="P24" s="3489" t="s">
        <v>1432</v>
      </c>
      <c r="Q24" s="626">
        <v>1</v>
      </c>
      <c r="R24" s="684">
        <f ca="1">结果表!G19</f>
        <v>11.901899999999999</v>
      </c>
      <c r="S24" s="685">
        <f t="shared" ref="S24:S87" ca="1" si="5">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628" t="str">
        <f>可抵押车位明细清单!D4</f>
        <v>1#地库036</v>
      </c>
      <c r="B25" s="629">
        <f>可抵押车位明细清单!H4</f>
        <v>30.6</v>
      </c>
      <c r="C25" s="621">
        <f t="shared" ref="C25:C88" si="6">IF(B25="",1,(LOOKUP(B25,$3:$3,$4:$4)-LOOKUP($B$24,$3:$3,$4:$4)+100)/100)</f>
        <v>1</v>
      </c>
      <c r="D25" s="630"/>
      <c r="E25" s="621">
        <f t="shared" ref="E25:E88" si="7">(SUMIF($5:$5,D25,$6:$6)-SUMIF($5:$5,$D$24,$6:$6)+100)/100</f>
        <v>1</v>
      </c>
      <c r="F25" s="630"/>
      <c r="G25" s="621">
        <f t="shared" ref="G25:G88" si="8">(SUMIF($7:$7,F25,$8:$8)-SUMIF($7:$7,$F$24,$8:$8)+100)/100</f>
        <v>1</v>
      </c>
      <c r="H25" s="630"/>
      <c r="I25" s="621">
        <f t="shared" ref="I25:I88" si="9">(SUMIF($9:$9,H25,$10:$10)-SUMIF($9:$9,$H$24,$10:$10)+100)/100</f>
        <v>1</v>
      </c>
      <c r="J25" s="630"/>
      <c r="K25" s="621">
        <f t="shared" ref="K25:K88" si="10">(SUMIF($11:$11,J25,$12:$12)-SUMIF($11:$11,$J$24,$12:$12)+100)/100</f>
        <v>1</v>
      </c>
      <c r="L25" s="630" t="str">
        <f>可抵押车位明细清单!K4</f>
        <v>标准车位</v>
      </c>
      <c r="M25" s="621">
        <f t="shared" ref="M25:M88" si="11">(SUMIF($13:$13,L25,$14:$14)-SUMIF($13:$13,$L$24,$14:$14)+100)/100</f>
        <v>1</v>
      </c>
      <c r="N25" s="630"/>
      <c r="O25" s="621">
        <f t="shared" ref="O25:O88" si="12">(SUMIF($15:$15,N25,$16:$16)-SUMIF($15:$15,$N$24,$16:$16)+100)/100</f>
        <v>1</v>
      </c>
      <c r="P25" s="3490" t="str">
        <f>可抵押车位明细清单!L4</f>
        <v>-1层</v>
      </c>
      <c r="Q25" s="621">
        <f t="shared" ref="Q25:Q88" si="13">(SUMIF($17:$17,P25,$18:$18)-SUMIF($17:$17,$P$24,$18:$18)+100)/100</f>
        <v>1</v>
      </c>
      <c r="R25" s="681">
        <f t="shared" ref="R25:R88" ca="1" si="14">IF(B25="",0,ROUND($R$24*C25*E25*G25*I25*K25*M25*O25*Q25,4))</f>
        <v>11.901899999999999</v>
      </c>
      <c r="S25" s="620">
        <f t="shared" ca="1" si="5"/>
        <v>0</v>
      </c>
      <c r="U25" s="565">
        <f>SUM(B24:B232)</f>
        <v>6390.3000000000202</v>
      </c>
    </row>
    <row r="26" spans="1:45">
      <c r="A26" s="628" t="str">
        <f>可抵押车位明细清单!D5</f>
        <v>1#地库042</v>
      </c>
      <c r="B26" s="629">
        <f>可抵押车位明细清单!H5</f>
        <v>30.6</v>
      </c>
      <c r="C26" s="621">
        <f t="shared" si="6"/>
        <v>1</v>
      </c>
      <c r="D26" s="630"/>
      <c r="E26" s="621">
        <f t="shared" si="7"/>
        <v>1</v>
      </c>
      <c r="F26" s="630"/>
      <c r="G26" s="621">
        <f t="shared" si="8"/>
        <v>1</v>
      </c>
      <c r="H26" s="630"/>
      <c r="I26" s="621">
        <f t="shared" si="9"/>
        <v>1</v>
      </c>
      <c r="J26" s="630"/>
      <c r="K26" s="621">
        <f t="shared" si="10"/>
        <v>1</v>
      </c>
      <c r="L26" s="630" t="str">
        <f>可抵押车位明细清单!K5</f>
        <v>标准车位</v>
      </c>
      <c r="M26" s="621">
        <f t="shared" si="11"/>
        <v>1</v>
      </c>
      <c r="N26" s="630"/>
      <c r="O26" s="621">
        <f t="shared" si="12"/>
        <v>1</v>
      </c>
      <c r="P26" s="3490" t="str">
        <f>可抵押车位明细清单!L5</f>
        <v>-1层</v>
      </c>
      <c r="Q26" s="621">
        <f t="shared" si="13"/>
        <v>1</v>
      </c>
      <c r="R26" s="681">
        <f t="shared" ca="1" si="14"/>
        <v>11.901899999999999</v>
      </c>
      <c r="S26" s="620">
        <f t="shared" ca="1" si="5"/>
        <v>0</v>
      </c>
      <c r="U26" s="565">
        <f>SUM(B233:B466)</f>
        <v>6777.4000000000196</v>
      </c>
    </row>
    <row r="27" spans="1:45">
      <c r="A27" s="628" t="str">
        <f>可抵押车位明细清单!D6</f>
        <v>1#地库047</v>
      </c>
      <c r="B27" s="629">
        <f>可抵押车位明细清单!H6</f>
        <v>31.88</v>
      </c>
      <c r="C27" s="621">
        <f t="shared" si="6"/>
        <v>1</v>
      </c>
      <c r="D27" s="630"/>
      <c r="E27" s="621">
        <f t="shared" si="7"/>
        <v>1</v>
      </c>
      <c r="F27" s="630"/>
      <c r="G27" s="621">
        <f t="shared" si="8"/>
        <v>1</v>
      </c>
      <c r="H27" s="630"/>
      <c r="I27" s="621">
        <f t="shared" si="9"/>
        <v>1</v>
      </c>
      <c r="J27" s="630"/>
      <c r="K27" s="621">
        <f t="shared" si="10"/>
        <v>1</v>
      </c>
      <c r="L27" s="630" t="str">
        <f>可抵押车位明细清单!K6</f>
        <v>标准车位</v>
      </c>
      <c r="M27" s="621">
        <f t="shared" si="11"/>
        <v>1</v>
      </c>
      <c r="N27" s="630"/>
      <c r="O27" s="621">
        <f t="shared" si="12"/>
        <v>1</v>
      </c>
      <c r="P27" s="3490" t="str">
        <f>可抵押车位明细清单!L6</f>
        <v>-1层</v>
      </c>
      <c r="Q27" s="621">
        <f t="shared" si="13"/>
        <v>1</v>
      </c>
      <c r="R27" s="681">
        <f t="shared" ca="1" si="14"/>
        <v>11.901899999999999</v>
      </c>
      <c r="S27" s="620">
        <f t="shared" ca="1" si="5"/>
        <v>0</v>
      </c>
      <c r="U27" s="565">
        <f>SUM(B467:B637)</f>
        <v>6894.21000000001</v>
      </c>
    </row>
    <row r="28" spans="1:45">
      <c r="A28" s="628" t="str">
        <f>可抵押车位明细清单!D7</f>
        <v>1#地库049</v>
      </c>
      <c r="B28" s="629">
        <f>可抵押车位明细清单!H7</f>
        <v>30.6</v>
      </c>
      <c r="C28" s="621">
        <f t="shared" si="6"/>
        <v>1</v>
      </c>
      <c r="D28" s="630"/>
      <c r="E28" s="621">
        <f t="shared" si="7"/>
        <v>1</v>
      </c>
      <c r="F28" s="630"/>
      <c r="G28" s="621">
        <f t="shared" si="8"/>
        <v>1</v>
      </c>
      <c r="H28" s="630"/>
      <c r="I28" s="621">
        <f t="shared" si="9"/>
        <v>1</v>
      </c>
      <c r="J28" s="630"/>
      <c r="K28" s="621">
        <f t="shared" si="10"/>
        <v>1</v>
      </c>
      <c r="L28" s="630" t="str">
        <f>可抵押车位明细清单!K7</f>
        <v>标准车位</v>
      </c>
      <c r="M28" s="621">
        <f t="shared" si="11"/>
        <v>1</v>
      </c>
      <c r="N28" s="630"/>
      <c r="O28" s="621">
        <f t="shared" si="12"/>
        <v>1</v>
      </c>
      <c r="P28" s="3490" t="str">
        <f>可抵押车位明细清单!L7</f>
        <v>-1层</v>
      </c>
      <c r="Q28" s="621">
        <f t="shared" si="13"/>
        <v>1</v>
      </c>
      <c r="R28" s="681">
        <f t="shared" ca="1" si="14"/>
        <v>11.901899999999999</v>
      </c>
      <c r="S28" s="620">
        <f t="shared" ca="1" si="5"/>
        <v>0</v>
      </c>
    </row>
    <row r="29" spans="1:45">
      <c r="A29" s="628" t="str">
        <f>可抵押车位明细清单!D8</f>
        <v>1#地库053</v>
      </c>
      <c r="B29" s="629">
        <f>可抵押车位明细清单!H8</f>
        <v>30.6</v>
      </c>
      <c r="C29" s="621">
        <f t="shared" si="6"/>
        <v>1</v>
      </c>
      <c r="D29" s="630"/>
      <c r="E29" s="621">
        <f t="shared" si="7"/>
        <v>1</v>
      </c>
      <c r="F29" s="630"/>
      <c r="G29" s="621">
        <f t="shared" si="8"/>
        <v>1</v>
      </c>
      <c r="H29" s="630"/>
      <c r="I29" s="621">
        <f t="shared" si="9"/>
        <v>1</v>
      </c>
      <c r="J29" s="630"/>
      <c r="K29" s="621">
        <f t="shared" si="10"/>
        <v>1</v>
      </c>
      <c r="L29" s="630" t="str">
        <f>可抵押车位明细清单!K8</f>
        <v>标准车位</v>
      </c>
      <c r="M29" s="621">
        <f t="shared" si="11"/>
        <v>1</v>
      </c>
      <c r="N29" s="630"/>
      <c r="O29" s="621">
        <f t="shared" si="12"/>
        <v>1</v>
      </c>
      <c r="P29" s="3490" t="str">
        <f>可抵押车位明细清单!L8</f>
        <v>-1层</v>
      </c>
      <c r="Q29" s="621">
        <f t="shared" si="13"/>
        <v>1</v>
      </c>
      <c r="R29" s="681">
        <f t="shared" ca="1" si="14"/>
        <v>11.901899999999999</v>
      </c>
      <c r="S29" s="620">
        <f t="shared" ca="1" si="5"/>
        <v>0</v>
      </c>
    </row>
    <row r="30" spans="1:45">
      <c r="A30" s="628" t="str">
        <f>可抵押车位明细清单!D9</f>
        <v>1#地库054</v>
      </c>
      <c r="B30" s="629">
        <f>可抵押车位明细清单!H9</f>
        <v>30.6</v>
      </c>
      <c r="C30" s="621">
        <f t="shared" si="6"/>
        <v>1</v>
      </c>
      <c r="D30" s="630"/>
      <c r="E30" s="621">
        <f t="shared" si="7"/>
        <v>1</v>
      </c>
      <c r="F30" s="630"/>
      <c r="G30" s="621">
        <f t="shared" si="8"/>
        <v>1</v>
      </c>
      <c r="H30" s="630"/>
      <c r="I30" s="621">
        <f t="shared" si="9"/>
        <v>1</v>
      </c>
      <c r="J30" s="630"/>
      <c r="K30" s="621">
        <f t="shared" si="10"/>
        <v>1</v>
      </c>
      <c r="L30" s="630" t="str">
        <f>可抵押车位明细清单!K9</f>
        <v>标准车位</v>
      </c>
      <c r="M30" s="621">
        <f t="shared" si="11"/>
        <v>1</v>
      </c>
      <c r="N30" s="630"/>
      <c r="O30" s="621">
        <f t="shared" si="12"/>
        <v>1</v>
      </c>
      <c r="P30" s="3490" t="str">
        <f>可抵押车位明细清单!L9</f>
        <v>-1层</v>
      </c>
      <c r="Q30" s="621">
        <f t="shared" si="13"/>
        <v>1</v>
      </c>
      <c r="R30" s="681">
        <f t="shared" ca="1" si="14"/>
        <v>11.901899999999999</v>
      </c>
      <c r="S30" s="620">
        <f t="shared" ca="1" si="5"/>
        <v>0</v>
      </c>
    </row>
    <row r="31" spans="1:45">
      <c r="A31" s="628" t="str">
        <f>可抵押车位明细清单!D10</f>
        <v>1#地库057</v>
      </c>
      <c r="B31" s="629">
        <f>可抵押车位明细清单!H10</f>
        <v>30.6</v>
      </c>
      <c r="C31" s="621">
        <f t="shared" si="6"/>
        <v>1</v>
      </c>
      <c r="D31" s="630"/>
      <c r="E31" s="621">
        <f t="shared" si="7"/>
        <v>1</v>
      </c>
      <c r="F31" s="630"/>
      <c r="G31" s="621">
        <f t="shared" si="8"/>
        <v>1</v>
      </c>
      <c r="H31" s="630"/>
      <c r="I31" s="621">
        <f t="shared" si="9"/>
        <v>1</v>
      </c>
      <c r="J31" s="630"/>
      <c r="K31" s="621">
        <f t="shared" si="10"/>
        <v>1</v>
      </c>
      <c r="L31" s="630" t="str">
        <f>可抵押车位明细清单!K10</f>
        <v>标准车位</v>
      </c>
      <c r="M31" s="621">
        <f t="shared" si="11"/>
        <v>1</v>
      </c>
      <c r="N31" s="630"/>
      <c r="O31" s="621">
        <f t="shared" si="12"/>
        <v>1</v>
      </c>
      <c r="P31" s="3490" t="str">
        <f>可抵押车位明细清单!L10</f>
        <v>-1层</v>
      </c>
      <c r="Q31" s="621">
        <f t="shared" si="13"/>
        <v>1</v>
      </c>
      <c r="R31" s="681">
        <f t="shared" ca="1" si="14"/>
        <v>11.901899999999999</v>
      </c>
      <c r="S31" s="620">
        <f t="shared" ca="1" si="5"/>
        <v>0</v>
      </c>
    </row>
    <row r="32" spans="1:45">
      <c r="A32" s="628" t="str">
        <f>可抵押车位明细清单!D11</f>
        <v>1#地库059</v>
      </c>
      <c r="B32" s="629">
        <f>可抵押车位明细清单!H11</f>
        <v>30.6</v>
      </c>
      <c r="C32" s="621">
        <f t="shared" si="6"/>
        <v>1</v>
      </c>
      <c r="D32" s="630"/>
      <c r="E32" s="621">
        <f t="shared" si="7"/>
        <v>1</v>
      </c>
      <c r="F32" s="630"/>
      <c r="G32" s="621">
        <f t="shared" si="8"/>
        <v>1</v>
      </c>
      <c r="H32" s="630"/>
      <c r="I32" s="621">
        <f t="shared" si="9"/>
        <v>1</v>
      </c>
      <c r="J32" s="630"/>
      <c r="K32" s="621">
        <f t="shared" si="10"/>
        <v>1</v>
      </c>
      <c r="L32" s="630" t="str">
        <f>可抵押车位明细清单!K11</f>
        <v>标准车位</v>
      </c>
      <c r="M32" s="621">
        <f t="shared" si="11"/>
        <v>1</v>
      </c>
      <c r="N32" s="630"/>
      <c r="O32" s="621">
        <f t="shared" si="12"/>
        <v>1</v>
      </c>
      <c r="P32" s="3490" t="str">
        <f>可抵押车位明细清单!L11</f>
        <v>-1层</v>
      </c>
      <c r="Q32" s="621">
        <f t="shared" si="13"/>
        <v>1</v>
      </c>
      <c r="R32" s="681">
        <f t="shared" ca="1" si="14"/>
        <v>11.901899999999999</v>
      </c>
      <c r="S32" s="620">
        <f t="shared" ca="1" si="5"/>
        <v>0</v>
      </c>
    </row>
    <row r="33" spans="1:19">
      <c r="A33" s="628" t="str">
        <f>可抵押车位明细清单!D12</f>
        <v>1#地库061</v>
      </c>
      <c r="B33" s="629">
        <f>可抵押车位明细清单!H12</f>
        <v>30.6</v>
      </c>
      <c r="C33" s="621">
        <f t="shared" si="6"/>
        <v>1</v>
      </c>
      <c r="D33" s="630"/>
      <c r="E33" s="621">
        <f t="shared" si="7"/>
        <v>1</v>
      </c>
      <c r="F33" s="630"/>
      <c r="G33" s="621">
        <f t="shared" si="8"/>
        <v>1</v>
      </c>
      <c r="H33" s="630"/>
      <c r="I33" s="621">
        <f t="shared" si="9"/>
        <v>1</v>
      </c>
      <c r="J33" s="630"/>
      <c r="K33" s="621">
        <f t="shared" si="10"/>
        <v>1</v>
      </c>
      <c r="L33" s="630" t="str">
        <f>可抵押车位明细清单!K12</f>
        <v>标准车位</v>
      </c>
      <c r="M33" s="621">
        <f t="shared" si="11"/>
        <v>1</v>
      </c>
      <c r="N33" s="630"/>
      <c r="O33" s="621">
        <f t="shared" si="12"/>
        <v>1</v>
      </c>
      <c r="P33" s="3490" t="str">
        <f>可抵押车位明细清单!L12</f>
        <v>-1层</v>
      </c>
      <c r="Q33" s="621">
        <f t="shared" si="13"/>
        <v>1</v>
      </c>
      <c r="R33" s="681">
        <f t="shared" ca="1" si="14"/>
        <v>11.901899999999999</v>
      </c>
      <c r="S33" s="620">
        <f t="shared" ca="1" si="5"/>
        <v>0</v>
      </c>
    </row>
    <row r="34" spans="1:19">
      <c r="A34" s="628" t="str">
        <f>可抵押车位明细清单!D13</f>
        <v>1#地库062</v>
      </c>
      <c r="B34" s="629">
        <f>可抵押车位明细清单!H13</f>
        <v>30.6</v>
      </c>
      <c r="C34" s="621">
        <f t="shared" si="6"/>
        <v>1</v>
      </c>
      <c r="D34" s="630"/>
      <c r="E34" s="621">
        <f t="shared" si="7"/>
        <v>1</v>
      </c>
      <c r="F34" s="630"/>
      <c r="G34" s="621">
        <f t="shared" si="8"/>
        <v>1</v>
      </c>
      <c r="H34" s="630"/>
      <c r="I34" s="621">
        <f t="shared" si="9"/>
        <v>1</v>
      </c>
      <c r="J34" s="630"/>
      <c r="K34" s="621">
        <f t="shared" si="10"/>
        <v>1</v>
      </c>
      <c r="L34" s="630" t="str">
        <f>可抵押车位明细清单!K13</f>
        <v>标准车位</v>
      </c>
      <c r="M34" s="621">
        <f t="shared" si="11"/>
        <v>1</v>
      </c>
      <c r="N34" s="630"/>
      <c r="O34" s="621">
        <f t="shared" si="12"/>
        <v>1</v>
      </c>
      <c r="P34" s="3490" t="str">
        <f>可抵押车位明细清单!L13</f>
        <v>-1层</v>
      </c>
      <c r="Q34" s="621">
        <f t="shared" si="13"/>
        <v>1</v>
      </c>
      <c r="R34" s="681">
        <f t="shared" ca="1" si="14"/>
        <v>11.901899999999999</v>
      </c>
      <c r="S34" s="620">
        <f t="shared" ca="1" si="5"/>
        <v>0</v>
      </c>
    </row>
    <row r="35" spans="1:19">
      <c r="A35" s="628" t="str">
        <f>可抵押车位明细清单!D14</f>
        <v>1#地库063</v>
      </c>
      <c r="B35" s="629">
        <f>可抵押车位明细清单!H14</f>
        <v>30.6</v>
      </c>
      <c r="C35" s="621">
        <f t="shared" si="6"/>
        <v>1</v>
      </c>
      <c r="D35" s="630"/>
      <c r="E35" s="621">
        <f t="shared" si="7"/>
        <v>1</v>
      </c>
      <c r="F35" s="630"/>
      <c r="G35" s="621">
        <f t="shared" si="8"/>
        <v>1</v>
      </c>
      <c r="H35" s="630"/>
      <c r="I35" s="621">
        <f t="shared" si="9"/>
        <v>1</v>
      </c>
      <c r="J35" s="630"/>
      <c r="K35" s="621">
        <f t="shared" si="10"/>
        <v>1</v>
      </c>
      <c r="L35" s="630" t="str">
        <f>可抵押车位明细清单!K14</f>
        <v>标准车位</v>
      </c>
      <c r="M35" s="621">
        <f t="shared" si="11"/>
        <v>1</v>
      </c>
      <c r="N35" s="630"/>
      <c r="O35" s="621">
        <f t="shared" si="12"/>
        <v>1</v>
      </c>
      <c r="P35" s="3490" t="str">
        <f>可抵押车位明细清单!L14</f>
        <v>-1层</v>
      </c>
      <c r="Q35" s="621">
        <f t="shared" si="13"/>
        <v>1</v>
      </c>
      <c r="R35" s="681">
        <f t="shared" ca="1" si="14"/>
        <v>11.901899999999999</v>
      </c>
      <c r="S35" s="620">
        <f t="shared" ca="1" si="5"/>
        <v>0</v>
      </c>
    </row>
    <row r="36" spans="1:19">
      <c r="A36" s="628" t="str">
        <f>可抵押车位明细清单!D15</f>
        <v>1#地库064</v>
      </c>
      <c r="B36" s="629">
        <f>可抵押车位明细清单!H15</f>
        <v>30.6</v>
      </c>
      <c r="C36" s="621">
        <f t="shared" si="6"/>
        <v>1</v>
      </c>
      <c r="D36" s="630"/>
      <c r="E36" s="621">
        <f t="shared" si="7"/>
        <v>1</v>
      </c>
      <c r="F36" s="630"/>
      <c r="G36" s="621">
        <f t="shared" si="8"/>
        <v>1</v>
      </c>
      <c r="H36" s="630"/>
      <c r="I36" s="621">
        <f t="shared" si="9"/>
        <v>1</v>
      </c>
      <c r="J36" s="630"/>
      <c r="K36" s="621">
        <f t="shared" si="10"/>
        <v>1</v>
      </c>
      <c r="L36" s="630" t="str">
        <f>可抵押车位明细清单!K15</f>
        <v>标准车位</v>
      </c>
      <c r="M36" s="621">
        <f t="shared" si="11"/>
        <v>1</v>
      </c>
      <c r="N36" s="630"/>
      <c r="O36" s="621">
        <f t="shared" si="12"/>
        <v>1</v>
      </c>
      <c r="P36" s="3490" t="str">
        <f>可抵押车位明细清单!L15</f>
        <v>-1层</v>
      </c>
      <c r="Q36" s="621">
        <f t="shared" si="13"/>
        <v>1</v>
      </c>
      <c r="R36" s="681">
        <f t="shared" ca="1" si="14"/>
        <v>11.901899999999999</v>
      </c>
      <c r="S36" s="620">
        <f t="shared" ca="1" si="5"/>
        <v>0</v>
      </c>
    </row>
    <row r="37" spans="1:19">
      <c r="A37" s="628" t="str">
        <f>可抵押车位明细清单!D16</f>
        <v>1#地库066</v>
      </c>
      <c r="B37" s="629">
        <f>可抵押车位明细清单!H16</f>
        <v>30.6</v>
      </c>
      <c r="C37" s="621">
        <f t="shared" si="6"/>
        <v>1</v>
      </c>
      <c r="D37" s="630"/>
      <c r="E37" s="621">
        <f t="shared" si="7"/>
        <v>1</v>
      </c>
      <c r="F37" s="630"/>
      <c r="G37" s="621">
        <f t="shared" si="8"/>
        <v>1</v>
      </c>
      <c r="H37" s="630"/>
      <c r="I37" s="621">
        <f t="shared" si="9"/>
        <v>1</v>
      </c>
      <c r="J37" s="630"/>
      <c r="K37" s="621">
        <f t="shared" si="10"/>
        <v>1</v>
      </c>
      <c r="L37" s="630" t="str">
        <f>可抵押车位明细清单!K16</f>
        <v>标准车位</v>
      </c>
      <c r="M37" s="621">
        <f t="shared" si="11"/>
        <v>1</v>
      </c>
      <c r="N37" s="630"/>
      <c r="O37" s="621">
        <f t="shared" si="12"/>
        <v>1</v>
      </c>
      <c r="P37" s="3490" t="str">
        <f>可抵押车位明细清单!L16</f>
        <v>-1层</v>
      </c>
      <c r="Q37" s="621">
        <f t="shared" si="13"/>
        <v>1</v>
      </c>
      <c r="R37" s="681">
        <f t="shared" ca="1" si="14"/>
        <v>11.901899999999999</v>
      </c>
      <c r="S37" s="620">
        <f t="shared" ca="1" si="5"/>
        <v>0</v>
      </c>
    </row>
    <row r="38" spans="1:19">
      <c r="A38" s="628" t="str">
        <f>可抵押车位明细清单!D17</f>
        <v>1#地库067</v>
      </c>
      <c r="B38" s="629">
        <f>可抵押车位明细清单!H17</f>
        <v>30.6</v>
      </c>
      <c r="C38" s="621">
        <f t="shared" si="6"/>
        <v>1</v>
      </c>
      <c r="D38" s="630"/>
      <c r="E38" s="621">
        <f t="shared" si="7"/>
        <v>1</v>
      </c>
      <c r="F38" s="630"/>
      <c r="G38" s="621">
        <f t="shared" si="8"/>
        <v>1</v>
      </c>
      <c r="H38" s="630"/>
      <c r="I38" s="621">
        <f t="shared" si="9"/>
        <v>1</v>
      </c>
      <c r="J38" s="630"/>
      <c r="K38" s="621">
        <f t="shared" si="10"/>
        <v>1</v>
      </c>
      <c r="L38" s="630" t="str">
        <f>可抵押车位明细清单!K17</f>
        <v>标准车位</v>
      </c>
      <c r="M38" s="621">
        <f t="shared" si="11"/>
        <v>1</v>
      </c>
      <c r="N38" s="630"/>
      <c r="O38" s="621">
        <f t="shared" si="12"/>
        <v>1</v>
      </c>
      <c r="P38" s="3490" t="str">
        <f>可抵押车位明细清单!L17</f>
        <v>-1层</v>
      </c>
      <c r="Q38" s="621">
        <f t="shared" si="13"/>
        <v>1</v>
      </c>
      <c r="R38" s="681">
        <f t="shared" ca="1" si="14"/>
        <v>11.901899999999999</v>
      </c>
      <c r="S38" s="620">
        <f t="shared" ca="1" si="5"/>
        <v>0</v>
      </c>
    </row>
    <row r="39" spans="1:19">
      <c r="A39" s="628" t="str">
        <f>可抵押车位明细清单!D18</f>
        <v>1#地库071</v>
      </c>
      <c r="B39" s="629">
        <f>可抵押车位明细清单!H18</f>
        <v>30.6</v>
      </c>
      <c r="C39" s="621">
        <f t="shared" si="6"/>
        <v>1</v>
      </c>
      <c r="D39" s="630"/>
      <c r="E39" s="621">
        <f t="shared" si="7"/>
        <v>1</v>
      </c>
      <c r="F39" s="630"/>
      <c r="G39" s="621">
        <f t="shared" si="8"/>
        <v>1</v>
      </c>
      <c r="H39" s="630"/>
      <c r="I39" s="621">
        <f t="shared" si="9"/>
        <v>1</v>
      </c>
      <c r="J39" s="630"/>
      <c r="K39" s="621">
        <f t="shared" si="10"/>
        <v>1</v>
      </c>
      <c r="L39" s="630" t="str">
        <f>可抵押车位明细清单!K18</f>
        <v>标准车位</v>
      </c>
      <c r="M39" s="621">
        <f t="shared" si="11"/>
        <v>1</v>
      </c>
      <c r="N39" s="630"/>
      <c r="O39" s="621">
        <f t="shared" si="12"/>
        <v>1</v>
      </c>
      <c r="P39" s="3490" t="str">
        <f>可抵押车位明细清单!L18</f>
        <v>-1层</v>
      </c>
      <c r="Q39" s="621">
        <f t="shared" si="13"/>
        <v>1</v>
      </c>
      <c r="R39" s="681">
        <f t="shared" ca="1" si="14"/>
        <v>11.901899999999999</v>
      </c>
      <c r="S39" s="620">
        <f t="shared" ca="1" si="5"/>
        <v>0</v>
      </c>
    </row>
    <row r="40" spans="1:19">
      <c r="A40" s="628" t="str">
        <f>可抵押车位明细清单!D19</f>
        <v>1#地库073</v>
      </c>
      <c r="B40" s="629">
        <f>可抵押车位明细清单!H19</f>
        <v>30.6</v>
      </c>
      <c r="C40" s="621">
        <f t="shared" si="6"/>
        <v>1</v>
      </c>
      <c r="D40" s="630"/>
      <c r="E40" s="621">
        <f t="shared" si="7"/>
        <v>1</v>
      </c>
      <c r="F40" s="630"/>
      <c r="G40" s="621">
        <f t="shared" si="8"/>
        <v>1</v>
      </c>
      <c r="H40" s="630"/>
      <c r="I40" s="621">
        <f t="shared" si="9"/>
        <v>1</v>
      </c>
      <c r="J40" s="630"/>
      <c r="K40" s="621">
        <f t="shared" si="10"/>
        <v>1</v>
      </c>
      <c r="L40" s="630" t="str">
        <f>可抵押车位明细清单!K19</f>
        <v>标准车位</v>
      </c>
      <c r="M40" s="621">
        <f t="shared" si="11"/>
        <v>1</v>
      </c>
      <c r="N40" s="630"/>
      <c r="O40" s="621">
        <f t="shared" si="12"/>
        <v>1</v>
      </c>
      <c r="P40" s="3490" t="str">
        <f>可抵押车位明细清单!L19</f>
        <v>-1层</v>
      </c>
      <c r="Q40" s="621">
        <f t="shared" si="13"/>
        <v>1</v>
      </c>
      <c r="R40" s="681">
        <f t="shared" ca="1" si="14"/>
        <v>11.901899999999999</v>
      </c>
      <c r="S40" s="620">
        <f t="shared" ca="1" si="5"/>
        <v>0</v>
      </c>
    </row>
    <row r="41" spans="1:19">
      <c r="A41" s="628" t="str">
        <f>可抵押车位明细清单!D20</f>
        <v>1#地库074</v>
      </c>
      <c r="B41" s="629">
        <f>可抵押车位明细清单!H20</f>
        <v>30.6</v>
      </c>
      <c r="C41" s="621">
        <f t="shared" si="6"/>
        <v>1</v>
      </c>
      <c r="D41" s="630"/>
      <c r="E41" s="621">
        <f t="shared" si="7"/>
        <v>1</v>
      </c>
      <c r="F41" s="630"/>
      <c r="G41" s="621">
        <f t="shared" si="8"/>
        <v>1</v>
      </c>
      <c r="H41" s="630"/>
      <c r="I41" s="621">
        <f t="shared" si="9"/>
        <v>1</v>
      </c>
      <c r="J41" s="630"/>
      <c r="K41" s="621">
        <f t="shared" si="10"/>
        <v>1</v>
      </c>
      <c r="L41" s="630" t="str">
        <f>可抵押车位明细清单!K20</f>
        <v>标准车位</v>
      </c>
      <c r="M41" s="621">
        <f t="shared" si="11"/>
        <v>1</v>
      </c>
      <c r="N41" s="630"/>
      <c r="O41" s="621">
        <f t="shared" si="12"/>
        <v>1</v>
      </c>
      <c r="P41" s="3490" t="str">
        <f>可抵押车位明细清单!L20</f>
        <v>-1层</v>
      </c>
      <c r="Q41" s="621">
        <f t="shared" si="13"/>
        <v>1</v>
      </c>
      <c r="R41" s="681">
        <f t="shared" ca="1" si="14"/>
        <v>11.901899999999999</v>
      </c>
      <c r="S41" s="620">
        <f t="shared" ca="1" si="5"/>
        <v>0</v>
      </c>
    </row>
    <row r="42" spans="1:19">
      <c r="A42" s="628" t="str">
        <f>可抵押车位明细清单!D21</f>
        <v>1#地库075</v>
      </c>
      <c r="B42" s="629">
        <f>可抵押车位明细清单!H21</f>
        <v>30.6</v>
      </c>
      <c r="C42" s="621">
        <f t="shared" si="6"/>
        <v>1</v>
      </c>
      <c r="D42" s="630"/>
      <c r="E42" s="621">
        <f t="shared" si="7"/>
        <v>1</v>
      </c>
      <c r="F42" s="630"/>
      <c r="G42" s="621">
        <f t="shared" si="8"/>
        <v>1</v>
      </c>
      <c r="H42" s="630"/>
      <c r="I42" s="621">
        <f t="shared" si="9"/>
        <v>1</v>
      </c>
      <c r="J42" s="630"/>
      <c r="K42" s="621">
        <f t="shared" si="10"/>
        <v>1</v>
      </c>
      <c r="L42" s="630" t="str">
        <f>可抵押车位明细清单!K21</f>
        <v>标准车位</v>
      </c>
      <c r="M42" s="621">
        <f t="shared" si="11"/>
        <v>1</v>
      </c>
      <c r="N42" s="630"/>
      <c r="O42" s="621">
        <f t="shared" si="12"/>
        <v>1</v>
      </c>
      <c r="P42" s="3490" t="str">
        <f>可抵押车位明细清单!L21</f>
        <v>-1层</v>
      </c>
      <c r="Q42" s="621">
        <f t="shared" si="13"/>
        <v>1</v>
      </c>
      <c r="R42" s="681">
        <f t="shared" ca="1" si="14"/>
        <v>11.901899999999999</v>
      </c>
      <c r="S42" s="620">
        <f t="shared" ca="1" si="5"/>
        <v>0</v>
      </c>
    </row>
    <row r="43" spans="1:19">
      <c r="A43" s="628" t="str">
        <f>可抵押车位明细清单!D22</f>
        <v>1#地库076</v>
      </c>
      <c r="B43" s="629">
        <f>可抵押车位明细清单!H22</f>
        <v>30.6</v>
      </c>
      <c r="C43" s="621">
        <f t="shared" si="6"/>
        <v>1</v>
      </c>
      <c r="D43" s="630"/>
      <c r="E43" s="621">
        <f t="shared" si="7"/>
        <v>1</v>
      </c>
      <c r="F43" s="630"/>
      <c r="G43" s="621">
        <f t="shared" si="8"/>
        <v>1</v>
      </c>
      <c r="H43" s="630"/>
      <c r="I43" s="621">
        <f t="shared" si="9"/>
        <v>1</v>
      </c>
      <c r="J43" s="630"/>
      <c r="K43" s="621">
        <f t="shared" si="10"/>
        <v>1</v>
      </c>
      <c r="L43" s="630" t="str">
        <f>可抵押车位明细清单!K22</f>
        <v>标准车位</v>
      </c>
      <c r="M43" s="621">
        <f t="shared" si="11"/>
        <v>1</v>
      </c>
      <c r="N43" s="630"/>
      <c r="O43" s="621">
        <f t="shared" si="12"/>
        <v>1</v>
      </c>
      <c r="P43" s="3490" t="str">
        <f>可抵押车位明细清单!L22</f>
        <v>-1层</v>
      </c>
      <c r="Q43" s="621">
        <f t="shared" si="13"/>
        <v>1</v>
      </c>
      <c r="R43" s="681">
        <f t="shared" ca="1" si="14"/>
        <v>11.901899999999999</v>
      </c>
      <c r="S43" s="620">
        <f t="shared" ca="1" si="5"/>
        <v>0</v>
      </c>
    </row>
    <row r="44" spans="1:19">
      <c r="A44" s="628" t="str">
        <f>可抵押车位明细清单!D23</f>
        <v>1#地库106</v>
      </c>
      <c r="B44" s="629">
        <f>可抵押车位明细清单!H23</f>
        <v>30.6</v>
      </c>
      <c r="C44" s="621">
        <f t="shared" si="6"/>
        <v>1</v>
      </c>
      <c r="D44" s="630"/>
      <c r="E44" s="621">
        <f t="shared" si="7"/>
        <v>1</v>
      </c>
      <c r="F44" s="630"/>
      <c r="G44" s="621">
        <f t="shared" si="8"/>
        <v>1</v>
      </c>
      <c r="H44" s="630"/>
      <c r="I44" s="621">
        <f t="shared" si="9"/>
        <v>1</v>
      </c>
      <c r="J44" s="630"/>
      <c r="K44" s="621">
        <f t="shared" si="10"/>
        <v>1</v>
      </c>
      <c r="L44" s="630" t="str">
        <f>可抵押车位明细清单!K23</f>
        <v>标准车位</v>
      </c>
      <c r="M44" s="621">
        <f t="shared" si="11"/>
        <v>1</v>
      </c>
      <c r="N44" s="630"/>
      <c r="O44" s="621">
        <f t="shared" si="12"/>
        <v>1</v>
      </c>
      <c r="P44" s="3490" t="str">
        <f>可抵押车位明细清单!L23</f>
        <v>-1层</v>
      </c>
      <c r="Q44" s="621">
        <f t="shared" si="13"/>
        <v>1</v>
      </c>
      <c r="R44" s="681">
        <f t="shared" ca="1" si="14"/>
        <v>11.901899999999999</v>
      </c>
      <c r="S44" s="620">
        <f t="shared" ca="1" si="5"/>
        <v>0</v>
      </c>
    </row>
    <row r="45" spans="1:19">
      <c r="A45" s="628" t="str">
        <f>可抵押车位明细清单!D24</f>
        <v>1#地库114</v>
      </c>
      <c r="B45" s="629">
        <f>可抵押车位明细清单!H24</f>
        <v>30.6</v>
      </c>
      <c r="C45" s="621">
        <f t="shared" si="6"/>
        <v>1</v>
      </c>
      <c r="D45" s="630"/>
      <c r="E45" s="621">
        <f t="shared" si="7"/>
        <v>1</v>
      </c>
      <c r="F45" s="630"/>
      <c r="G45" s="621">
        <f t="shared" si="8"/>
        <v>1</v>
      </c>
      <c r="H45" s="630"/>
      <c r="I45" s="621">
        <f t="shared" si="9"/>
        <v>1</v>
      </c>
      <c r="J45" s="630"/>
      <c r="K45" s="621">
        <f t="shared" si="10"/>
        <v>1</v>
      </c>
      <c r="L45" s="630" t="str">
        <f>可抵押车位明细清单!K24</f>
        <v>标准车位</v>
      </c>
      <c r="M45" s="621">
        <f t="shared" si="11"/>
        <v>1</v>
      </c>
      <c r="N45" s="630"/>
      <c r="O45" s="621">
        <f t="shared" si="12"/>
        <v>1</v>
      </c>
      <c r="P45" s="3490" t="str">
        <f>可抵押车位明细清单!L24</f>
        <v>-1层</v>
      </c>
      <c r="Q45" s="621">
        <f t="shared" si="13"/>
        <v>1</v>
      </c>
      <c r="R45" s="681">
        <f t="shared" ca="1" si="14"/>
        <v>11.901899999999999</v>
      </c>
      <c r="S45" s="620">
        <f t="shared" ca="1" si="5"/>
        <v>0</v>
      </c>
    </row>
    <row r="46" spans="1:19">
      <c r="A46" s="628" t="str">
        <f>可抵押车位明细清单!D25</f>
        <v>1#地库117</v>
      </c>
      <c r="B46" s="629">
        <f>可抵押车位明细清单!H25</f>
        <v>30.6</v>
      </c>
      <c r="C46" s="621">
        <f t="shared" si="6"/>
        <v>1</v>
      </c>
      <c r="D46" s="630"/>
      <c r="E46" s="621">
        <f t="shared" si="7"/>
        <v>1</v>
      </c>
      <c r="F46" s="630"/>
      <c r="G46" s="621">
        <f t="shared" si="8"/>
        <v>1</v>
      </c>
      <c r="H46" s="630"/>
      <c r="I46" s="621">
        <f t="shared" si="9"/>
        <v>1</v>
      </c>
      <c r="J46" s="630"/>
      <c r="K46" s="621">
        <f t="shared" si="10"/>
        <v>1</v>
      </c>
      <c r="L46" s="630" t="str">
        <f>可抵押车位明细清单!K25</f>
        <v>标准车位</v>
      </c>
      <c r="M46" s="621">
        <f t="shared" si="11"/>
        <v>1</v>
      </c>
      <c r="N46" s="630"/>
      <c r="O46" s="621">
        <f t="shared" si="12"/>
        <v>1</v>
      </c>
      <c r="P46" s="3490" t="str">
        <f>可抵押车位明细清单!L25</f>
        <v>-1层</v>
      </c>
      <c r="Q46" s="621">
        <f t="shared" si="13"/>
        <v>1</v>
      </c>
      <c r="R46" s="681">
        <f t="shared" ca="1" si="14"/>
        <v>11.901899999999999</v>
      </c>
      <c r="S46" s="620">
        <f t="shared" ca="1" si="5"/>
        <v>0</v>
      </c>
    </row>
    <row r="47" spans="1:19">
      <c r="A47" s="628" t="str">
        <f>可抵押车位明细清单!D26</f>
        <v>1#地库118</v>
      </c>
      <c r="B47" s="629">
        <f>可抵押车位明细清单!H26</f>
        <v>30.6</v>
      </c>
      <c r="C47" s="621">
        <f t="shared" si="6"/>
        <v>1</v>
      </c>
      <c r="D47" s="630"/>
      <c r="E47" s="621">
        <f t="shared" si="7"/>
        <v>1</v>
      </c>
      <c r="F47" s="630"/>
      <c r="G47" s="621">
        <f t="shared" si="8"/>
        <v>1</v>
      </c>
      <c r="H47" s="630"/>
      <c r="I47" s="621">
        <f t="shared" si="9"/>
        <v>1</v>
      </c>
      <c r="J47" s="630"/>
      <c r="K47" s="621">
        <f t="shared" si="10"/>
        <v>1</v>
      </c>
      <c r="L47" s="630" t="str">
        <f>可抵押车位明细清单!K26</f>
        <v>标准车位</v>
      </c>
      <c r="M47" s="621">
        <f t="shared" si="11"/>
        <v>1</v>
      </c>
      <c r="N47" s="630"/>
      <c r="O47" s="621">
        <f t="shared" si="12"/>
        <v>1</v>
      </c>
      <c r="P47" s="3490" t="str">
        <f>可抵押车位明细清单!L26</f>
        <v>-1层</v>
      </c>
      <c r="Q47" s="621">
        <f t="shared" si="13"/>
        <v>1</v>
      </c>
      <c r="R47" s="681">
        <f t="shared" ca="1" si="14"/>
        <v>11.901899999999999</v>
      </c>
      <c r="S47" s="620">
        <f t="shared" ca="1" si="5"/>
        <v>0</v>
      </c>
    </row>
    <row r="48" spans="1:19">
      <c r="A48" s="628" t="str">
        <f>可抵押车位明细清单!D27</f>
        <v>1#地库119</v>
      </c>
      <c r="B48" s="629">
        <f>可抵押车位明细清单!H27</f>
        <v>30.6</v>
      </c>
      <c r="C48" s="621">
        <f t="shared" si="6"/>
        <v>1</v>
      </c>
      <c r="D48" s="630"/>
      <c r="E48" s="621">
        <f t="shared" si="7"/>
        <v>1</v>
      </c>
      <c r="F48" s="630"/>
      <c r="G48" s="621">
        <f t="shared" si="8"/>
        <v>1</v>
      </c>
      <c r="H48" s="630"/>
      <c r="I48" s="621">
        <f t="shared" si="9"/>
        <v>1</v>
      </c>
      <c r="J48" s="630"/>
      <c r="K48" s="621">
        <f t="shared" si="10"/>
        <v>1</v>
      </c>
      <c r="L48" s="630" t="str">
        <f>可抵押车位明细清单!K27</f>
        <v>标准车位</v>
      </c>
      <c r="M48" s="621">
        <f t="shared" si="11"/>
        <v>1</v>
      </c>
      <c r="N48" s="630"/>
      <c r="O48" s="621">
        <f t="shared" si="12"/>
        <v>1</v>
      </c>
      <c r="P48" s="3490" t="str">
        <f>可抵押车位明细清单!L27</f>
        <v>-1层</v>
      </c>
      <c r="Q48" s="621">
        <f t="shared" si="13"/>
        <v>1</v>
      </c>
      <c r="R48" s="681">
        <f t="shared" ca="1" si="14"/>
        <v>11.901899999999999</v>
      </c>
      <c r="S48" s="620">
        <f t="shared" ca="1" si="5"/>
        <v>0</v>
      </c>
    </row>
    <row r="49" spans="1:19">
      <c r="A49" s="628" t="str">
        <f>可抵押车位明细清单!D28</f>
        <v>1#地库120</v>
      </c>
      <c r="B49" s="629">
        <f>可抵押车位明细清单!H28</f>
        <v>30.6</v>
      </c>
      <c r="C49" s="621">
        <f t="shared" si="6"/>
        <v>1</v>
      </c>
      <c r="D49" s="630"/>
      <c r="E49" s="621">
        <f t="shared" si="7"/>
        <v>1</v>
      </c>
      <c r="F49" s="630"/>
      <c r="G49" s="621">
        <f t="shared" si="8"/>
        <v>1</v>
      </c>
      <c r="H49" s="630"/>
      <c r="I49" s="621">
        <f t="shared" si="9"/>
        <v>1</v>
      </c>
      <c r="J49" s="630"/>
      <c r="K49" s="621">
        <f t="shared" si="10"/>
        <v>1</v>
      </c>
      <c r="L49" s="630" t="str">
        <f>可抵押车位明细清单!K28</f>
        <v>标准车位</v>
      </c>
      <c r="M49" s="621">
        <f t="shared" si="11"/>
        <v>1</v>
      </c>
      <c r="N49" s="630"/>
      <c r="O49" s="621">
        <f t="shared" si="12"/>
        <v>1</v>
      </c>
      <c r="P49" s="3490" t="str">
        <f>可抵押车位明细清单!L28</f>
        <v>-1层</v>
      </c>
      <c r="Q49" s="621">
        <f t="shared" si="13"/>
        <v>1</v>
      </c>
      <c r="R49" s="681">
        <f t="shared" ca="1" si="14"/>
        <v>11.901899999999999</v>
      </c>
      <c r="S49" s="620">
        <f t="shared" ca="1" si="5"/>
        <v>0</v>
      </c>
    </row>
    <row r="50" spans="1:19">
      <c r="A50" s="628" t="str">
        <f>可抵押车位明细清单!D29</f>
        <v>1#地库123</v>
      </c>
      <c r="B50" s="629">
        <f>可抵押车位明细清单!H29</f>
        <v>30.6</v>
      </c>
      <c r="C50" s="621">
        <f t="shared" si="6"/>
        <v>1</v>
      </c>
      <c r="D50" s="630"/>
      <c r="E50" s="621">
        <f t="shared" si="7"/>
        <v>1</v>
      </c>
      <c r="F50" s="630"/>
      <c r="G50" s="621">
        <f t="shared" si="8"/>
        <v>1</v>
      </c>
      <c r="H50" s="630"/>
      <c r="I50" s="621">
        <f t="shared" si="9"/>
        <v>1</v>
      </c>
      <c r="J50" s="630"/>
      <c r="K50" s="621">
        <f t="shared" si="10"/>
        <v>1</v>
      </c>
      <c r="L50" s="630" t="str">
        <f>可抵押车位明细清单!K29</f>
        <v>标准车位</v>
      </c>
      <c r="M50" s="621">
        <f t="shared" si="11"/>
        <v>1</v>
      </c>
      <c r="N50" s="630"/>
      <c r="O50" s="621">
        <f t="shared" si="12"/>
        <v>1</v>
      </c>
      <c r="P50" s="3490" t="str">
        <f>可抵押车位明细清单!L29</f>
        <v>-1层</v>
      </c>
      <c r="Q50" s="621">
        <f t="shared" si="13"/>
        <v>1</v>
      </c>
      <c r="R50" s="681">
        <f t="shared" ca="1" si="14"/>
        <v>11.901899999999999</v>
      </c>
      <c r="S50" s="620">
        <f t="shared" ca="1" si="5"/>
        <v>0</v>
      </c>
    </row>
    <row r="51" spans="1:19">
      <c r="A51" s="628" t="str">
        <f>可抵押车位明细清单!D30</f>
        <v>1#地库124</v>
      </c>
      <c r="B51" s="629">
        <f>可抵押车位明细清单!H30</f>
        <v>30.6</v>
      </c>
      <c r="C51" s="621">
        <f t="shared" si="6"/>
        <v>1</v>
      </c>
      <c r="D51" s="630"/>
      <c r="E51" s="621">
        <f t="shared" si="7"/>
        <v>1</v>
      </c>
      <c r="F51" s="630"/>
      <c r="G51" s="621">
        <f t="shared" si="8"/>
        <v>1</v>
      </c>
      <c r="H51" s="630"/>
      <c r="I51" s="621">
        <f t="shared" si="9"/>
        <v>1</v>
      </c>
      <c r="J51" s="630"/>
      <c r="K51" s="621">
        <f t="shared" si="10"/>
        <v>1</v>
      </c>
      <c r="L51" s="630" t="str">
        <f>可抵押车位明细清单!K30</f>
        <v>标准车位</v>
      </c>
      <c r="M51" s="621">
        <f t="shared" si="11"/>
        <v>1</v>
      </c>
      <c r="N51" s="630"/>
      <c r="O51" s="621">
        <f t="shared" si="12"/>
        <v>1</v>
      </c>
      <c r="P51" s="3490" t="str">
        <f>可抵押车位明细清单!L30</f>
        <v>-1层</v>
      </c>
      <c r="Q51" s="621">
        <f t="shared" si="13"/>
        <v>1</v>
      </c>
      <c r="R51" s="681">
        <f t="shared" ca="1" si="14"/>
        <v>11.901899999999999</v>
      </c>
      <c r="S51" s="620">
        <f t="shared" ca="1" si="5"/>
        <v>0</v>
      </c>
    </row>
    <row r="52" spans="1:19">
      <c r="A52" s="628" t="str">
        <f>可抵押车位明细清单!D31</f>
        <v>1#地库126</v>
      </c>
      <c r="B52" s="629">
        <f>可抵押车位明细清单!H31</f>
        <v>30.6</v>
      </c>
      <c r="C52" s="621">
        <f t="shared" si="6"/>
        <v>1</v>
      </c>
      <c r="D52" s="630"/>
      <c r="E52" s="621">
        <f t="shared" si="7"/>
        <v>1</v>
      </c>
      <c r="F52" s="630"/>
      <c r="G52" s="621">
        <f t="shared" si="8"/>
        <v>1</v>
      </c>
      <c r="H52" s="630"/>
      <c r="I52" s="621">
        <f t="shared" si="9"/>
        <v>1</v>
      </c>
      <c r="J52" s="630"/>
      <c r="K52" s="621">
        <f t="shared" si="10"/>
        <v>1</v>
      </c>
      <c r="L52" s="630" t="str">
        <f>可抵押车位明细清单!K31</f>
        <v>标准车位</v>
      </c>
      <c r="M52" s="621">
        <f t="shared" si="11"/>
        <v>1</v>
      </c>
      <c r="N52" s="630"/>
      <c r="O52" s="621">
        <f t="shared" si="12"/>
        <v>1</v>
      </c>
      <c r="P52" s="3490" t="str">
        <f>可抵押车位明细清单!L31</f>
        <v>-1层</v>
      </c>
      <c r="Q52" s="621">
        <f t="shared" si="13"/>
        <v>1</v>
      </c>
      <c r="R52" s="681">
        <f t="shared" ca="1" si="14"/>
        <v>11.901899999999999</v>
      </c>
      <c r="S52" s="620">
        <f t="shared" ca="1" si="5"/>
        <v>0</v>
      </c>
    </row>
    <row r="53" spans="1:19">
      <c r="A53" s="628" t="str">
        <f>可抵押车位明细清单!D32</f>
        <v>1#地库127</v>
      </c>
      <c r="B53" s="629">
        <f>可抵押车位明细清单!H32</f>
        <v>30.6</v>
      </c>
      <c r="C53" s="621">
        <f t="shared" si="6"/>
        <v>1</v>
      </c>
      <c r="D53" s="630"/>
      <c r="E53" s="621">
        <f t="shared" si="7"/>
        <v>1</v>
      </c>
      <c r="F53" s="630"/>
      <c r="G53" s="621">
        <f t="shared" si="8"/>
        <v>1</v>
      </c>
      <c r="H53" s="630"/>
      <c r="I53" s="621">
        <f t="shared" si="9"/>
        <v>1</v>
      </c>
      <c r="J53" s="630"/>
      <c r="K53" s="621">
        <f t="shared" si="10"/>
        <v>1</v>
      </c>
      <c r="L53" s="630" t="str">
        <f>可抵押车位明细清单!K32</f>
        <v>标准车位</v>
      </c>
      <c r="M53" s="621">
        <f t="shared" si="11"/>
        <v>1</v>
      </c>
      <c r="N53" s="630"/>
      <c r="O53" s="621">
        <f t="shared" si="12"/>
        <v>1</v>
      </c>
      <c r="P53" s="3490" t="str">
        <f>可抵押车位明细清单!L32</f>
        <v>-1层</v>
      </c>
      <c r="Q53" s="621">
        <f t="shared" si="13"/>
        <v>1</v>
      </c>
      <c r="R53" s="681">
        <f t="shared" ca="1" si="14"/>
        <v>11.901899999999999</v>
      </c>
      <c r="S53" s="620">
        <f t="shared" ca="1" si="5"/>
        <v>0</v>
      </c>
    </row>
    <row r="54" spans="1:19">
      <c r="A54" s="628" t="str">
        <f>可抵押车位明细清单!D33</f>
        <v>1#地库129</v>
      </c>
      <c r="B54" s="629">
        <f>可抵押车位明细清单!H33</f>
        <v>30.6</v>
      </c>
      <c r="C54" s="621">
        <f t="shared" si="6"/>
        <v>1</v>
      </c>
      <c r="D54" s="630"/>
      <c r="E54" s="621">
        <f t="shared" si="7"/>
        <v>1</v>
      </c>
      <c r="F54" s="630"/>
      <c r="G54" s="621">
        <f t="shared" si="8"/>
        <v>1</v>
      </c>
      <c r="H54" s="630"/>
      <c r="I54" s="621">
        <f t="shared" si="9"/>
        <v>1</v>
      </c>
      <c r="J54" s="630"/>
      <c r="K54" s="621">
        <f t="shared" si="10"/>
        <v>1</v>
      </c>
      <c r="L54" s="630" t="str">
        <f>可抵押车位明细清单!K33</f>
        <v>标准车位</v>
      </c>
      <c r="M54" s="621">
        <f t="shared" si="11"/>
        <v>1</v>
      </c>
      <c r="N54" s="630"/>
      <c r="O54" s="621">
        <f t="shared" si="12"/>
        <v>1</v>
      </c>
      <c r="P54" s="3490" t="str">
        <f>可抵押车位明细清单!L33</f>
        <v>-1层</v>
      </c>
      <c r="Q54" s="621">
        <f t="shared" si="13"/>
        <v>1</v>
      </c>
      <c r="R54" s="681">
        <f t="shared" ca="1" si="14"/>
        <v>11.901899999999999</v>
      </c>
      <c r="S54" s="620">
        <f t="shared" ca="1" si="5"/>
        <v>0</v>
      </c>
    </row>
    <row r="55" spans="1:19">
      <c r="A55" s="628" t="str">
        <f>可抵押车位明细清单!D34</f>
        <v>1#地库130</v>
      </c>
      <c r="B55" s="629">
        <f>可抵押车位明细清单!H34</f>
        <v>30.6</v>
      </c>
      <c r="C55" s="621">
        <f t="shared" si="6"/>
        <v>1</v>
      </c>
      <c r="D55" s="630"/>
      <c r="E55" s="621">
        <f t="shared" si="7"/>
        <v>1</v>
      </c>
      <c r="F55" s="630"/>
      <c r="G55" s="621">
        <f t="shared" si="8"/>
        <v>1</v>
      </c>
      <c r="H55" s="630"/>
      <c r="I55" s="621">
        <f t="shared" si="9"/>
        <v>1</v>
      </c>
      <c r="J55" s="630"/>
      <c r="K55" s="621">
        <f t="shared" si="10"/>
        <v>1</v>
      </c>
      <c r="L55" s="630" t="str">
        <f>可抵押车位明细清单!K34</f>
        <v>标准车位</v>
      </c>
      <c r="M55" s="621">
        <f t="shared" si="11"/>
        <v>1</v>
      </c>
      <c r="N55" s="630"/>
      <c r="O55" s="621">
        <f t="shared" si="12"/>
        <v>1</v>
      </c>
      <c r="P55" s="3490" t="str">
        <f>可抵押车位明细清单!L34</f>
        <v>-1层</v>
      </c>
      <c r="Q55" s="621">
        <f t="shared" si="13"/>
        <v>1</v>
      </c>
      <c r="R55" s="681">
        <f t="shared" ca="1" si="14"/>
        <v>11.901899999999999</v>
      </c>
      <c r="S55" s="620">
        <f t="shared" ca="1" si="5"/>
        <v>0</v>
      </c>
    </row>
    <row r="56" spans="1:19">
      <c r="A56" s="628" t="str">
        <f>可抵押车位明细清单!D35</f>
        <v>1#地库132</v>
      </c>
      <c r="B56" s="629">
        <f>可抵押车位明细清单!H35</f>
        <v>30.6</v>
      </c>
      <c r="C56" s="621">
        <f t="shared" si="6"/>
        <v>1</v>
      </c>
      <c r="D56" s="630"/>
      <c r="E56" s="621">
        <f t="shared" si="7"/>
        <v>1</v>
      </c>
      <c r="F56" s="630"/>
      <c r="G56" s="621">
        <f t="shared" si="8"/>
        <v>1</v>
      </c>
      <c r="H56" s="630"/>
      <c r="I56" s="621">
        <f t="shared" si="9"/>
        <v>1</v>
      </c>
      <c r="J56" s="630"/>
      <c r="K56" s="621">
        <f t="shared" si="10"/>
        <v>1</v>
      </c>
      <c r="L56" s="630" t="str">
        <f>可抵押车位明细清单!K35</f>
        <v>标准车位</v>
      </c>
      <c r="M56" s="621">
        <f t="shared" si="11"/>
        <v>1</v>
      </c>
      <c r="N56" s="630"/>
      <c r="O56" s="621">
        <f t="shared" si="12"/>
        <v>1</v>
      </c>
      <c r="P56" s="3490" t="str">
        <f>可抵押车位明细清单!L35</f>
        <v>-1层</v>
      </c>
      <c r="Q56" s="621">
        <f t="shared" si="13"/>
        <v>1</v>
      </c>
      <c r="R56" s="681">
        <f t="shared" ca="1" si="14"/>
        <v>11.901899999999999</v>
      </c>
      <c r="S56" s="620">
        <f t="shared" ca="1" si="5"/>
        <v>0</v>
      </c>
    </row>
    <row r="57" spans="1:19">
      <c r="A57" s="628" t="str">
        <f>可抵押车位明细清单!D36</f>
        <v>1#地库134</v>
      </c>
      <c r="B57" s="629">
        <f>可抵押车位明细清单!H36</f>
        <v>30.6</v>
      </c>
      <c r="C57" s="621">
        <f t="shared" si="6"/>
        <v>1</v>
      </c>
      <c r="D57" s="630"/>
      <c r="E57" s="621">
        <f t="shared" si="7"/>
        <v>1</v>
      </c>
      <c r="F57" s="630"/>
      <c r="G57" s="621">
        <f t="shared" si="8"/>
        <v>1</v>
      </c>
      <c r="H57" s="630"/>
      <c r="I57" s="621">
        <f t="shared" si="9"/>
        <v>1</v>
      </c>
      <c r="J57" s="630"/>
      <c r="K57" s="621">
        <f t="shared" si="10"/>
        <v>1</v>
      </c>
      <c r="L57" s="630" t="str">
        <f>可抵押车位明细清单!K36</f>
        <v>标准车位</v>
      </c>
      <c r="M57" s="621">
        <f t="shared" si="11"/>
        <v>1</v>
      </c>
      <c r="N57" s="630"/>
      <c r="O57" s="621">
        <f t="shared" si="12"/>
        <v>1</v>
      </c>
      <c r="P57" s="3490" t="str">
        <f>可抵押车位明细清单!L36</f>
        <v>-1层</v>
      </c>
      <c r="Q57" s="621">
        <f t="shared" si="13"/>
        <v>1</v>
      </c>
      <c r="R57" s="681">
        <f t="shared" ca="1" si="14"/>
        <v>11.901899999999999</v>
      </c>
      <c r="S57" s="620">
        <f t="shared" ca="1" si="5"/>
        <v>0</v>
      </c>
    </row>
    <row r="58" spans="1:19">
      <c r="A58" s="628" t="str">
        <f>可抵押车位明细清单!D37</f>
        <v>1#地库135</v>
      </c>
      <c r="B58" s="629">
        <f>可抵押车位明细清单!H37</f>
        <v>30.6</v>
      </c>
      <c r="C58" s="621">
        <f t="shared" si="6"/>
        <v>1</v>
      </c>
      <c r="D58" s="630"/>
      <c r="E58" s="621">
        <f t="shared" si="7"/>
        <v>1</v>
      </c>
      <c r="F58" s="630"/>
      <c r="G58" s="621">
        <f t="shared" si="8"/>
        <v>1</v>
      </c>
      <c r="H58" s="630"/>
      <c r="I58" s="621">
        <f t="shared" si="9"/>
        <v>1</v>
      </c>
      <c r="J58" s="630"/>
      <c r="K58" s="621">
        <f t="shared" si="10"/>
        <v>1</v>
      </c>
      <c r="L58" s="630" t="str">
        <f>可抵押车位明细清单!K37</f>
        <v>标准车位</v>
      </c>
      <c r="M58" s="621">
        <f t="shared" si="11"/>
        <v>1</v>
      </c>
      <c r="N58" s="630"/>
      <c r="O58" s="621">
        <f t="shared" si="12"/>
        <v>1</v>
      </c>
      <c r="P58" s="3490" t="str">
        <f>可抵押车位明细清单!L37</f>
        <v>-1层</v>
      </c>
      <c r="Q58" s="621">
        <f t="shared" si="13"/>
        <v>1</v>
      </c>
      <c r="R58" s="681">
        <f t="shared" ca="1" si="14"/>
        <v>11.901899999999999</v>
      </c>
      <c r="S58" s="620">
        <f t="shared" ca="1" si="5"/>
        <v>0</v>
      </c>
    </row>
    <row r="59" spans="1:19">
      <c r="A59" s="628" t="str">
        <f>可抵押车位明细清单!D38</f>
        <v>1#地库140</v>
      </c>
      <c r="B59" s="629">
        <f>可抵押车位明细清单!H38</f>
        <v>30.6</v>
      </c>
      <c r="C59" s="621">
        <f t="shared" si="6"/>
        <v>1</v>
      </c>
      <c r="D59" s="630"/>
      <c r="E59" s="621">
        <f t="shared" si="7"/>
        <v>1</v>
      </c>
      <c r="F59" s="630"/>
      <c r="G59" s="621">
        <f t="shared" si="8"/>
        <v>1</v>
      </c>
      <c r="H59" s="630"/>
      <c r="I59" s="621">
        <f t="shared" si="9"/>
        <v>1</v>
      </c>
      <c r="J59" s="630"/>
      <c r="K59" s="621">
        <f t="shared" si="10"/>
        <v>1</v>
      </c>
      <c r="L59" s="630" t="str">
        <f>可抵押车位明细清单!K38</f>
        <v>标准车位</v>
      </c>
      <c r="M59" s="621">
        <f t="shared" si="11"/>
        <v>1</v>
      </c>
      <c r="N59" s="630"/>
      <c r="O59" s="621">
        <f t="shared" si="12"/>
        <v>1</v>
      </c>
      <c r="P59" s="3490" t="str">
        <f>可抵押车位明细清单!L38</f>
        <v>-1层</v>
      </c>
      <c r="Q59" s="621">
        <f t="shared" si="13"/>
        <v>1</v>
      </c>
      <c r="R59" s="681">
        <f t="shared" ca="1" si="14"/>
        <v>11.901899999999999</v>
      </c>
      <c r="S59" s="620">
        <f t="shared" ca="1" si="5"/>
        <v>0</v>
      </c>
    </row>
    <row r="60" spans="1:19">
      <c r="A60" s="628" t="str">
        <f>可抵押车位明细清单!D39</f>
        <v>1#地库141</v>
      </c>
      <c r="B60" s="629">
        <f>可抵押车位明细清单!H39</f>
        <v>30.6</v>
      </c>
      <c r="C60" s="621">
        <f t="shared" si="6"/>
        <v>1</v>
      </c>
      <c r="D60" s="630"/>
      <c r="E60" s="621">
        <f t="shared" si="7"/>
        <v>1</v>
      </c>
      <c r="F60" s="630"/>
      <c r="G60" s="621">
        <f t="shared" si="8"/>
        <v>1</v>
      </c>
      <c r="H60" s="630"/>
      <c r="I60" s="621">
        <f t="shared" si="9"/>
        <v>1</v>
      </c>
      <c r="J60" s="630"/>
      <c r="K60" s="621">
        <f t="shared" si="10"/>
        <v>1</v>
      </c>
      <c r="L60" s="630" t="str">
        <f>可抵押车位明细清单!K39</f>
        <v>标准车位</v>
      </c>
      <c r="M60" s="621">
        <f t="shared" si="11"/>
        <v>1</v>
      </c>
      <c r="N60" s="630"/>
      <c r="O60" s="621">
        <f t="shared" si="12"/>
        <v>1</v>
      </c>
      <c r="P60" s="3490" t="str">
        <f>可抵押车位明细清单!L39</f>
        <v>-1层</v>
      </c>
      <c r="Q60" s="621">
        <f t="shared" si="13"/>
        <v>1</v>
      </c>
      <c r="R60" s="681">
        <f t="shared" ca="1" si="14"/>
        <v>11.901899999999999</v>
      </c>
      <c r="S60" s="620">
        <f t="shared" ca="1" si="5"/>
        <v>0</v>
      </c>
    </row>
    <row r="61" spans="1:19">
      <c r="A61" s="628" t="str">
        <f>可抵押车位明细清单!D40</f>
        <v>1#地库142</v>
      </c>
      <c r="B61" s="629">
        <f>可抵押车位明细清单!H40</f>
        <v>30.6</v>
      </c>
      <c r="C61" s="621">
        <f t="shared" si="6"/>
        <v>1</v>
      </c>
      <c r="D61" s="630"/>
      <c r="E61" s="621">
        <f t="shared" si="7"/>
        <v>1</v>
      </c>
      <c r="F61" s="630"/>
      <c r="G61" s="621">
        <f t="shared" si="8"/>
        <v>1</v>
      </c>
      <c r="H61" s="630"/>
      <c r="I61" s="621">
        <f t="shared" si="9"/>
        <v>1</v>
      </c>
      <c r="J61" s="630"/>
      <c r="K61" s="621">
        <f t="shared" si="10"/>
        <v>1</v>
      </c>
      <c r="L61" s="630" t="str">
        <f>可抵押车位明细清单!K40</f>
        <v>标准车位</v>
      </c>
      <c r="M61" s="621">
        <f t="shared" si="11"/>
        <v>1</v>
      </c>
      <c r="N61" s="630"/>
      <c r="O61" s="621">
        <f t="shared" si="12"/>
        <v>1</v>
      </c>
      <c r="P61" s="3490" t="str">
        <f>可抵押车位明细清单!L40</f>
        <v>-1层</v>
      </c>
      <c r="Q61" s="621">
        <f t="shared" si="13"/>
        <v>1</v>
      </c>
      <c r="R61" s="681">
        <f t="shared" ca="1" si="14"/>
        <v>11.901899999999999</v>
      </c>
      <c r="S61" s="620">
        <f t="shared" ca="1" si="5"/>
        <v>0</v>
      </c>
    </row>
    <row r="62" spans="1:19">
      <c r="A62" s="628" t="str">
        <f>可抵押车位明细清单!D41</f>
        <v>1#地库144</v>
      </c>
      <c r="B62" s="629">
        <f>可抵押车位明细清单!H41</f>
        <v>30.6</v>
      </c>
      <c r="C62" s="621">
        <f t="shared" si="6"/>
        <v>1</v>
      </c>
      <c r="D62" s="630"/>
      <c r="E62" s="621">
        <f t="shared" si="7"/>
        <v>1</v>
      </c>
      <c r="F62" s="630"/>
      <c r="G62" s="621">
        <f t="shared" si="8"/>
        <v>1</v>
      </c>
      <c r="H62" s="630"/>
      <c r="I62" s="621">
        <f t="shared" si="9"/>
        <v>1</v>
      </c>
      <c r="J62" s="630"/>
      <c r="K62" s="621">
        <f t="shared" si="10"/>
        <v>1</v>
      </c>
      <c r="L62" s="630" t="str">
        <f>可抵押车位明细清单!K41</f>
        <v>标准车位</v>
      </c>
      <c r="M62" s="621">
        <f t="shared" si="11"/>
        <v>1</v>
      </c>
      <c r="N62" s="630"/>
      <c r="O62" s="621">
        <f t="shared" si="12"/>
        <v>1</v>
      </c>
      <c r="P62" s="3490" t="str">
        <f>可抵押车位明细清单!L41</f>
        <v>-1层</v>
      </c>
      <c r="Q62" s="621">
        <f t="shared" si="13"/>
        <v>1</v>
      </c>
      <c r="R62" s="681">
        <f t="shared" ca="1" si="14"/>
        <v>11.901899999999999</v>
      </c>
      <c r="S62" s="620">
        <f t="shared" ca="1" si="5"/>
        <v>0</v>
      </c>
    </row>
    <row r="63" spans="1:19">
      <c r="A63" s="628" t="str">
        <f>可抵押车位明细清单!D42</f>
        <v>1#地库145</v>
      </c>
      <c r="B63" s="629">
        <f>可抵押车位明细清单!H42</f>
        <v>30.6</v>
      </c>
      <c r="C63" s="621">
        <f t="shared" si="6"/>
        <v>1</v>
      </c>
      <c r="D63" s="630"/>
      <c r="E63" s="621">
        <f t="shared" si="7"/>
        <v>1</v>
      </c>
      <c r="F63" s="630"/>
      <c r="G63" s="621">
        <f t="shared" si="8"/>
        <v>1</v>
      </c>
      <c r="H63" s="630"/>
      <c r="I63" s="621">
        <f t="shared" si="9"/>
        <v>1</v>
      </c>
      <c r="J63" s="630"/>
      <c r="K63" s="621">
        <f t="shared" si="10"/>
        <v>1</v>
      </c>
      <c r="L63" s="630" t="str">
        <f>可抵押车位明细清单!K42</f>
        <v>标准车位</v>
      </c>
      <c r="M63" s="621">
        <f t="shared" si="11"/>
        <v>1</v>
      </c>
      <c r="N63" s="630"/>
      <c r="O63" s="621">
        <f t="shared" si="12"/>
        <v>1</v>
      </c>
      <c r="P63" s="3490" t="str">
        <f>可抵押车位明细清单!L42</f>
        <v>-1层</v>
      </c>
      <c r="Q63" s="621">
        <f t="shared" si="13"/>
        <v>1</v>
      </c>
      <c r="R63" s="681">
        <f t="shared" ca="1" si="14"/>
        <v>11.901899999999999</v>
      </c>
      <c r="S63" s="620">
        <f t="shared" ca="1" si="5"/>
        <v>0</v>
      </c>
    </row>
    <row r="64" spans="1:19">
      <c r="A64" s="628" t="str">
        <f>可抵押车位明细清单!D43</f>
        <v>1#地库146</v>
      </c>
      <c r="B64" s="629">
        <f>可抵押车位明细清单!H43</f>
        <v>30.6</v>
      </c>
      <c r="C64" s="621">
        <f t="shared" si="6"/>
        <v>1</v>
      </c>
      <c r="D64" s="630"/>
      <c r="E64" s="621">
        <f t="shared" si="7"/>
        <v>1</v>
      </c>
      <c r="F64" s="630"/>
      <c r="G64" s="621">
        <f t="shared" si="8"/>
        <v>1</v>
      </c>
      <c r="H64" s="630"/>
      <c r="I64" s="621">
        <f t="shared" si="9"/>
        <v>1</v>
      </c>
      <c r="J64" s="630"/>
      <c r="K64" s="621">
        <f t="shared" si="10"/>
        <v>1</v>
      </c>
      <c r="L64" s="630" t="str">
        <f>可抵押车位明细清单!K43</f>
        <v>标准车位</v>
      </c>
      <c r="M64" s="621">
        <f t="shared" si="11"/>
        <v>1</v>
      </c>
      <c r="N64" s="630"/>
      <c r="O64" s="621">
        <f t="shared" si="12"/>
        <v>1</v>
      </c>
      <c r="P64" s="3490" t="str">
        <f>可抵押车位明细清单!L43</f>
        <v>-1层</v>
      </c>
      <c r="Q64" s="621">
        <f t="shared" si="13"/>
        <v>1</v>
      </c>
      <c r="R64" s="681">
        <f t="shared" ca="1" si="14"/>
        <v>11.901899999999999</v>
      </c>
      <c r="S64" s="620">
        <f t="shared" ca="1" si="5"/>
        <v>0</v>
      </c>
    </row>
    <row r="65" spans="1:19">
      <c r="A65" s="628" t="str">
        <f>可抵押车位明细清单!D44</f>
        <v>1#地库147</v>
      </c>
      <c r="B65" s="629">
        <f>可抵押车位明细清单!H44</f>
        <v>30.6</v>
      </c>
      <c r="C65" s="621">
        <f t="shared" si="6"/>
        <v>1</v>
      </c>
      <c r="D65" s="630"/>
      <c r="E65" s="621">
        <f t="shared" si="7"/>
        <v>1</v>
      </c>
      <c r="F65" s="630"/>
      <c r="G65" s="621">
        <f t="shared" si="8"/>
        <v>1</v>
      </c>
      <c r="H65" s="630"/>
      <c r="I65" s="621">
        <f t="shared" si="9"/>
        <v>1</v>
      </c>
      <c r="J65" s="630"/>
      <c r="K65" s="621">
        <f t="shared" si="10"/>
        <v>1</v>
      </c>
      <c r="L65" s="630" t="str">
        <f>可抵押车位明细清单!K44</f>
        <v>标准车位</v>
      </c>
      <c r="M65" s="621">
        <f t="shared" si="11"/>
        <v>1</v>
      </c>
      <c r="N65" s="630"/>
      <c r="O65" s="621">
        <f t="shared" si="12"/>
        <v>1</v>
      </c>
      <c r="P65" s="3490" t="str">
        <f>可抵押车位明细清单!L44</f>
        <v>-1层</v>
      </c>
      <c r="Q65" s="621">
        <f t="shared" si="13"/>
        <v>1</v>
      </c>
      <c r="R65" s="681">
        <f t="shared" ca="1" si="14"/>
        <v>11.901899999999999</v>
      </c>
      <c r="S65" s="620">
        <f t="shared" ca="1" si="5"/>
        <v>0</v>
      </c>
    </row>
    <row r="66" spans="1:19">
      <c r="A66" s="628" t="str">
        <f>可抵押车位明细清单!D45</f>
        <v>1#地库148</v>
      </c>
      <c r="B66" s="629">
        <f>可抵押车位明细清单!H45</f>
        <v>30.6</v>
      </c>
      <c r="C66" s="621">
        <f t="shared" si="6"/>
        <v>1</v>
      </c>
      <c r="D66" s="630"/>
      <c r="E66" s="621">
        <f t="shared" si="7"/>
        <v>1</v>
      </c>
      <c r="F66" s="630"/>
      <c r="G66" s="621">
        <f t="shared" si="8"/>
        <v>1</v>
      </c>
      <c r="H66" s="630"/>
      <c r="I66" s="621">
        <f t="shared" si="9"/>
        <v>1</v>
      </c>
      <c r="J66" s="630"/>
      <c r="K66" s="621">
        <f t="shared" si="10"/>
        <v>1</v>
      </c>
      <c r="L66" s="630" t="str">
        <f>可抵押车位明细清单!K45</f>
        <v>标准车位</v>
      </c>
      <c r="M66" s="621">
        <f t="shared" si="11"/>
        <v>1</v>
      </c>
      <c r="N66" s="630"/>
      <c r="O66" s="621">
        <f t="shared" si="12"/>
        <v>1</v>
      </c>
      <c r="P66" s="3490" t="str">
        <f>可抵押车位明细清单!L45</f>
        <v>-1层</v>
      </c>
      <c r="Q66" s="621">
        <f t="shared" si="13"/>
        <v>1</v>
      </c>
      <c r="R66" s="681">
        <f t="shared" ca="1" si="14"/>
        <v>11.901899999999999</v>
      </c>
      <c r="S66" s="620">
        <f t="shared" ca="1" si="5"/>
        <v>0</v>
      </c>
    </row>
    <row r="67" spans="1:19">
      <c r="A67" s="628" t="str">
        <f>可抵押车位明细清单!D46</f>
        <v>1#地库149</v>
      </c>
      <c r="B67" s="629">
        <f>可抵押车位明细清单!H46</f>
        <v>30.6</v>
      </c>
      <c r="C67" s="621">
        <f t="shared" si="6"/>
        <v>1</v>
      </c>
      <c r="D67" s="630"/>
      <c r="E67" s="621">
        <f t="shared" si="7"/>
        <v>1</v>
      </c>
      <c r="F67" s="630"/>
      <c r="G67" s="621">
        <f t="shared" si="8"/>
        <v>1</v>
      </c>
      <c r="H67" s="630"/>
      <c r="I67" s="621">
        <f t="shared" si="9"/>
        <v>1</v>
      </c>
      <c r="J67" s="630"/>
      <c r="K67" s="621">
        <f t="shared" si="10"/>
        <v>1</v>
      </c>
      <c r="L67" s="630" t="str">
        <f>可抵押车位明细清单!K46</f>
        <v>标准车位</v>
      </c>
      <c r="M67" s="621">
        <f t="shared" si="11"/>
        <v>1</v>
      </c>
      <c r="N67" s="630"/>
      <c r="O67" s="621">
        <f t="shared" si="12"/>
        <v>1</v>
      </c>
      <c r="P67" s="3490" t="str">
        <f>可抵押车位明细清单!L46</f>
        <v>-1层</v>
      </c>
      <c r="Q67" s="621">
        <f t="shared" si="13"/>
        <v>1</v>
      </c>
      <c r="R67" s="681">
        <f t="shared" ca="1" si="14"/>
        <v>11.901899999999999</v>
      </c>
      <c r="S67" s="620">
        <f t="shared" ca="1" si="5"/>
        <v>0</v>
      </c>
    </row>
    <row r="68" spans="1:19">
      <c r="A68" s="628" t="str">
        <f>可抵押车位明细清单!D47</f>
        <v>1#地库150</v>
      </c>
      <c r="B68" s="629">
        <f>可抵押车位明细清单!H47</f>
        <v>30.6</v>
      </c>
      <c r="C68" s="621">
        <f t="shared" si="6"/>
        <v>1</v>
      </c>
      <c r="D68" s="630"/>
      <c r="E68" s="621">
        <f t="shared" si="7"/>
        <v>1</v>
      </c>
      <c r="F68" s="630"/>
      <c r="G68" s="621">
        <f t="shared" si="8"/>
        <v>1</v>
      </c>
      <c r="H68" s="630"/>
      <c r="I68" s="621">
        <f t="shared" si="9"/>
        <v>1</v>
      </c>
      <c r="J68" s="630"/>
      <c r="K68" s="621">
        <f t="shared" si="10"/>
        <v>1</v>
      </c>
      <c r="L68" s="630" t="str">
        <f>可抵押车位明细清单!K47</f>
        <v>标准车位</v>
      </c>
      <c r="M68" s="621">
        <f t="shared" si="11"/>
        <v>1</v>
      </c>
      <c r="N68" s="630"/>
      <c r="O68" s="621">
        <f t="shared" si="12"/>
        <v>1</v>
      </c>
      <c r="P68" s="3490" t="str">
        <f>可抵押车位明细清单!L47</f>
        <v>-1层</v>
      </c>
      <c r="Q68" s="621">
        <f t="shared" si="13"/>
        <v>1</v>
      </c>
      <c r="R68" s="681">
        <f t="shared" ca="1" si="14"/>
        <v>11.901899999999999</v>
      </c>
      <c r="S68" s="620">
        <f t="shared" ca="1" si="5"/>
        <v>0</v>
      </c>
    </row>
    <row r="69" spans="1:19">
      <c r="A69" s="628" t="str">
        <f>可抵押车位明细清单!D48</f>
        <v>1#地库151</v>
      </c>
      <c r="B69" s="629">
        <f>可抵押车位明细清单!H48</f>
        <v>30.6</v>
      </c>
      <c r="C69" s="621">
        <f t="shared" si="6"/>
        <v>1</v>
      </c>
      <c r="D69" s="630"/>
      <c r="E69" s="621">
        <f t="shared" si="7"/>
        <v>1</v>
      </c>
      <c r="F69" s="630"/>
      <c r="G69" s="621">
        <f t="shared" si="8"/>
        <v>1</v>
      </c>
      <c r="H69" s="630"/>
      <c r="I69" s="621">
        <f t="shared" si="9"/>
        <v>1</v>
      </c>
      <c r="J69" s="630"/>
      <c r="K69" s="621">
        <f t="shared" si="10"/>
        <v>1</v>
      </c>
      <c r="L69" s="630" t="str">
        <f>可抵押车位明细清单!K48</f>
        <v>标准车位</v>
      </c>
      <c r="M69" s="621">
        <f t="shared" si="11"/>
        <v>1</v>
      </c>
      <c r="N69" s="630"/>
      <c r="O69" s="621">
        <f t="shared" si="12"/>
        <v>1</v>
      </c>
      <c r="P69" s="3490" t="str">
        <f>可抵押车位明细清单!L48</f>
        <v>-1层</v>
      </c>
      <c r="Q69" s="621">
        <f t="shared" si="13"/>
        <v>1</v>
      </c>
      <c r="R69" s="681">
        <f t="shared" ca="1" si="14"/>
        <v>11.901899999999999</v>
      </c>
      <c r="S69" s="620">
        <f t="shared" ca="1" si="5"/>
        <v>0</v>
      </c>
    </row>
    <row r="70" spans="1:19">
      <c r="A70" s="628" t="str">
        <f>可抵押车位明细清单!D49</f>
        <v>1#地库152</v>
      </c>
      <c r="B70" s="629">
        <f>可抵押车位明细清单!H49</f>
        <v>30.6</v>
      </c>
      <c r="C70" s="621">
        <f t="shared" si="6"/>
        <v>1</v>
      </c>
      <c r="D70" s="630"/>
      <c r="E70" s="621">
        <f t="shared" si="7"/>
        <v>1</v>
      </c>
      <c r="F70" s="630"/>
      <c r="G70" s="621">
        <f t="shared" si="8"/>
        <v>1</v>
      </c>
      <c r="H70" s="630"/>
      <c r="I70" s="621">
        <f t="shared" si="9"/>
        <v>1</v>
      </c>
      <c r="J70" s="630"/>
      <c r="K70" s="621">
        <f t="shared" si="10"/>
        <v>1</v>
      </c>
      <c r="L70" s="630" t="str">
        <f>可抵押车位明细清单!K49</f>
        <v>标准车位</v>
      </c>
      <c r="M70" s="621">
        <f t="shared" si="11"/>
        <v>1</v>
      </c>
      <c r="N70" s="630"/>
      <c r="O70" s="621">
        <f t="shared" si="12"/>
        <v>1</v>
      </c>
      <c r="P70" s="3490" t="str">
        <f>可抵押车位明细清单!L49</f>
        <v>-1层</v>
      </c>
      <c r="Q70" s="621">
        <f t="shared" si="13"/>
        <v>1</v>
      </c>
      <c r="R70" s="681">
        <f t="shared" ca="1" si="14"/>
        <v>11.901899999999999</v>
      </c>
      <c r="S70" s="620">
        <f t="shared" ca="1" si="5"/>
        <v>0</v>
      </c>
    </row>
    <row r="71" spans="1:19">
      <c r="A71" s="628" t="str">
        <f>可抵押车位明细清单!D50</f>
        <v>1#地库153</v>
      </c>
      <c r="B71" s="629">
        <f>可抵押车位明细清单!H50</f>
        <v>30.6</v>
      </c>
      <c r="C71" s="621">
        <f t="shared" si="6"/>
        <v>1</v>
      </c>
      <c r="D71" s="630"/>
      <c r="E71" s="621">
        <f t="shared" si="7"/>
        <v>1</v>
      </c>
      <c r="F71" s="630"/>
      <c r="G71" s="621">
        <f t="shared" si="8"/>
        <v>1</v>
      </c>
      <c r="H71" s="630"/>
      <c r="I71" s="621">
        <f t="shared" si="9"/>
        <v>1</v>
      </c>
      <c r="J71" s="630"/>
      <c r="K71" s="621">
        <f t="shared" si="10"/>
        <v>1</v>
      </c>
      <c r="L71" s="630" t="str">
        <f>可抵押车位明细清单!K50</f>
        <v>标准车位</v>
      </c>
      <c r="M71" s="621">
        <f t="shared" si="11"/>
        <v>1</v>
      </c>
      <c r="N71" s="630"/>
      <c r="O71" s="621">
        <f t="shared" si="12"/>
        <v>1</v>
      </c>
      <c r="P71" s="3490" t="str">
        <f>可抵押车位明细清单!L50</f>
        <v>-1层</v>
      </c>
      <c r="Q71" s="621">
        <f t="shared" si="13"/>
        <v>1</v>
      </c>
      <c r="R71" s="681">
        <f t="shared" ca="1" si="14"/>
        <v>11.901899999999999</v>
      </c>
      <c r="S71" s="620">
        <f t="shared" ca="1" si="5"/>
        <v>0</v>
      </c>
    </row>
    <row r="72" spans="1:19">
      <c r="A72" s="628" t="str">
        <f>可抵押车位明细清单!D51</f>
        <v>1#地库154</v>
      </c>
      <c r="B72" s="629">
        <f>可抵押车位明细清单!H51</f>
        <v>30.6</v>
      </c>
      <c r="C72" s="621">
        <f t="shared" si="6"/>
        <v>1</v>
      </c>
      <c r="D72" s="630"/>
      <c r="E72" s="621">
        <f t="shared" si="7"/>
        <v>1</v>
      </c>
      <c r="F72" s="630"/>
      <c r="G72" s="621">
        <f t="shared" si="8"/>
        <v>1</v>
      </c>
      <c r="H72" s="630"/>
      <c r="I72" s="621">
        <f t="shared" si="9"/>
        <v>1</v>
      </c>
      <c r="J72" s="630"/>
      <c r="K72" s="621">
        <f t="shared" si="10"/>
        <v>1</v>
      </c>
      <c r="L72" s="630" t="str">
        <f>可抵押车位明细清单!K51</f>
        <v>标准车位</v>
      </c>
      <c r="M72" s="621">
        <f t="shared" si="11"/>
        <v>1</v>
      </c>
      <c r="N72" s="630"/>
      <c r="O72" s="621">
        <f t="shared" si="12"/>
        <v>1</v>
      </c>
      <c r="P72" s="3490" t="str">
        <f>可抵押车位明细清单!L51</f>
        <v>-1层</v>
      </c>
      <c r="Q72" s="621">
        <f t="shared" si="13"/>
        <v>1</v>
      </c>
      <c r="R72" s="681">
        <f t="shared" ca="1" si="14"/>
        <v>11.901899999999999</v>
      </c>
      <c r="S72" s="620">
        <f t="shared" ca="1" si="5"/>
        <v>0</v>
      </c>
    </row>
    <row r="73" spans="1:19">
      <c r="A73" s="628" t="str">
        <f>可抵押车位明细清单!D52</f>
        <v>1#地库158</v>
      </c>
      <c r="B73" s="629">
        <f>可抵押车位明细清单!H52</f>
        <v>31.25</v>
      </c>
      <c r="C73" s="621">
        <f t="shared" si="6"/>
        <v>1</v>
      </c>
      <c r="D73" s="630"/>
      <c r="E73" s="621">
        <f t="shared" si="7"/>
        <v>1</v>
      </c>
      <c r="F73" s="630"/>
      <c r="G73" s="621">
        <f t="shared" si="8"/>
        <v>1</v>
      </c>
      <c r="H73" s="630"/>
      <c r="I73" s="621">
        <f t="shared" si="9"/>
        <v>1</v>
      </c>
      <c r="J73" s="630"/>
      <c r="K73" s="621">
        <f t="shared" si="10"/>
        <v>1</v>
      </c>
      <c r="L73" s="630" t="str">
        <f>可抵押车位明细清单!K52</f>
        <v>标准车位</v>
      </c>
      <c r="M73" s="621">
        <f t="shared" si="11"/>
        <v>1</v>
      </c>
      <c r="N73" s="630"/>
      <c r="O73" s="621">
        <f t="shared" si="12"/>
        <v>1</v>
      </c>
      <c r="P73" s="3490" t="str">
        <f>可抵押车位明细清单!L52</f>
        <v>-1层</v>
      </c>
      <c r="Q73" s="621">
        <f t="shared" si="13"/>
        <v>1</v>
      </c>
      <c r="R73" s="681">
        <f t="shared" ca="1" si="14"/>
        <v>11.901899999999999</v>
      </c>
      <c r="S73" s="620">
        <f t="shared" ca="1" si="5"/>
        <v>0</v>
      </c>
    </row>
    <row r="74" spans="1:19">
      <c r="A74" s="628" t="str">
        <f>可抵押车位明细清单!D53</f>
        <v>1#地库164</v>
      </c>
      <c r="B74" s="629">
        <f>可抵押车位明细清单!H53</f>
        <v>30.6</v>
      </c>
      <c r="C74" s="621">
        <f t="shared" si="6"/>
        <v>1</v>
      </c>
      <c r="D74" s="630"/>
      <c r="E74" s="621">
        <f t="shared" si="7"/>
        <v>1</v>
      </c>
      <c r="F74" s="630"/>
      <c r="G74" s="621">
        <f t="shared" si="8"/>
        <v>1</v>
      </c>
      <c r="H74" s="630"/>
      <c r="I74" s="621">
        <f t="shared" si="9"/>
        <v>1</v>
      </c>
      <c r="J74" s="630"/>
      <c r="K74" s="621">
        <f t="shared" si="10"/>
        <v>1</v>
      </c>
      <c r="L74" s="630" t="str">
        <f>可抵押车位明细清单!K53</f>
        <v>标准车位</v>
      </c>
      <c r="M74" s="621">
        <f t="shared" si="11"/>
        <v>1</v>
      </c>
      <c r="N74" s="630"/>
      <c r="O74" s="621">
        <f t="shared" si="12"/>
        <v>1</v>
      </c>
      <c r="P74" s="3490" t="str">
        <f>可抵押车位明细清单!L53</f>
        <v>-1层</v>
      </c>
      <c r="Q74" s="621">
        <f t="shared" si="13"/>
        <v>1</v>
      </c>
      <c r="R74" s="681">
        <f t="shared" ca="1" si="14"/>
        <v>11.901899999999999</v>
      </c>
      <c r="S74" s="620">
        <f t="shared" ca="1" si="5"/>
        <v>0</v>
      </c>
    </row>
    <row r="75" spans="1:19">
      <c r="A75" s="628" t="str">
        <f>可抵押车位明细清单!D54</f>
        <v>1#地库180</v>
      </c>
      <c r="B75" s="629">
        <f>可抵押车位明细清单!H54</f>
        <v>30.6</v>
      </c>
      <c r="C75" s="621">
        <f t="shared" si="6"/>
        <v>1</v>
      </c>
      <c r="D75" s="630"/>
      <c r="E75" s="621">
        <f t="shared" si="7"/>
        <v>1</v>
      </c>
      <c r="F75" s="630"/>
      <c r="G75" s="621">
        <f t="shared" si="8"/>
        <v>1</v>
      </c>
      <c r="H75" s="630"/>
      <c r="I75" s="621">
        <f t="shared" si="9"/>
        <v>1</v>
      </c>
      <c r="J75" s="630"/>
      <c r="K75" s="621">
        <f t="shared" si="10"/>
        <v>1</v>
      </c>
      <c r="L75" s="630" t="str">
        <f>可抵押车位明细清单!K54</f>
        <v>标准车位</v>
      </c>
      <c r="M75" s="621">
        <f t="shared" si="11"/>
        <v>1</v>
      </c>
      <c r="N75" s="630"/>
      <c r="O75" s="621">
        <f t="shared" si="12"/>
        <v>1</v>
      </c>
      <c r="P75" s="3490" t="str">
        <f>可抵押车位明细清单!L54</f>
        <v>-1层</v>
      </c>
      <c r="Q75" s="621">
        <f t="shared" si="13"/>
        <v>1</v>
      </c>
      <c r="R75" s="681">
        <f t="shared" ca="1" si="14"/>
        <v>11.901899999999999</v>
      </c>
      <c r="S75" s="620">
        <f t="shared" ca="1" si="5"/>
        <v>0</v>
      </c>
    </row>
    <row r="76" spans="1:19">
      <c r="A76" s="628" t="str">
        <f>可抵押车位明细清单!D55</f>
        <v>1#地库183</v>
      </c>
      <c r="B76" s="629">
        <f>可抵押车位明细清单!H55</f>
        <v>30.6</v>
      </c>
      <c r="C76" s="621">
        <f t="shared" si="6"/>
        <v>1</v>
      </c>
      <c r="D76" s="630"/>
      <c r="E76" s="621">
        <f t="shared" si="7"/>
        <v>1</v>
      </c>
      <c r="F76" s="630"/>
      <c r="G76" s="621">
        <f t="shared" si="8"/>
        <v>1</v>
      </c>
      <c r="H76" s="630"/>
      <c r="I76" s="621">
        <f t="shared" si="9"/>
        <v>1</v>
      </c>
      <c r="J76" s="630"/>
      <c r="K76" s="621">
        <f t="shared" si="10"/>
        <v>1</v>
      </c>
      <c r="L76" s="630" t="str">
        <f>可抵押车位明细清单!K55</f>
        <v>标准车位</v>
      </c>
      <c r="M76" s="621">
        <f t="shared" si="11"/>
        <v>1</v>
      </c>
      <c r="N76" s="630"/>
      <c r="O76" s="621">
        <f t="shared" si="12"/>
        <v>1</v>
      </c>
      <c r="P76" s="3490" t="str">
        <f>可抵押车位明细清单!L55</f>
        <v>-1层</v>
      </c>
      <c r="Q76" s="621">
        <f t="shared" si="13"/>
        <v>1</v>
      </c>
      <c r="R76" s="681">
        <f t="shared" ca="1" si="14"/>
        <v>11.901899999999999</v>
      </c>
      <c r="S76" s="620">
        <f t="shared" ca="1" si="5"/>
        <v>0</v>
      </c>
    </row>
    <row r="77" spans="1:19">
      <c r="A77" s="628" t="str">
        <f>可抵押车位明细清单!D56</f>
        <v>1#地库189</v>
      </c>
      <c r="B77" s="629">
        <f>可抵押车位明细清单!H56</f>
        <v>30.6</v>
      </c>
      <c r="C77" s="621">
        <f t="shared" si="6"/>
        <v>1</v>
      </c>
      <c r="D77" s="630"/>
      <c r="E77" s="621">
        <f t="shared" si="7"/>
        <v>1</v>
      </c>
      <c r="F77" s="630"/>
      <c r="G77" s="621">
        <f t="shared" si="8"/>
        <v>1</v>
      </c>
      <c r="H77" s="630"/>
      <c r="I77" s="621">
        <f t="shared" si="9"/>
        <v>1</v>
      </c>
      <c r="J77" s="630"/>
      <c r="K77" s="621">
        <f t="shared" si="10"/>
        <v>1</v>
      </c>
      <c r="L77" s="630" t="str">
        <f>可抵押车位明细清单!K56</f>
        <v>标准车位</v>
      </c>
      <c r="M77" s="621">
        <f t="shared" si="11"/>
        <v>1</v>
      </c>
      <c r="N77" s="630"/>
      <c r="O77" s="621">
        <f t="shared" si="12"/>
        <v>1</v>
      </c>
      <c r="P77" s="3490" t="str">
        <f>可抵押车位明细清单!L56</f>
        <v>-1层</v>
      </c>
      <c r="Q77" s="621">
        <f t="shared" si="13"/>
        <v>1</v>
      </c>
      <c r="R77" s="681">
        <f t="shared" ca="1" si="14"/>
        <v>11.901899999999999</v>
      </c>
      <c r="S77" s="620">
        <f t="shared" ca="1" si="5"/>
        <v>0</v>
      </c>
    </row>
    <row r="78" spans="1:19">
      <c r="A78" s="628" t="str">
        <f>可抵押车位明细清单!D57</f>
        <v>1#地库192</v>
      </c>
      <c r="B78" s="629">
        <f>可抵押车位明细清单!H57</f>
        <v>30.6</v>
      </c>
      <c r="C78" s="621">
        <f t="shared" si="6"/>
        <v>1</v>
      </c>
      <c r="D78" s="630"/>
      <c r="E78" s="621">
        <f t="shared" si="7"/>
        <v>1</v>
      </c>
      <c r="F78" s="630"/>
      <c r="G78" s="621">
        <f t="shared" si="8"/>
        <v>1</v>
      </c>
      <c r="H78" s="630"/>
      <c r="I78" s="621">
        <f t="shared" si="9"/>
        <v>1</v>
      </c>
      <c r="J78" s="630"/>
      <c r="K78" s="621">
        <f t="shared" si="10"/>
        <v>1</v>
      </c>
      <c r="L78" s="630" t="str">
        <f>可抵押车位明细清单!K57</f>
        <v>标准车位</v>
      </c>
      <c r="M78" s="621">
        <f t="shared" si="11"/>
        <v>1</v>
      </c>
      <c r="N78" s="630"/>
      <c r="O78" s="621">
        <f t="shared" si="12"/>
        <v>1</v>
      </c>
      <c r="P78" s="3490" t="str">
        <f>可抵押车位明细清单!L57</f>
        <v>-1层</v>
      </c>
      <c r="Q78" s="621">
        <f t="shared" si="13"/>
        <v>1</v>
      </c>
      <c r="R78" s="681">
        <f t="shared" ca="1" si="14"/>
        <v>11.901899999999999</v>
      </c>
      <c r="S78" s="620">
        <f t="shared" ca="1" si="5"/>
        <v>0</v>
      </c>
    </row>
    <row r="79" spans="1:19">
      <c r="A79" s="628" t="str">
        <f>可抵押车位明细清单!D58</f>
        <v>1#地库194</v>
      </c>
      <c r="B79" s="629">
        <f>可抵押车位明细清单!H58</f>
        <v>30.6</v>
      </c>
      <c r="C79" s="621">
        <f t="shared" si="6"/>
        <v>1</v>
      </c>
      <c r="D79" s="630"/>
      <c r="E79" s="621">
        <f t="shared" si="7"/>
        <v>1</v>
      </c>
      <c r="F79" s="630"/>
      <c r="G79" s="621">
        <f t="shared" si="8"/>
        <v>1</v>
      </c>
      <c r="H79" s="630"/>
      <c r="I79" s="621">
        <f t="shared" si="9"/>
        <v>1</v>
      </c>
      <c r="J79" s="630"/>
      <c r="K79" s="621">
        <f t="shared" si="10"/>
        <v>1</v>
      </c>
      <c r="L79" s="630" t="str">
        <f>可抵押车位明细清单!K58</f>
        <v>标准车位</v>
      </c>
      <c r="M79" s="621">
        <f t="shared" si="11"/>
        <v>1</v>
      </c>
      <c r="N79" s="630"/>
      <c r="O79" s="621">
        <f t="shared" si="12"/>
        <v>1</v>
      </c>
      <c r="P79" s="3490" t="str">
        <f>可抵押车位明细清单!L58</f>
        <v>-1层</v>
      </c>
      <c r="Q79" s="621">
        <f t="shared" si="13"/>
        <v>1</v>
      </c>
      <c r="R79" s="681">
        <f t="shared" ca="1" si="14"/>
        <v>11.901899999999999</v>
      </c>
      <c r="S79" s="620">
        <f t="shared" ca="1" si="5"/>
        <v>0</v>
      </c>
    </row>
    <row r="80" spans="1:19">
      <c r="A80" s="628" t="str">
        <f>可抵押车位明细清单!D59</f>
        <v>1#地库195</v>
      </c>
      <c r="B80" s="629">
        <f>可抵押车位明细清单!H59</f>
        <v>30.6</v>
      </c>
      <c r="C80" s="621">
        <f t="shared" si="6"/>
        <v>1</v>
      </c>
      <c r="D80" s="630"/>
      <c r="E80" s="621">
        <f t="shared" si="7"/>
        <v>1</v>
      </c>
      <c r="F80" s="630"/>
      <c r="G80" s="621">
        <f t="shared" si="8"/>
        <v>1</v>
      </c>
      <c r="H80" s="630"/>
      <c r="I80" s="621">
        <f t="shared" si="9"/>
        <v>1</v>
      </c>
      <c r="J80" s="630"/>
      <c r="K80" s="621">
        <f t="shared" si="10"/>
        <v>1</v>
      </c>
      <c r="L80" s="630" t="str">
        <f>可抵押车位明细清单!K59</f>
        <v>标准车位</v>
      </c>
      <c r="M80" s="621">
        <f t="shared" si="11"/>
        <v>1</v>
      </c>
      <c r="N80" s="630"/>
      <c r="O80" s="621">
        <f t="shared" si="12"/>
        <v>1</v>
      </c>
      <c r="P80" s="3490" t="str">
        <f>可抵押车位明细清单!L59</f>
        <v>-1层</v>
      </c>
      <c r="Q80" s="621">
        <f t="shared" si="13"/>
        <v>1</v>
      </c>
      <c r="R80" s="681">
        <f t="shared" ca="1" si="14"/>
        <v>11.901899999999999</v>
      </c>
      <c r="S80" s="620">
        <f t="shared" ca="1" si="5"/>
        <v>0</v>
      </c>
    </row>
    <row r="81" spans="1:19">
      <c r="A81" s="628" t="str">
        <f>可抵押车位明细清单!D60</f>
        <v>1#地库198</v>
      </c>
      <c r="B81" s="629">
        <f>可抵押车位明细清单!H60</f>
        <v>30.6</v>
      </c>
      <c r="C81" s="621">
        <f t="shared" si="6"/>
        <v>1</v>
      </c>
      <c r="D81" s="630"/>
      <c r="E81" s="621">
        <f t="shared" si="7"/>
        <v>1</v>
      </c>
      <c r="F81" s="630"/>
      <c r="G81" s="621">
        <f t="shared" si="8"/>
        <v>1</v>
      </c>
      <c r="H81" s="630"/>
      <c r="I81" s="621">
        <f t="shared" si="9"/>
        <v>1</v>
      </c>
      <c r="J81" s="630"/>
      <c r="K81" s="621">
        <f t="shared" si="10"/>
        <v>1</v>
      </c>
      <c r="L81" s="630" t="str">
        <f>可抵押车位明细清单!K60</f>
        <v>标准车位</v>
      </c>
      <c r="M81" s="621">
        <f t="shared" si="11"/>
        <v>1</v>
      </c>
      <c r="N81" s="630"/>
      <c r="O81" s="621">
        <f t="shared" si="12"/>
        <v>1</v>
      </c>
      <c r="P81" s="3490" t="str">
        <f>可抵押车位明细清单!L60</f>
        <v>-1层</v>
      </c>
      <c r="Q81" s="621">
        <f t="shared" si="13"/>
        <v>1</v>
      </c>
      <c r="R81" s="681">
        <f t="shared" ca="1" si="14"/>
        <v>11.901899999999999</v>
      </c>
      <c r="S81" s="620">
        <f t="shared" ca="1" si="5"/>
        <v>0</v>
      </c>
    </row>
    <row r="82" spans="1:19">
      <c r="A82" s="628" t="str">
        <f>可抵押车位明细清单!D61</f>
        <v>1#地库201</v>
      </c>
      <c r="B82" s="629">
        <f>可抵押车位明细清单!H61</f>
        <v>30.6</v>
      </c>
      <c r="C82" s="621">
        <f t="shared" si="6"/>
        <v>1</v>
      </c>
      <c r="D82" s="630"/>
      <c r="E82" s="621">
        <f t="shared" si="7"/>
        <v>1</v>
      </c>
      <c r="F82" s="630"/>
      <c r="G82" s="621">
        <f t="shared" si="8"/>
        <v>1</v>
      </c>
      <c r="H82" s="630"/>
      <c r="I82" s="621">
        <f t="shared" si="9"/>
        <v>1</v>
      </c>
      <c r="J82" s="630"/>
      <c r="K82" s="621">
        <f t="shared" si="10"/>
        <v>1</v>
      </c>
      <c r="L82" s="630" t="str">
        <f>可抵押车位明细清单!K61</f>
        <v>标准车位</v>
      </c>
      <c r="M82" s="621">
        <f t="shared" si="11"/>
        <v>1</v>
      </c>
      <c r="N82" s="630"/>
      <c r="O82" s="621">
        <f t="shared" si="12"/>
        <v>1</v>
      </c>
      <c r="P82" s="3490" t="str">
        <f>可抵押车位明细清单!L61</f>
        <v>-1层</v>
      </c>
      <c r="Q82" s="621">
        <f t="shared" si="13"/>
        <v>1</v>
      </c>
      <c r="R82" s="681">
        <f t="shared" ca="1" si="14"/>
        <v>11.901899999999999</v>
      </c>
      <c r="S82" s="620">
        <f t="shared" ca="1" si="5"/>
        <v>0</v>
      </c>
    </row>
    <row r="83" spans="1:19">
      <c r="A83" s="628" t="str">
        <f>可抵押车位明细清单!D62</f>
        <v>1#地库202</v>
      </c>
      <c r="B83" s="629">
        <f>可抵押车位明细清单!H62</f>
        <v>30.6</v>
      </c>
      <c r="C83" s="621">
        <f t="shared" si="6"/>
        <v>1</v>
      </c>
      <c r="D83" s="630"/>
      <c r="E83" s="621">
        <f t="shared" si="7"/>
        <v>1</v>
      </c>
      <c r="F83" s="630"/>
      <c r="G83" s="621">
        <f t="shared" si="8"/>
        <v>1</v>
      </c>
      <c r="H83" s="630"/>
      <c r="I83" s="621">
        <f t="shared" si="9"/>
        <v>1</v>
      </c>
      <c r="J83" s="630"/>
      <c r="K83" s="621">
        <f t="shared" si="10"/>
        <v>1</v>
      </c>
      <c r="L83" s="630" t="str">
        <f>可抵押车位明细清单!K62</f>
        <v>标准车位</v>
      </c>
      <c r="M83" s="621">
        <f t="shared" si="11"/>
        <v>1</v>
      </c>
      <c r="N83" s="630"/>
      <c r="O83" s="621">
        <f t="shared" si="12"/>
        <v>1</v>
      </c>
      <c r="P83" s="3490" t="str">
        <f>可抵押车位明细清单!L62</f>
        <v>-1层</v>
      </c>
      <c r="Q83" s="621">
        <f t="shared" si="13"/>
        <v>1</v>
      </c>
      <c r="R83" s="681">
        <f t="shared" ca="1" si="14"/>
        <v>11.901899999999999</v>
      </c>
      <c r="S83" s="620">
        <f t="shared" ca="1" si="5"/>
        <v>0</v>
      </c>
    </row>
    <row r="84" spans="1:19">
      <c r="A84" s="628" t="str">
        <f>可抵押车位明细清单!D63</f>
        <v>1#地库203</v>
      </c>
      <c r="B84" s="629">
        <f>可抵押车位明细清单!H63</f>
        <v>30.6</v>
      </c>
      <c r="C84" s="621">
        <f t="shared" si="6"/>
        <v>1</v>
      </c>
      <c r="D84" s="630"/>
      <c r="E84" s="621">
        <f t="shared" si="7"/>
        <v>1</v>
      </c>
      <c r="F84" s="630"/>
      <c r="G84" s="621">
        <f t="shared" si="8"/>
        <v>1</v>
      </c>
      <c r="H84" s="630"/>
      <c r="I84" s="621">
        <f t="shared" si="9"/>
        <v>1</v>
      </c>
      <c r="J84" s="630"/>
      <c r="K84" s="621">
        <f t="shared" si="10"/>
        <v>1</v>
      </c>
      <c r="L84" s="630" t="str">
        <f>可抵押车位明细清单!K63</f>
        <v>标准车位</v>
      </c>
      <c r="M84" s="621">
        <f t="shared" si="11"/>
        <v>1</v>
      </c>
      <c r="N84" s="630"/>
      <c r="O84" s="621">
        <f t="shared" si="12"/>
        <v>1</v>
      </c>
      <c r="P84" s="3490" t="str">
        <f>可抵押车位明细清单!L63</f>
        <v>-1层</v>
      </c>
      <c r="Q84" s="621">
        <f t="shared" si="13"/>
        <v>1</v>
      </c>
      <c r="R84" s="681">
        <f t="shared" ca="1" si="14"/>
        <v>11.901899999999999</v>
      </c>
      <c r="S84" s="620">
        <f t="shared" ca="1" si="5"/>
        <v>0</v>
      </c>
    </row>
    <row r="85" spans="1:19">
      <c r="A85" s="628" t="str">
        <f>可抵押车位明细清单!D64</f>
        <v>1#地库204</v>
      </c>
      <c r="B85" s="629">
        <f>可抵押车位明细清单!H64</f>
        <v>30.6</v>
      </c>
      <c r="C85" s="621">
        <f t="shared" si="6"/>
        <v>1</v>
      </c>
      <c r="D85" s="630"/>
      <c r="E85" s="621">
        <f t="shared" si="7"/>
        <v>1</v>
      </c>
      <c r="F85" s="630"/>
      <c r="G85" s="621">
        <f t="shared" si="8"/>
        <v>1</v>
      </c>
      <c r="H85" s="630"/>
      <c r="I85" s="621">
        <f t="shared" si="9"/>
        <v>1</v>
      </c>
      <c r="J85" s="630"/>
      <c r="K85" s="621">
        <f t="shared" si="10"/>
        <v>1</v>
      </c>
      <c r="L85" s="630" t="str">
        <f>可抵押车位明细清单!K64</f>
        <v>标准车位</v>
      </c>
      <c r="M85" s="621">
        <f t="shared" si="11"/>
        <v>1</v>
      </c>
      <c r="N85" s="630"/>
      <c r="O85" s="621">
        <f t="shared" si="12"/>
        <v>1</v>
      </c>
      <c r="P85" s="3490" t="str">
        <f>可抵押车位明细清单!L64</f>
        <v>-1层</v>
      </c>
      <c r="Q85" s="621">
        <f t="shared" si="13"/>
        <v>1</v>
      </c>
      <c r="R85" s="681">
        <f t="shared" ca="1" si="14"/>
        <v>11.901899999999999</v>
      </c>
      <c r="S85" s="620">
        <f t="shared" ca="1" si="5"/>
        <v>0</v>
      </c>
    </row>
    <row r="86" spans="1:19">
      <c r="A86" s="628" t="str">
        <f>可抵押车位明细清单!D65</f>
        <v>1#地库205</v>
      </c>
      <c r="B86" s="629">
        <f>可抵押车位明细清单!H65</f>
        <v>30.6</v>
      </c>
      <c r="C86" s="621">
        <f t="shared" si="6"/>
        <v>1</v>
      </c>
      <c r="D86" s="630"/>
      <c r="E86" s="621">
        <f t="shared" si="7"/>
        <v>1</v>
      </c>
      <c r="F86" s="630"/>
      <c r="G86" s="621">
        <f t="shared" si="8"/>
        <v>1</v>
      </c>
      <c r="H86" s="630"/>
      <c r="I86" s="621">
        <f t="shared" si="9"/>
        <v>1</v>
      </c>
      <c r="J86" s="630"/>
      <c r="K86" s="621">
        <f t="shared" si="10"/>
        <v>1</v>
      </c>
      <c r="L86" s="630" t="str">
        <f>可抵押车位明细清单!K65</f>
        <v>标准车位</v>
      </c>
      <c r="M86" s="621">
        <f t="shared" si="11"/>
        <v>1</v>
      </c>
      <c r="N86" s="630"/>
      <c r="O86" s="621">
        <f t="shared" si="12"/>
        <v>1</v>
      </c>
      <c r="P86" s="3490" t="str">
        <f>可抵押车位明细清单!L65</f>
        <v>-1层</v>
      </c>
      <c r="Q86" s="621">
        <f t="shared" si="13"/>
        <v>1</v>
      </c>
      <c r="R86" s="681">
        <f t="shared" ca="1" si="14"/>
        <v>11.901899999999999</v>
      </c>
      <c r="S86" s="620">
        <f t="shared" ca="1" si="5"/>
        <v>0</v>
      </c>
    </row>
    <row r="87" spans="1:19">
      <c r="A87" s="628" t="str">
        <f>可抵押车位明细清单!D66</f>
        <v>1#地库206</v>
      </c>
      <c r="B87" s="629">
        <f>可抵押车位明细清单!H66</f>
        <v>30.6</v>
      </c>
      <c r="C87" s="621">
        <f t="shared" si="6"/>
        <v>1</v>
      </c>
      <c r="D87" s="630"/>
      <c r="E87" s="621">
        <f t="shared" si="7"/>
        <v>1</v>
      </c>
      <c r="F87" s="630"/>
      <c r="G87" s="621">
        <f t="shared" si="8"/>
        <v>1</v>
      </c>
      <c r="H87" s="630"/>
      <c r="I87" s="621">
        <f t="shared" si="9"/>
        <v>1</v>
      </c>
      <c r="J87" s="630"/>
      <c r="K87" s="621">
        <f t="shared" si="10"/>
        <v>1</v>
      </c>
      <c r="L87" s="630" t="str">
        <f>可抵押车位明细清单!K66</f>
        <v>标准车位</v>
      </c>
      <c r="M87" s="621">
        <f t="shared" si="11"/>
        <v>1</v>
      </c>
      <c r="N87" s="630"/>
      <c r="O87" s="621">
        <f t="shared" si="12"/>
        <v>1</v>
      </c>
      <c r="P87" s="3490" t="str">
        <f>可抵押车位明细清单!L66</f>
        <v>-1层</v>
      </c>
      <c r="Q87" s="621">
        <f t="shared" si="13"/>
        <v>1</v>
      </c>
      <c r="R87" s="681">
        <f t="shared" ca="1" si="14"/>
        <v>11.901899999999999</v>
      </c>
      <c r="S87" s="620">
        <f t="shared" ca="1" si="5"/>
        <v>0</v>
      </c>
    </row>
    <row r="88" spans="1:19">
      <c r="A88" s="628" t="str">
        <f>可抵押车位明细清单!D67</f>
        <v>1#地库207</v>
      </c>
      <c r="B88" s="629">
        <f>可抵押车位明细清单!H67</f>
        <v>30.6</v>
      </c>
      <c r="C88" s="621">
        <f t="shared" si="6"/>
        <v>1</v>
      </c>
      <c r="D88" s="630"/>
      <c r="E88" s="621">
        <f t="shared" si="7"/>
        <v>1</v>
      </c>
      <c r="F88" s="630"/>
      <c r="G88" s="621">
        <f t="shared" si="8"/>
        <v>1</v>
      </c>
      <c r="H88" s="630"/>
      <c r="I88" s="621">
        <f t="shared" si="9"/>
        <v>1</v>
      </c>
      <c r="J88" s="630"/>
      <c r="K88" s="621">
        <f t="shared" si="10"/>
        <v>1</v>
      </c>
      <c r="L88" s="630" t="str">
        <f>可抵押车位明细清单!K67</f>
        <v>标准车位</v>
      </c>
      <c r="M88" s="621">
        <f t="shared" si="11"/>
        <v>1</v>
      </c>
      <c r="N88" s="630"/>
      <c r="O88" s="621">
        <f t="shared" si="12"/>
        <v>1</v>
      </c>
      <c r="P88" s="3490" t="str">
        <f>可抵押车位明细清单!L67</f>
        <v>-1层</v>
      </c>
      <c r="Q88" s="621">
        <f t="shared" si="13"/>
        <v>1</v>
      </c>
      <c r="R88" s="681">
        <f t="shared" ca="1" si="14"/>
        <v>11.901899999999999</v>
      </c>
      <c r="S88" s="620">
        <f t="shared" ref="S88:S151" ca="1" si="15">ROUND(R88*B88/10000,0)</f>
        <v>0</v>
      </c>
    </row>
    <row r="89" spans="1:19">
      <c r="A89" s="628" t="str">
        <f>可抵押车位明细清单!D68</f>
        <v>1#地库208</v>
      </c>
      <c r="B89" s="629">
        <f>可抵押车位明细清单!H68</f>
        <v>30.6</v>
      </c>
      <c r="C89" s="621">
        <f t="shared" ref="C89:C152" si="16">IF(B89="",1,(LOOKUP(B89,$3:$3,$4:$4)-LOOKUP($B$24,$3:$3,$4:$4)+100)/100)</f>
        <v>1</v>
      </c>
      <c r="D89" s="630"/>
      <c r="E89" s="621">
        <f t="shared" ref="E89:E152" si="17">(SUMIF($5:$5,D89,$6:$6)-SUMIF($5:$5,$D$24,$6:$6)+100)/100</f>
        <v>1</v>
      </c>
      <c r="F89" s="630"/>
      <c r="G89" s="621">
        <f t="shared" ref="G89:G152" si="18">(SUMIF($7:$7,F89,$8:$8)-SUMIF($7:$7,$F$24,$8:$8)+100)/100</f>
        <v>1</v>
      </c>
      <c r="H89" s="630"/>
      <c r="I89" s="621">
        <f t="shared" ref="I89:I152" si="19">(SUMIF($9:$9,H89,$10:$10)-SUMIF($9:$9,$H$24,$10:$10)+100)/100</f>
        <v>1</v>
      </c>
      <c r="J89" s="630"/>
      <c r="K89" s="621">
        <f t="shared" ref="K89:K152" si="20">(SUMIF($11:$11,J89,$12:$12)-SUMIF($11:$11,$J$24,$12:$12)+100)/100</f>
        <v>1</v>
      </c>
      <c r="L89" s="630" t="str">
        <f>可抵押车位明细清单!K68</f>
        <v>标准车位</v>
      </c>
      <c r="M89" s="621">
        <f t="shared" ref="M89:M152" si="21">(SUMIF($13:$13,L89,$14:$14)-SUMIF($13:$13,$L$24,$14:$14)+100)/100</f>
        <v>1</v>
      </c>
      <c r="N89" s="630"/>
      <c r="O89" s="621">
        <f t="shared" ref="O89:O152" si="22">(SUMIF($15:$15,N89,$16:$16)-SUMIF($15:$15,$N$24,$16:$16)+100)/100</f>
        <v>1</v>
      </c>
      <c r="P89" s="3490" t="str">
        <f>可抵押车位明细清单!L68</f>
        <v>-1层</v>
      </c>
      <c r="Q89" s="621">
        <f t="shared" ref="Q89:Q152" si="23">(SUMIF($17:$17,P89,$18:$18)-SUMIF($17:$17,$P$24,$18:$18)+100)/100</f>
        <v>1</v>
      </c>
      <c r="R89" s="681">
        <f t="shared" ref="R89:R152" ca="1" si="24">IF(B89="",0,ROUND($R$24*C89*E89*G89*I89*K89*M89*O89*Q89,4))</f>
        <v>11.901899999999999</v>
      </c>
      <c r="S89" s="620">
        <f t="shared" ca="1" si="15"/>
        <v>0</v>
      </c>
    </row>
    <row r="90" spans="1:19">
      <c r="A90" s="628" t="str">
        <f>可抵押车位明细清单!D69</f>
        <v>1#地库209</v>
      </c>
      <c r="B90" s="629">
        <f>可抵押车位明细清单!H69</f>
        <v>30.6</v>
      </c>
      <c r="C90" s="621">
        <f t="shared" si="16"/>
        <v>1</v>
      </c>
      <c r="D90" s="630"/>
      <c r="E90" s="621">
        <f t="shared" si="17"/>
        <v>1</v>
      </c>
      <c r="F90" s="630"/>
      <c r="G90" s="621">
        <f t="shared" si="18"/>
        <v>1</v>
      </c>
      <c r="H90" s="630"/>
      <c r="I90" s="621">
        <f t="shared" si="19"/>
        <v>1</v>
      </c>
      <c r="J90" s="630"/>
      <c r="K90" s="621">
        <f t="shared" si="20"/>
        <v>1</v>
      </c>
      <c r="L90" s="630" t="str">
        <f>可抵押车位明细清单!K69</f>
        <v>标准车位</v>
      </c>
      <c r="M90" s="621">
        <f t="shared" si="21"/>
        <v>1</v>
      </c>
      <c r="N90" s="630"/>
      <c r="O90" s="621">
        <f t="shared" si="22"/>
        <v>1</v>
      </c>
      <c r="P90" s="3490" t="str">
        <f>可抵押车位明细清单!L69</f>
        <v>-1层</v>
      </c>
      <c r="Q90" s="621">
        <f t="shared" si="23"/>
        <v>1</v>
      </c>
      <c r="R90" s="681">
        <f t="shared" ca="1" si="24"/>
        <v>11.901899999999999</v>
      </c>
      <c r="S90" s="620">
        <f t="shared" ca="1" si="15"/>
        <v>0</v>
      </c>
    </row>
    <row r="91" spans="1:19">
      <c r="A91" s="628" t="str">
        <f>可抵押车位明细清单!D70</f>
        <v>1#地库210</v>
      </c>
      <c r="B91" s="629">
        <f>可抵押车位明细清单!H70</f>
        <v>30.6</v>
      </c>
      <c r="C91" s="621">
        <f t="shared" si="16"/>
        <v>1</v>
      </c>
      <c r="D91" s="630"/>
      <c r="E91" s="621">
        <f t="shared" si="17"/>
        <v>1</v>
      </c>
      <c r="F91" s="630"/>
      <c r="G91" s="621">
        <f t="shared" si="18"/>
        <v>1</v>
      </c>
      <c r="H91" s="630"/>
      <c r="I91" s="621">
        <f t="shared" si="19"/>
        <v>1</v>
      </c>
      <c r="J91" s="630"/>
      <c r="K91" s="621">
        <f t="shared" si="20"/>
        <v>1</v>
      </c>
      <c r="L91" s="630" t="str">
        <f>可抵押车位明细清单!K70</f>
        <v>标准车位</v>
      </c>
      <c r="M91" s="621">
        <f t="shared" si="21"/>
        <v>1</v>
      </c>
      <c r="N91" s="630"/>
      <c r="O91" s="621">
        <f t="shared" si="22"/>
        <v>1</v>
      </c>
      <c r="P91" s="3490" t="str">
        <f>可抵押车位明细清单!L70</f>
        <v>-1层</v>
      </c>
      <c r="Q91" s="621">
        <f t="shared" si="23"/>
        <v>1</v>
      </c>
      <c r="R91" s="681">
        <f t="shared" ca="1" si="24"/>
        <v>11.901899999999999</v>
      </c>
      <c r="S91" s="620">
        <f t="shared" ca="1" si="15"/>
        <v>0</v>
      </c>
    </row>
    <row r="92" spans="1:19">
      <c r="A92" s="628" t="str">
        <f>可抵押车位明细清单!D71</f>
        <v>1#地库211</v>
      </c>
      <c r="B92" s="629">
        <f>可抵押车位明细清单!H71</f>
        <v>30.6</v>
      </c>
      <c r="C92" s="621">
        <f t="shared" si="16"/>
        <v>1</v>
      </c>
      <c r="D92" s="630"/>
      <c r="E92" s="621">
        <f t="shared" si="17"/>
        <v>1</v>
      </c>
      <c r="F92" s="630"/>
      <c r="G92" s="621">
        <f t="shared" si="18"/>
        <v>1</v>
      </c>
      <c r="H92" s="630"/>
      <c r="I92" s="621">
        <f t="shared" si="19"/>
        <v>1</v>
      </c>
      <c r="J92" s="630"/>
      <c r="K92" s="621">
        <f t="shared" si="20"/>
        <v>1</v>
      </c>
      <c r="L92" s="630" t="str">
        <f>可抵押车位明细清单!K71</f>
        <v>标准车位</v>
      </c>
      <c r="M92" s="621">
        <f t="shared" si="21"/>
        <v>1</v>
      </c>
      <c r="N92" s="630"/>
      <c r="O92" s="621">
        <f t="shared" si="22"/>
        <v>1</v>
      </c>
      <c r="P92" s="3490" t="str">
        <f>可抵押车位明细清单!L71</f>
        <v>-1层</v>
      </c>
      <c r="Q92" s="621">
        <f t="shared" si="23"/>
        <v>1</v>
      </c>
      <c r="R92" s="681">
        <f t="shared" ca="1" si="24"/>
        <v>11.901899999999999</v>
      </c>
      <c r="S92" s="620">
        <f t="shared" ca="1" si="15"/>
        <v>0</v>
      </c>
    </row>
    <row r="93" spans="1:19">
      <c r="A93" s="628" t="str">
        <f>可抵押车位明细清单!D72</f>
        <v>1#地库212</v>
      </c>
      <c r="B93" s="629">
        <f>可抵押车位明细清单!H72</f>
        <v>30.6</v>
      </c>
      <c r="C93" s="621">
        <f t="shared" si="16"/>
        <v>1</v>
      </c>
      <c r="D93" s="630"/>
      <c r="E93" s="621">
        <f t="shared" si="17"/>
        <v>1</v>
      </c>
      <c r="F93" s="630"/>
      <c r="G93" s="621">
        <f t="shared" si="18"/>
        <v>1</v>
      </c>
      <c r="H93" s="630"/>
      <c r="I93" s="621">
        <f t="shared" si="19"/>
        <v>1</v>
      </c>
      <c r="J93" s="630"/>
      <c r="K93" s="621">
        <f t="shared" si="20"/>
        <v>1</v>
      </c>
      <c r="L93" s="630" t="str">
        <f>可抵押车位明细清单!K72</f>
        <v>标准车位</v>
      </c>
      <c r="M93" s="621">
        <f t="shared" si="21"/>
        <v>1</v>
      </c>
      <c r="N93" s="630"/>
      <c r="O93" s="621">
        <f t="shared" si="22"/>
        <v>1</v>
      </c>
      <c r="P93" s="3490" t="str">
        <f>可抵押车位明细清单!L72</f>
        <v>-1层</v>
      </c>
      <c r="Q93" s="621">
        <f t="shared" si="23"/>
        <v>1</v>
      </c>
      <c r="R93" s="681">
        <f t="shared" ca="1" si="24"/>
        <v>11.901899999999999</v>
      </c>
      <c r="S93" s="620">
        <f t="shared" ca="1" si="15"/>
        <v>0</v>
      </c>
    </row>
    <row r="94" spans="1:19">
      <c r="A94" s="628" t="str">
        <f>可抵押车位明细清单!D73</f>
        <v>1#地库213</v>
      </c>
      <c r="B94" s="629">
        <f>可抵押车位明细清单!H73</f>
        <v>30.6</v>
      </c>
      <c r="C94" s="621">
        <f t="shared" si="16"/>
        <v>1</v>
      </c>
      <c r="D94" s="630"/>
      <c r="E94" s="621">
        <f t="shared" si="17"/>
        <v>1</v>
      </c>
      <c r="F94" s="630"/>
      <c r="G94" s="621">
        <f t="shared" si="18"/>
        <v>1</v>
      </c>
      <c r="H94" s="630"/>
      <c r="I94" s="621">
        <f t="shared" si="19"/>
        <v>1</v>
      </c>
      <c r="J94" s="630"/>
      <c r="K94" s="621">
        <f t="shared" si="20"/>
        <v>1</v>
      </c>
      <c r="L94" s="630" t="str">
        <f>可抵押车位明细清单!K73</f>
        <v>标准车位</v>
      </c>
      <c r="M94" s="621">
        <f t="shared" si="21"/>
        <v>1</v>
      </c>
      <c r="N94" s="630"/>
      <c r="O94" s="621">
        <f t="shared" si="22"/>
        <v>1</v>
      </c>
      <c r="P94" s="3490" t="str">
        <f>可抵押车位明细清单!L73</f>
        <v>-1层</v>
      </c>
      <c r="Q94" s="621">
        <f t="shared" si="23"/>
        <v>1</v>
      </c>
      <c r="R94" s="681">
        <f t="shared" ca="1" si="24"/>
        <v>11.901899999999999</v>
      </c>
      <c r="S94" s="620">
        <f t="shared" ca="1" si="15"/>
        <v>0</v>
      </c>
    </row>
    <row r="95" spans="1:19">
      <c r="A95" s="628" t="str">
        <f>可抵押车位明细清单!D74</f>
        <v>1#地库214</v>
      </c>
      <c r="B95" s="629">
        <f>可抵押车位明细清单!H74</f>
        <v>30.6</v>
      </c>
      <c r="C95" s="621">
        <f t="shared" si="16"/>
        <v>1</v>
      </c>
      <c r="D95" s="630"/>
      <c r="E95" s="621">
        <f t="shared" si="17"/>
        <v>1</v>
      </c>
      <c r="F95" s="630"/>
      <c r="G95" s="621">
        <f t="shared" si="18"/>
        <v>1</v>
      </c>
      <c r="H95" s="630"/>
      <c r="I95" s="621">
        <f t="shared" si="19"/>
        <v>1</v>
      </c>
      <c r="J95" s="630"/>
      <c r="K95" s="621">
        <f t="shared" si="20"/>
        <v>1</v>
      </c>
      <c r="L95" s="630" t="str">
        <f>可抵押车位明细清单!K74</f>
        <v>标准车位</v>
      </c>
      <c r="M95" s="621">
        <f t="shared" si="21"/>
        <v>1</v>
      </c>
      <c r="N95" s="630"/>
      <c r="O95" s="621">
        <f t="shared" si="22"/>
        <v>1</v>
      </c>
      <c r="P95" s="3490" t="str">
        <f>可抵押车位明细清单!L74</f>
        <v>-1层</v>
      </c>
      <c r="Q95" s="621">
        <f t="shared" si="23"/>
        <v>1</v>
      </c>
      <c r="R95" s="681">
        <f t="shared" ca="1" si="24"/>
        <v>11.901899999999999</v>
      </c>
      <c r="S95" s="620">
        <f t="shared" ca="1" si="15"/>
        <v>0</v>
      </c>
    </row>
    <row r="96" spans="1:19">
      <c r="A96" s="628" t="str">
        <f>可抵押车位明细清单!D75</f>
        <v>1#地库215</v>
      </c>
      <c r="B96" s="629">
        <f>可抵押车位明细清单!H75</f>
        <v>30.6</v>
      </c>
      <c r="C96" s="621">
        <f t="shared" si="16"/>
        <v>1</v>
      </c>
      <c r="D96" s="630"/>
      <c r="E96" s="621">
        <f t="shared" si="17"/>
        <v>1</v>
      </c>
      <c r="F96" s="630"/>
      <c r="G96" s="621">
        <f t="shared" si="18"/>
        <v>1</v>
      </c>
      <c r="H96" s="630"/>
      <c r="I96" s="621">
        <f t="shared" si="19"/>
        <v>1</v>
      </c>
      <c r="J96" s="630"/>
      <c r="K96" s="621">
        <f t="shared" si="20"/>
        <v>1</v>
      </c>
      <c r="L96" s="630" t="str">
        <f>可抵押车位明细清单!K75</f>
        <v>标准车位</v>
      </c>
      <c r="M96" s="621">
        <f t="shared" si="21"/>
        <v>1</v>
      </c>
      <c r="N96" s="630"/>
      <c r="O96" s="621">
        <f t="shared" si="22"/>
        <v>1</v>
      </c>
      <c r="P96" s="3490" t="str">
        <f>可抵押车位明细清单!L75</f>
        <v>-1层</v>
      </c>
      <c r="Q96" s="621">
        <f t="shared" si="23"/>
        <v>1</v>
      </c>
      <c r="R96" s="681">
        <f t="shared" ca="1" si="24"/>
        <v>11.901899999999999</v>
      </c>
      <c r="S96" s="620">
        <f t="shared" ca="1" si="15"/>
        <v>0</v>
      </c>
    </row>
    <row r="97" spans="1:19">
      <c r="A97" s="628" t="str">
        <f>可抵押车位明细清单!D76</f>
        <v>1#地库216</v>
      </c>
      <c r="B97" s="629">
        <f>可抵押车位明细清单!H76</f>
        <v>30.6</v>
      </c>
      <c r="C97" s="621">
        <f t="shared" si="16"/>
        <v>1</v>
      </c>
      <c r="D97" s="630"/>
      <c r="E97" s="621">
        <f t="shared" si="17"/>
        <v>1</v>
      </c>
      <c r="F97" s="630"/>
      <c r="G97" s="621">
        <f t="shared" si="18"/>
        <v>1</v>
      </c>
      <c r="H97" s="630"/>
      <c r="I97" s="621">
        <f t="shared" si="19"/>
        <v>1</v>
      </c>
      <c r="J97" s="630"/>
      <c r="K97" s="621">
        <f t="shared" si="20"/>
        <v>1</v>
      </c>
      <c r="L97" s="630" t="str">
        <f>可抵押车位明细清单!K76</f>
        <v>标准车位</v>
      </c>
      <c r="M97" s="621">
        <f t="shared" si="21"/>
        <v>1</v>
      </c>
      <c r="N97" s="630"/>
      <c r="O97" s="621">
        <f t="shared" si="22"/>
        <v>1</v>
      </c>
      <c r="P97" s="3490" t="str">
        <f>可抵押车位明细清单!L76</f>
        <v>-1层</v>
      </c>
      <c r="Q97" s="621">
        <f t="shared" si="23"/>
        <v>1</v>
      </c>
      <c r="R97" s="681">
        <f t="shared" ca="1" si="24"/>
        <v>11.901899999999999</v>
      </c>
      <c r="S97" s="620">
        <f t="shared" ca="1" si="15"/>
        <v>0</v>
      </c>
    </row>
    <row r="98" spans="1:19">
      <c r="A98" s="628" t="str">
        <f>可抵押车位明细清单!D77</f>
        <v>1#地库217</v>
      </c>
      <c r="B98" s="629">
        <f>可抵押车位明细清单!H77</f>
        <v>30.6</v>
      </c>
      <c r="C98" s="621">
        <f t="shared" si="16"/>
        <v>1</v>
      </c>
      <c r="D98" s="630"/>
      <c r="E98" s="621">
        <f t="shared" si="17"/>
        <v>1</v>
      </c>
      <c r="F98" s="630"/>
      <c r="G98" s="621">
        <f t="shared" si="18"/>
        <v>1</v>
      </c>
      <c r="H98" s="630"/>
      <c r="I98" s="621">
        <f t="shared" si="19"/>
        <v>1</v>
      </c>
      <c r="J98" s="630"/>
      <c r="K98" s="621">
        <f t="shared" si="20"/>
        <v>1</v>
      </c>
      <c r="L98" s="630" t="str">
        <f>可抵押车位明细清单!K77</f>
        <v>标准车位</v>
      </c>
      <c r="M98" s="621">
        <f t="shared" si="21"/>
        <v>1</v>
      </c>
      <c r="N98" s="630"/>
      <c r="O98" s="621">
        <f t="shared" si="22"/>
        <v>1</v>
      </c>
      <c r="P98" s="3490" t="str">
        <f>可抵押车位明细清单!L77</f>
        <v>-1层</v>
      </c>
      <c r="Q98" s="621">
        <f t="shared" si="23"/>
        <v>1</v>
      </c>
      <c r="R98" s="681">
        <f t="shared" ca="1" si="24"/>
        <v>11.901899999999999</v>
      </c>
      <c r="S98" s="620">
        <f t="shared" ca="1" si="15"/>
        <v>0</v>
      </c>
    </row>
    <row r="99" spans="1:19">
      <c r="A99" s="628" t="str">
        <f>可抵押车位明细清单!D78</f>
        <v>1#地库218</v>
      </c>
      <c r="B99" s="629">
        <f>可抵押车位明细清单!H78</f>
        <v>30.6</v>
      </c>
      <c r="C99" s="621">
        <f t="shared" si="16"/>
        <v>1</v>
      </c>
      <c r="D99" s="630"/>
      <c r="E99" s="621">
        <f t="shared" si="17"/>
        <v>1</v>
      </c>
      <c r="F99" s="630"/>
      <c r="G99" s="621">
        <f t="shared" si="18"/>
        <v>1</v>
      </c>
      <c r="H99" s="630"/>
      <c r="I99" s="621">
        <f t="shared" si="19"/>
        <v>1</v>
      </c>
      <c r="J99" s="630"/>
      <c r="K99" s="621">
        <f t="shared" si="20"/>
        <v>1</v>
      </c>
      <c r="L99" s="630" t="str">
        <f>可抵押车位明细清单!K78</f>
        <v>标准车位</v>
      </c>
      <c r="M99" s="621">
        <f t="shared" si="21"/>
        <v>1</v>
      </c>
      <c r="N99" s="630"/>
      <c r="O99" s="621">
        <f t="shared" si="22"/>
        <v>1</v>
      </c>
      <c r="P99" s="3490" t="str">
        <f>可抵押车位明细清单!L78</f>
        <v>-1层</v>
      </c>
      <c r="Q99" s="621">
        <f t="shared" si="23"/>
        <v>1</v>
      </c>
      <c r="R99" s="681">
        <f t="shared" ca="1" si="24"/>
        <v>11.901899999999999</v>
      </c>
      <c r="S99" s="620">
        <f t="shared" ca="1" si="15"/>
        <v>0</v>
      </c>
    </row>
    <row r="100" spans="1:19">
      <c r="A100" s="628" t="str">
        <f>可抵押车位明细清单!D79</f>
        <v>1#地库219</v>
      </c>
      <c r="B100" s="629">
        <f>可抵押车位明细清单!H79</f>
        <v>30.6</v>
      </c>
      <c r="C100" s="621">
        <f t="shared" si="16"/>
        <v>1</v>
      </c>
      <c r="D100" s="630"/>
      <c r="E100" s="621">
        <f t="shared" si="17"/>
        <v>1</v>
      </c>
      <c r="F100" s="630"/>
      <c r="G100" s="621">
        <f t="shared" si="18"/>
        <v>1</v>
      </c>
      <c r="H100" s="630"/>
      <c r="I100" s="621">
        <f t="shared" si="19"/>
        <v>1</v>
      </c>
      <c r="J100" s="630"/>
      <c r="K100" s="621">
        <f t="shared" si="20"/>
        <v>1</v>
      </c>
      <c r="L100" s="630" t="str">
        <f>可抵押车位明细清单!K79</f>
        <v>标准车位</v>
      </c>
      <c r="M100" s="621">
        <f t="shared" si="21"/>
        <v>1</v>
      </c>
      <c r="N100" s="630"/>
      <c r="O100" s="621">
        <f t="shared" si="22"/>
        <v>1</v>
      </c>
      <c r="P100" s="3490" t="str">
        <f>可抵押车位明细清单!L79</f>
        <v>-1层</v>
      </c>
      <c r="Q100" s="621">
        <f t="shared" si="23"/>
        <v>1</v>
      </c>
      <c r="R100" s="681">
        <f t="shared" ca="1" si="24"/>
        <v>11.901899999999999</v>
      </c>
      <c r="S100" s="620">
        <f t="shared" ca="1" si="15"/>
        <v>0</v>
      </c>
    </row>
    <row r="101" spans="1:19">
      <c r="A101" s="628" t="str">
        <f>可抵押车位明细清单!D80</f>
        <v>1#地库220</v>
      </c>
      <c r="B101" s="629">
        <f>可抵押车位明细清单!H80</f>
        <v>30.6</v>
      </c>
      <c r="C101" s="621">
        <f t="shared" si="16"/>
        <v>1</v>
      </c>
      <c r="D101" s="630"/>
      <c r="E101" s="621">
        <f t="shared" si="17"/>
        <v>1</v>
      </c>
      <c r="F101" s="630"/>
      <c r="G101" s="621">
        <f t="shared" si="18"/>
        <v>1</v>
      </c>
      <c r="H101" s="630"/>
      <c r="I101" s="621">
        <f t="shared" si="19"/>
        <v>1</v>
      </c>
      <c r="J101" s="630"/>
      <c r="K101" s="621">
        <f t="shared" si="20"/>
        <v>1</v>
      </c>
      <c r="L101" s="630" t="str">
        <f>可抵押车位明细清单!K80</f>
        <v>标准车位</v>
      </c>
      <c r="M101" s="621">
        <f t="shared" si="21"/>
        <v>1</v>
      </c>
      <c r="N101" s="630"/>
      <c r="O101" s="621">
        <f t="shared" si="22"/>
        <v>1</v>
      </c>
      <c r="P101" s="3490" t="str">
        <f>可抵押车位明细清单!L80</f>
        <v>-1层</v>
      </c>
      <c r="Q101" s="621">
        <f t="shared" si="23"/>
        <v>1</v>
      </c>
      <c r="R101" s="681">
        <f t="shared" ca="1" si="24"/>
        <v>11.901899999999999</v>
      </c>
      <c r="S101" s="620">
        <f t="shared" ca="1" si="15"/>
        <v>0</v>
      </c>
    </row>
    <row r="102" spans="1:19">
      <c r="A102" s="628" t="str">
        <f>可抵押车位明细清单!D81</f>
        <v>1#地库221</v>
      </c>
      <c r="B102" s="629">
        <f>可抵押车位明细清单!H81</f>
        <v>30.6</v>
      </c>
      <c r="C102" s="621">
        <f t="shared" si="16"/>
        <v>1</v>
      </c>
      <c r="D102" s="630"/>
      <c r="E102" s="621">
        <f t="shared" si="17"/>
        <v>1</v>
      </c>
      <c r="F102" s="630"/>
      <c r="G102" s="621">
        <f t="shared" si="18"/>
        <v>1</v>
      </c>
      <c r="H102" s="630"/>
      <c r="I102" s="621">
        <f t="shared" si="19"/>
        <v>1</v>
      </c>
      <c r="J102" s="630"/>
      <c r="K102" s="621">
        <f t="shared" si="20"/>
        <v>1</v>
      </c>
      <c r="L102" s="630" t="str">
        <f>可抵押车位明细清单!K81</f>
        <v>标准车位</v>
      </c>
      <c r="M102" s="621">
        <f t="shared" si="21"/>
        <v>1</v>
      </c>
      <c r="N102" s="630"/>
      <c r="O102" s="621">
        <f t="shared" si="22"/>
        <v>1</v>
      </c>
      <c r="P102" s="3490" t="str">
        <f>可抵押车位明细清单!L81</f>
        <v>-1层</v>
      </c>
      <c r="Q102" s="621">
        <f t="shared" si="23"/>
        <v>1</v>
      </c>
      <c r="R102" s="681">
        <f t="shared" ca="1" si="24"/>
        <v>11.901899999999999</v>
      </c>
      <c r="S102" s="620">
        <f t="shared" ca="1" si="15"/>
        <v>0</v>
      </c>
    </row>
    <row r="103" spans="1:19">
      <c r="A103" s="628" t="str">
        <f>可抵押车位明细清单!D82</f>
        <v>1#地库222</v>
      </c>
      <c r="B103" s="629">
        <f>可抵押车位明细清单!H82</f>
        <v>30.6</v>
      </c>
      <c r="C103" s="621">
        <f t="shared" si="16"/>
        <v>1</v>
      </c>
      <c r="D103" s="630"/>
      <c r="E103" s="621">
        <f t="shared" si="17"/>
        <v>1</v>
      </c>
      <c r="F103" s="630"/>
      <c r="G103" s="621">
        <f t="shared" si="18"/>
        <v>1</v>
      </c>
      <c r="H103" s="630"/>
      <c r="I103" s="621">
        <f t="shared" si="19"/>
        <v>1</v>
      </c>
      <c r="J103" s="630"/>
      <c r="K103" s="621">
        <f t="shared" si="20"/>
        <v>1</v>
      </c>
      <c r="L103" s="630" t="str">
        <f>可抵押车位明细清单!K82</f>
        <v>标准车位</v>
      </c>
      <c r="M103" s="621">
        <f t="shared" si="21"/>
        <v>1</v>
      </c>
      <c r="N103" s="630"/>
      <c r="O103" s="621">
        <f t="shared" si="22"/>
        <v>1</v>
      </c>
      <c r="P103" s="3490" t="str">
        <f>可抵押车位明细清单!L82</f>
        <v>-1层</v>
      </c>
      <c r="Q103" s="621">
        <f t="shared" si="23"/>
        <v>1</v>
      </c>
      <c r="R103" s="681">
        <f t="shared" ca="1" si="24"/>
        <v>11.901899999999999</v>
      </c>
      <c r="S103" s="620">
        <f t="shared" ca="1" si="15"/>
        <v>0</v>
      </c>
    </row>
    <row r="104" spans="1:19">
      <c r="A104" s="628" t="str">
        <f>可抵押车位明细清单!D83</f>
        <v>1#地库223</v>
      </c>
      <c r="B104" s="629">
        <f>可抵押车位明细清单!H83</f>
        <v>30.6</v>
      </c>
      <c r="C104" s="621">
        <f t="shared" si="16"/>
        <v>1</v>
      </c>
      <c r="D104" s="630"/>
      <c r="E104" s="621">
        <f t="shared" si="17"/>
        <v>1</v>
      </c>
      <c r="F104" s="630"/>
      <c r="G104" s="621">
        <f t="shared" si="18"/>
        <v>1</v>
      </c>
      <c r="H104" s="630"/>
      <c r="I104" s="621">
        <f t="shared" si="19"/>
        <v>1</v>
      </c>
      <c r="J104" s="630"/>
      <c r="K104" s="621">
        <f t="shared" si="20"/>
        <v>1</v>
      </c>
      <c r="L104" s="630" t="str">
        <f>可抵押车位明细清单!K83</f>
        <v>标准车位</v>
      </c>
      <c r="M104" s="621">
        <f t="shared" si="21"/>
        <v>1</v>
      </c>
      <c r="N104" s="630"/>
      <c r="O104" s="621">
        <f t="shared" si="22"/>
        <v>1</v>
      </c>
      <c r="P104" s="3490" t="str">
        <f>可抵押车位明细清单!L83</f>
        <v>-1层</v>
      </c>
      <c r="Q104" s="621">
        <f t="shared" si="23"/>
        <v>1</v>
      </c>
      <c r="R104" s="681">
        <f t="shared" ca="1" si="24"/>
        <v>11.901899999999999</v>
      </c>
      <c r="S104" s="620">
        <f t="shared" ca="1" si="15"/>
        <v>0</v>
      </c>
    </row>
    <row r="105" spans="1:19">
      <c r="A105" s="628" t="str">
        <f>可抵押车位明细清单!D84</f>
        <v>1#地库224</v>
      </c>
      <c r="B105" s="629">
        <f>可抵押车位明细清单!H84</f>
        <v>30.6</v>
      </c>
      <c r="C105" s="621">
        <f t="shared" si="16"/>
        <v>1</v>
      </c>
      <c r="D105" s="630"/>
      <c r="E105" s="621">
        <f t="shared" si="17"/>
        <v>1</v>
      </c>
      <c r="F105" s="630"/>
      <c r="G105" s="621">
        <f t="shared" si="18"/>
        <v>1</v>
      </c>
      <c r="H105" s="630"/>
      <c r="I105" s="621">
        <f t="shared" si="19"/>
        <v>1</v>
      </c>
      <c r="J105" s="630"/>
      <c r="K105" s="621">
        <f t="shared" si="20"/>
        <v>1</v>
      </c>
      <c r="L105" s="630" t="str">
        <f>可抵押车位明细清单!K84</f>
        <v>标准车位</v>
      </c>
      <c r="M105" s="621">
        <f t="shared" si="21"/>
        <v>1</v>
      </c>
      <c r="N105" s="630"/>
      <c r="O105" s="621">
        <f t="shared" si="22"/>
        <v>1</v>
      </c>
      <c r="P105" s="3490" t="str">
        <f>可抵押车位明细清单!L84</f>
        <v>-1层</v>
      </c>
      <c r="Q105" s="621">
        <f t="shared" si="23"/>
        <v>1</v>
      </c>
      <c r="R105" s="681">
        <f t="shared" ca="1" si="24"/>
        <v>11.901899999999999</v>
      </c>
      <c r="S105" s="620">
        <f t="shared" ca="1" si="15"/>
        <v>0</v>
      </c>
    </row>
    <row r="106" spans="1:19">
      <c r="A106" s="628" t="str">
        <f>可抵押车位明细清单!D85</f>
        <v>1#地库225</v>
      </c>
      <c r="B106" s="629">
        <f>可抵押车位明细清单!H85</f>
        <v>30.6</v>
      </c>
      <c r="C106" s="621">
        <f t="shared" si="16"/>
        <v>1</v>
      </c>
      <c r="D106" s="630"/>
      <c r="E106" s="621">
        <f t="shared" si="17"/>
        <v>1</v>
      </c>
      <c r="F106" s="630"/>
      <c r="G106" s="621">
        <f t="shared" si="18"/>
        <v>1</v>
      </c>
      <c r="H106" s="630"/>
      <c r="I106" s="621">
        <f t="shared" si="19"/>
        <v>1</v>
      </c>
      <c r="J106" s="630"/>
      <c r="K106" s="621">
        <f t="shared" si="20"/>
        <v>1</v>
      </c>
      <c r="L106" s="630" t="str">
        <f>可抵押车位明细清单!K85</f>
        <v>标准车位</v>
      </c>
      <c r="M106" s="621">
        <f t="shared" si="21"/>
        <v>1</v>
      </c>
      <c r="N106" s="630"/>
      <c r="O106" s="621">
        <f t="shared" si="22"/>
        <v>1</v>
      </c>
      <c r="P106" s="3490" t="str">
        <f>可抵押车位明细清单!L85</f>
        <v>-1层</v>
      </c>
      <c r="Q106" s="621">
        <f t="shared" si="23"/>
        <v>1</v>
      </c>
      <c r="R106" s="681">
        <f t="shared" ca="1" si="24"/>
        <v>11.901899999999999</v>
      </c>
      <c r="S106" s="620">
        <f t="shared" ca="1" si="15"/>
        <v>0</v>
      </c>
    </row>
    <row r="107" spans="1:19">
      <c r="A107" s="628" t="str">
        <f>可抵押车位明细清单!D86</f>
        <v>1#地库226</v>
      </c>
      <c r="B107" s="629">
        <f>可抵押车位明细清单!H86</f>
        <v>30.6</v>
      </c>
      <c r="C107" s="621">
        <f t="shared" si="16"/>
        <v>1</v>
      </c>
      <c r="D107" s="630"/>
      <c r="E107" s="621">
        <f t="shared" si="17"/>
        <v>1</v>
      </c>
      <c r="F107" s="630"/>
      <c r="G107" s="621">
        <f t="shared" si="18"/>
        <v>1</v>
      </c>
      <c r="H107" s="630"/>
      <c r="I107" s="621">
        <f t="shared" si="19"/>
        <v>1</v>
      </c>
      <c r="J107" s="630"/>
      <c r="K107" s="621">
        <f t="shared" si="20"/>
        <v>1</v>
      </c>
      <c r="L107" s="630" t="str">
        <f>可抵押车位明细清单!K86</f>
        <v>标准车位</v>
      </c>
      <c r="M107" s="621">
        <f t="shared" si="21"/>
        <v>1</v>
      </c>
      <c r="N107" s="630"/>
      <c r="O107" s="621">
        <f t="shared" si="22"/>
        <v>1</v>
      </c>
      <c r="P107" s="3490" t="str">
        <f>可抵押车位明细清单!L86</f>
        <v>-1层</v>
      </c>
      <c r="Q107" s="621">
        <f t="shared" si="23"/>
        <v>1</v>
      </c>
      <c r="R107" s="681">
        <f t="shared" ca="1" si="24"/>
        <v>11.901899999999999</v>
      </c>
      <c r="S107" s="620">
        <f t="shared" ca="1" si="15"/>
        <v>0</v>
      </c>
    </row>
    <row r="108" spans="1:19">
      <c r="A108" s="628" t="str">
        <f>可抵押车位明细清单!D87</f>
        <v>1#地库228</v>
      </c>
      <c r="B108" s="629">
        <f>可抵押车位明细清单!H87</f>
        <v>30.6</v>
      </c>
      <c r="C108" s="621">
        <f t="shared" si="16"/>
        <v>1</v>
      </c>
      <c r="D108" s="630"/>
      <c r="E108" s="621">
        <f t="shared" si="17"/>
        <v>1</v>
      </c>
      <c r="F108" s="630"/>
      <c r="G108" s="621">
        <f t="shared" si="18"/>
        <v>1</v>
      </c>
      <c r="H108" s="630"/>
      <c r="I108" s="621">
        <f t="shared" si="19"/>
        <v>1</v>
      </c>
      <c r="J108" s="630"/>
      <c r="K108" s="621">
        <f t="shared" si="20"/>
        <v>1</v>
      </c>
      <c r="L108" s="630" t="str">
        <f>可抵押车位明细清单!K87</f>
        <v>标准车位</v>
      </c>
      <c r="M108" s="621">
        <f t="shared" si="21"/>
        <v>1</v>
      </c>
      <c r="N108" s="630"/>
      <c r="O108" s="621">
        <f t="shared" si="22"/>
        <v>1</v>
      </c>
      <c r="P108" s="3490" t="str">
        <f>可抵押车位明细清单!L87</f>
        <v>-1层</v>
      </c>
      <c r="Q108" s="621">
        <f t="shared" si="23"/>
        <v>1</v>
      </c>
      <c r="R108" s="681">
        <f t="shared" ca="1" si="24"/>
        <v>11.901899999999999</v>
      </c>
      <c r="S108" s="620">
        <f t="shared" ca="1" si="15"/>
        <v>0</v>
      </c>
    </row>
    <row r="109" spans="1:19">
      <c r="A109" s="628" t="str">
        <f>可抵押车位明细清单!D88</f>
        <v>1#地库234</v>
      </c>
      <c r="B109" s="629">
        <f>可抵押车位明细清单!H88</f>
        <v>30.6</v>
      </c>
      <c r="C109" s="621">
        <f t="shared" si="16"/>
        <v>1</v>
      </c>
      <c r="D109" s="630"/>
      <c r="E109" s="621">
        <f t="shared" si="17"/>
        <v>1</v>
      </c>
      <c r="F109" s="630"/>
      <c r="G109" s="621">
        <f t="shared" si="18"/>
        <v>1</v>
      </c>
      <c r="H109" s="630"/>
      <c r="I109" s="621">
        <f t="shared" si="19"/>
        <v>1</v>
      </c>
      <c r="J109" s="630"/>
      <c r="K109" s="621">
        <f t="shared" si="20"/>
        <v>1</v>
      </c>
      <c r="L109" s="630" t="str">
        <f>可抵押车位明细清单!K88</f>
        <v>标准车位</v>
      </c>
      <c r="M109" s="621">
        <f t="shared" si="21"/>
        <v>1</v>
      </c>
      <c r="N109" s="630"/>
      <c r="O109" s="621">
        <f t="shared" si="22"/>
        <v>1</v>
      </c>
      <c r="P109" s="3490" t="str">
        <f>可抵押车位明细清单!L88</f>
        <v>-1层</v>
      </c>
      <c r="Q109" s="621">
        <f t="shared" si="23"/>
        <v>1</v>
      </c>
      <c r="R109" s="681">
        <f t="shared" ca="1" si="24"/>
        <v>11.901899999999999</v>
      </c>
      <c r="S109" s="620">
        <f t="shared" ca="1" si="15"/>
        <v>0</v>
      </c>
    </row>
    <row r="110" spans="1:19">
      <c r="A110" s="628" t="str">
        <f>可抵押车位明细清单!D89</f>
        <v>1#地库243</v>
      </c>
      <c r="B110" s="629">
        <f>可抵押车位明细清单!H89</f>
        <v>30.6</v>
      </c>
      <c r="C110" s="621">
        <f t="shared" si="16"/>
        <v>1</v>
      </c>
      <c r="D110" s="630"/>
      <c r="E110" s="621">
        <f t="shared" si="17"/>
        <v>1</v>
      </c>
      <c r="F110" s="630"/>
      <c r="G110" s="621">
        <f t="shared" si="18"/>
        <v>1</v>
      </c>
      <c r="H110" s="630"/>
      <c r="I110" s="621">
        <f t="shared" si="19"/>
        <v>1</v>
      </c>
      <c r="J110" s="630"/>
      <c r="K110" s="621">
        <f t="shared" si="20"/>
        <v>1</v>
      </c>
      <c r="L110" s="630" t="str">
        <f>可抵押车位明细清单!K89</f>
        <v>标准车位</v>
      </c>
      <c r="M110" s="621">
        <f t="shared" si="21"/>
        <v>1</v>
      </c>
      <c r="N110" s="630"/>
      <c r="O110" s="621">
        <f t="shared" si="22"/>
        <v>1</v>
      </c>
      <c r="P110" s="3490" t="str">
        <f>可抵押车位明细清单!L89</f>
        <v>-1层</v>
      </c>
      <c r="Q110" s="621">
        <f t="shared" si="23"/>
        <v>1</v>
      </c>
      <c r="R110" s="681">
        <f t="shared" ca="1" si="24"/>
        <v>11.901899999999999</v>
      </c>
      <c r="S110" s="620">
        <f t="shared" ca="1" si="15"/>
        <v>0</v>
      </c>
    </row>
    <row r="111" spans="1:19">
      <c r="A111" s="628" t="str">
        <f>可抵押车位明细清单!D90</f>
        <v>1#地库244</v>
      </c>
      <c r="B111" s="629">
        <f>可抵押车位明细清单!H90</f>
        <v>30.6</v>
      </c>
      <c r="C111" s="621">
        <f t="shared" si="16"/>
        <v>1</v>
      </c>
      <c r="D111" s="630"/>
      <c r="E111" s="621">
        <f t="shared" si="17"/>
        <v>1</v>
      </c>
      <c r="F111" s="630"/>
      <c r="G111" s="621">
        <f t="shared" si="18"/>
        <v>1</v>
      </c>
      <c r="H111" s="630"/>
      <c r="I111" s="621">
        <f t="shared" si="19"/>
        <v>1</v>
      </c>
      <c r="J111" s="630"/>
      <c r="K111" s="621">
        <f t="shared" si="20"/>
        <v>1</v>
      </c>
      <c r="L111" s="630" t="str">
        <f>可抵押车位明细清单!K90</f>
        <v>标准车位</v>
      </c>
      <c r="M111" s="621">
        <f t="shared" si="21"/>
        <v>1</v>
      </c>
      <c r="N111" s="630"/>
      <c r="O111" s="621">
        <f t="shared" si="22"/>
        <v>1</v>
      </c>
      <c r="P111" s="3490" t="str">
        <f>可抵押车位明细清单!L90</f>
        <v>-1层</v>
      </c>
      <c r="Q111" s="621">
        <f t="shared" si="23"/>
        <v>1</v>
      </c>
      <c r="R111" s="681">
        <f t="shared" ca="1" si="24"/>
        <v>11.901899999999999</v>
      </c>
      <c r="S111" s="620">
        <f t="shared" ca="1" si="15"/>
        <v>0</v>
      </c>
    </row>
    <row r="112" spans="1:19">
      <c r="A112" s="628" t="str">
        <f>可抵押车位明细清单!D91</f>
        <v>1#地库245</v>
      </c>
      <c r="B112" s="629">
        <f>可抵押车位明细清单!H91</f>
        <v>30.6</v>
      </c>
      <c r="C112" s="621">
        <f t="shared" si="16"/>
        <v>1</v>
      </c>
      <c r="D112" s="630"/>
      <c r="E112" s="621">
        <f t="shared" si="17"/>
        <v>1</v>
      </c>
      <c r="F112" s="630"/>
      <c r="G112" s="621">
        <f t="shared" si="18"/>
        <v>1</v>
      </c>
      <c r="H112" s="630"/>
      <c r="I112" s="621">
        <f t="shared" si="19"/>
        <v>1</v>
      </c>
      <c r="J112" s="630"/>
      <c r="K112" s="621">
        <f t="shared" si="20"/>
        <v>1</v>
      </c>
      <c r="L112" s="630" t="str">
        <f>可抵押车位明细清单!K91</f>
        <v>标准车位</v>
      </c>
      <c r="M112" s="621">
        <f t="shared" si="21"/>
        <v>1</v>
      </c>
      <c r="N112" s="630"/>
      <c r="O112" s="621">
        <f t="shared" si="22"/>
        <v>1</v>
      </c>
      <c r="P112" s="3490" t="str">
        <f>可抵押车位明细清单!L91</f>
        <v>-1层</v>
      </c>
      <c r="Q112" s="621">
        <f t="shared" si="23"/>
        <v>1</v>
      </c>
      <c r="R112" s="681">
        <f t="shared" ca="1" si="24"/>
        <v>11.901899999999999</v>
      </c>
      <c r="S112" s="620">
        <f t="shared" ca="1" si="15"/>
        <v>0</v>
      </c>
    </row>
    <row r="113" spans="1:19">
      <c r="A113" s="628" t="str">
        <f>可抵押车位明细清单!D92</f>
        <v>1#地库247</v>
      </c>
      <c r="B113" s="629">
        <f>可抵押车位明细清单!H92</f>
        <v>30.6</v>
      </c>
      <c r="C113" s="621">
        <f t="shared" si="16"/>
        <v>1</v>
      </c>
      <c r="D113" s="630"/>
      <c r="E113" s="621">
        <f t="shared" si="17"/>
        <v>1</v>
      </c>
      <c r="F113" s="630"/>
      <c r="G113" s="621">
        <f t="shared" si="18"/>
        <v>1</v>
      </c>
      <c r="H113" s="630"/>
      <c r="I113" s="621">
        <f t="shared" si="19"/>
        <v>1</v>
      </c>
      <c r="J113" s="630"/>
      <c r="K113" s="621">
        <f t="shared" si="20"/>
        <v>1</v>
      </c>
      <c r="L113" s="630" t="str">
        <f>可抵押车位明细清单!K92</f>
        <v>标准车位</v>
      </c>
      <c r="M113" s="621">
        <f t="shared" si="21"/>
        <v>1</v>
      </c>
      <c r="N113" s="630"/>
      <c r="O113" s="621">
        <f t="shared" si="22"/>
        <v>1</v>
      </c>
      <c r="P113" s="3490" t="str">
        <f>可抵押车位明细清单!L92</f>
        <v>-1层</v>
      </c>
      <c r="Q113" s="621">
        <f t="shared" si="23"/>
        <v>1</v>
      </c>
      <c r="R113" s="681">
        <f t="shared" ca="1" si="24"/>
        <v>11.901899999999999</v>
      </c>
      <c r="S113" s="620">
        <f t="shared" ca="1" si="15"/>
        <v>0</v>
      </c>
    </row>
    <row r="114" spans="1:19">
      <c r="A114" s="628" t="str">
        <f>可抵押车位明细清单!D93</f>
        <v>1#地库248</v>
      </c>
      <c r="B114" s="629">
        <f>可抵押车位明细清单!H93</f>
        <v>30.6</v>
      </c>
      <c r="C114" s="621">
        <f t="shared" si="16"/>
        <v>1</v>
      </c>
      <c r="D114" s="630"/>
      <c r="E114" s="621">
        <f t="shared" si="17"/>
        <v>1</v>
      </c>
      <c r="F114" s="630"/>
      <c r="G114" s="621">
        <f t="shared" si="18"/>
        <v>1</v>
      </c>
      <c r="H114" s="630"/>
      <c r="I114" s="621">
        <f t="shared" si="19"/>
        <v>1</v>
      </c>
      <c r="J114" s="630"/>
      <c r="K114" s="621">
        <f t="shared" si="20"/>
        <v>1</v>
      </c>
      <c r="L114" s="630" t="str">
        <f>可抵押车位明细清单!K93</f>
        <v>标准车位</v>
      </c>
      <c r="M114" s="621">
        <f t="shared" si="21"/>
        <v>1</v>
      </c>
      <c r="N114" s="630"/>
      <c r="O114" s="621">
        <f t="shared" si="22"/>
        <v>1</v>
      </c>
      <c r="P114" s="3490" t="str">
        <f>可抵押车位明细清单!L93</f>
        <v>-1层</v>
      </c>
      <c r="Q114" s="621">
        <f t="shared" si="23"/>
        <v>1</v>
      </c>
      <c r="R114" s="681">
        <f t="shared" ca="1" si="24"/>
        <v>11.901899999999999</v>
      </c>
      <c r="S114" s="620">
        <f t="shared" ca="1" si="15"/>
        <v>0</v>
      </c>
    </row>
    <row r="115" spans="1:19">
      <c r="A115" s="628" t="str">
        <f>可抵押车位明细清单!D94</f>
        <v>1#地库249</v>
      </c>
      <c r="B115" s="629">
        <f>可抵押车位明细清单!H94</f>
        <v>30.6</v>
      </c>
      <c r="C115" s="621">
        <f t="shared" si="16"/>
        <v>1</v>
      </c>
      <c r="D115" s="630"/>
      <c r="E115" s="621">
        <f t="shared" si="17"/>
        <v>1</v>
      </c>
      <c r="F115" s="630"/>
      <c r="G115" s="621">
        <f t="shared" si="18"/>
        <v>1</v>
      </c>
      <c r="H115" s="630"/>
      <c r="I115" s="621">
        <f t="shared" si="19"/>
        <v>1</v>
      </c>
      <c r="J115" s="630"/>
      <c r="K115" s="621">
        <f t="shared" si="20"/>
        <v>1</v>
      </c>
      <c r="L115" s="630" t="str">
        <f>可抵押车位明细清单!K94</f>
        <v>标准车位</v>
      </c>
      <c r="M115" s="621">
        <f t="shared" si="21"/>
        <v>1</v>
      </c>
      <c r="N115" s="630"/>
      <c r="O115" s="621">
        <f t="shared" si="22"/>
        <v>1</v>
      </c>
      <c r="P115" s="3490" t="str">
        <f>可抵押车位明细清单!L94</f>
        <v>-1层</v>
      </c>
      <c r="Q115" s="621">
        <f t="shared" si="23"/>
        <v>1</v>
      </c>
      <c r="R115" s="681">
        <f t="shared" ca="1" si="24"/>
        <v>11.901899999999999</v>
      </c>
      <c r="S115" s="620">
        <f t="shared" ca="1" si="15"/>
        <v>0</v>
      </c>
    </row>
    <row r="116" spans="1:19">
      <c r="A116" s="628" t="str">
        <f>可抵押车位明细清单!D95</f>
        <v>1#地库250</v>
      </c>
      <c r="B116" s="629">
        <f>可抵押车位明细清单!H95</f>
        <v>30.6</v>
      </c>
      <c r="C116" s="621">
        <f t="shared" si="16"/>
        <v>1</v>
      </c>
      <c r="D116" s="630"/>
      <c r="E116" s="621">
        <f t="shared" si="17"/>
        <v>1</v>
      </c>
      <c r="F116" s="630"/>
      <c r="G116" s="621">
        <f t="shared" si="18"/>
        <v>1</v>
      </c>
      <c r="H116" s="630"/>
      <c r="I116" s="621">
        <f t="shared" si="19"/>
        <v>1</v>
      </c>
      <c r="J116" s="630"/>
      <c r="K116" s="621">
        <f t="shared" si="20"/>
        <v>1</v>
      </c>
      <c r="L116" s="630" t="str">
        <f>可抵押车位明细清单!K95</f>
        <v>标准车位</v>
      </c>
      <c r="M116" s="621">
        <f t="shared" si="21"/>
        <v>1</v>
      </c>
      <c r="N116" s="630"/>
      <c r="O116" s="621">
        <f t="shared" si="22"/>
        <v>1</v>
      </c>
      <c r="P116" s="3490" t="str">
        <f>可抵押车位明细清单!L95</f>
        <v>-1层</v>
      </c>
      <c r="Q116" s="621">
        <f t="shared" si="23"/>
        <v>1</v>
      </c>
      <c r="R116" s="681">
        <f t="shared" ca="1" si="24"/>
        <v>11.901899999999999</v>
      </c>
      <c r="S116" s="620">
        <f t="shared" ca="1" si="15"/>
        <v>0</v>
      </c>
    </row>
    <row r="117" spans="1:19">
      <c r="A117" s="628" t="str">
        <f>可抵押车位明细清单!D96</f>
        <v>1#地库252</v>
      </c>
      <c r="B117" s="629">
        <f>可抵押车位明细清单!H96</f>
        <v>30.6</v>
      </c>
      <c r="C117" s="621">
        <f t="shared" si="16"/>
        <v>1</v>
      </c>
      <c r="D117" s="630"/>
      <c r="E117" s="621">
        <f t="shared" si="17"/>
        <v>1</v>
      </c>
      <c r="F117" s="630"/>
      <c r="G117" s="621">
        <f t="shared" si="18"/>
        <v>1</v>
      </c>
      <c r="H117" s="630"/>
      <c r="I117" s="621">
        <f t="shared" si="19"/>
        <v>1</v>
      </c>
      <c r="J117" s="630"/>
      <c r="K117" s="621">
        <f t="shared" si="20"/>
        <v>1</v>
      </c>
      <c r="L117" s="630" t="str">
        <f>可抵押车位明细清单!K96</f>
        <v>标准车位</v>
      </c>
      <c r="M117" s="621">
        <f t="shared" si="21"/>
        <v>1</v>
      </c>
      <c r="N117" s="630"/>
      <c r="O117" s="621">
        <f t="shared" si="22"/>
        <v>1</v>
      </c>
      <c r="P117" s="3490" t="str">
        <f>可抵押车位明细清单!L96</f>
        <v>-1层</v>
      </c>
      <c r="Q117" s="621">
        <f t="shared" si="23"/>
        <v>1</v>
      </c>
      <c r="R117" s="681">
        <f t="shared" ca="1" si="24"/>
        <v>11.901899999999999</v>
      </c>
      <c r="S117" s="620">
        <f t="shared" ca="1" si="15"/>
        <v>0</v>
      </c>
    </row>
    <row r="118" spans="1:19">
      <c r="A118" s="628" t="str">
        <f>可抵押车位明细清单!D97</f>
        <v>1#地库253</v>
      </c>
      <c r="B118" s="629">
        <f>可抵押车位明细清单!H97</f>
        <v>30.6</v>
      </c>
      <c r="C118" s="621">
        <f t="shared" si="16"/>
        <v>1</v>
      </c>
      <c r="D118" s="630"/>
      <c r="E118" s="621">
        <f t="shared" si="17"/>
        <v>1</v>
      </c>
      <c r="F118" s="630"/>
      <c r="G118" s="621">
        <f t="shared" si="18"/>
        <v>1</v>
      </c>
      <c r="H118" s="630"/>
      <c r="I118" s="621">
        <f t="shared" si="19"/>
        <v>1</v>
      </c>
      <c r="J118" s="630"/>
      <c r="K118" s="621">
        <f t="shared" si="20"/>
        <v>1</v>
      </c>
      <c r="L118" s="630" t="str">
        <f>可抵押车位明细清单!K97</f>
        <v>标准车位</v>
      </c>
      <c r="M118" s="621">
        <f t="shared" si="21"/>
        <v>1</v>
      </c>
      <c r="N118" s="630"/>
      <c r="O118" s="621">
        <f t="shared" si="22"/>
        <v>1</v>
      </c>
      <c r="P118" s="3490" t="str">
        <f>可抵押车位明细清单!L97</f>
        <v>-1层</v>
      </c>
      <c r="Q118" s="621">
        <f t="shared" si="23"/>
        <v>1</v>
      </c>
      <c r="R118" s="681">
        <f t="shared" ca="1" si="24"/>
        <v>11.901899999999999</v>
      </c>
      <c r="S118" s="620">
        <f t="shared" ca="1" si="15"/>
        <v>0</v>
      </c>
    </row>
    <row r="119" spans="1:19">
      <c r="A119" s="628" t="str">
        <f>可抵押车位明细清单!D98</f>
        <v>1#地库254</v>
      </c>
      <c r="B119" s="629">
        <f>可抵押车位明细清单!H98</f>
        <v>30.6</v>
      </c>
      <c r="C119" s="621">
        <f t="shared" si="16"/>
        <v>1</v>
      </c>
      <c r="D119" s="630"/>
      <c r="E119" s="621">
        <f t="shared" si="17"/>
        <v>1</v>
      </c>
      <c r="F119" s="630"/>
      <c r="G119" s="621">
        <f t="shared" si="18"/>
        <v>1</v>
      </c>
      <c r="H119" s="630"/>
      <c r="I119" s="621">
        <f t="shared" si="19"/>
        <v>1</v>
      </c>
      <c r="J119" s="630"/>
      <c r="K119" s="621">
        <f t="shared" si="20"/>
        <v>1</v>
      </c>
      <c r="L119" s="630" t="str">
        <f>可抵押车位明细清单!K98</f>
        <v>标准车位</v>
      </c>
      <c r="M119" s="621">
        <f t="shared" si="21"/>
        <v>1</v>
      </c>
      <c r="N119" s="630"/>
      <c r="O119" s="621">
        <f t="shared" si="22"/>
        <v>1</v>
      </c>
      <c r="P119" s="3490" t="str">
        <f>可抵押车位明细清单!L98</f>
        <v>-1层</v>
      </c>
      <c r="Q119" s="621">
        <f t="shared" si="23"/>
        <v>1</v>
      </c>
      <c r="R119" s="681">
        <f t="shared" ca="1" si="24"/>
        <v>11.901899999999999</v>
      </c>
      <c r="S119" s="620">
        <f t="shared" ca="1" si="15"/>
        <v>0</v>
      </c>
    </row>
    <row r="120" spans="1:19">
      <c r="A120" s="628" t="str">
        <f>可抵押车位明细清单!D99</f>
        <v>1#地库255</v>
      </c>
      <c r="B120" s="629">
        <f>可抵押车位明细清单!H99</f>
        <v>30.6</v>
      </c>
      <c r="C120" s="621">
        <f t="shared" si="16"/>
        <v>1</v>
      </c>
      <c r="D120" s="630"/>
      <c r="E120" s="621">
        <f t="shared" si="17"/>
        <v>1</v>
      </c>
      <c r="F120" s="630"/>
      <c r="G120" s="621">
        <f t="shared" si="18"/>
        <v>1</v>
      </c>
      <c r="H120" s="630"/>
      <c r="I120" s="621">
        <f t="shared" si="19"/>
        <v>1</v>
      </c>
      <c r="J120" s="630"/>
      <c r="K120" s="621">
        <f t="shared" si="20"/>
        <v>1</v>
      </c>
      <c r="L120" s="630" t="str">
        <f>可抵押车位明细清单!K99</f>
        <v>标准车位</v>
      </c>
      <c r="M120" s="621">
        <f t="shared" si="21"/>
        <v>1</v>
      </c>
      <c r="N120" s="630"/>
      <c r="O120" s="621">
        <f t="shared" si="22"/>
        <v>1</v>
      </c>
      <c r="P120" s="3490" t="str">
        <f>可抵押车位明细清单!L99</f>
        <v>-1层</v>
      </c>
      <c r="Q120" s="621">
        <f t="shared" si="23"/>
        <v>1</v>
      </c>
      <c r="R120" s="681">
        <f t="shared" ca="1" si="24"/>
        <v>11.901899999999999</v>
      </c>
      <c r="S120" s="620">
        <f t="shared" ca="1" si="15"/>
        <v>0</v>
      </c>
    </row>
    <row r="121" spans="1:19">
      <c r="A121" s="628" t="str">
        <f>可抵押车位明细清单!D100</f>
        <v>1#地库256</v>
      </c>
      <c r="B121" s="629">
        <f>可抵押车位明细清单!H100</f>
        <v>30.6</v>
      </c>
      <c r="C121" s="621">
        <f t="shared" si="16"/>
        <v>1</v>
      </c>
      <c r="D121" s="630"/>
      <c r="E121" s="621">
        <f t="shared" si="17"/>
        <v>1</v>
      </c>
      <c r="F121" s="630"/>
      <c r="G121" s="621">
        <f t="shared" si="18"/>
        <v>1</v>
      </c>
      <c r="H121" s="630"/>
      <c r="I121" s="621">
        <f t="shared" si="19"/>
        <v>1</v>
      </c>
      <c r="J121" s="630"/>
      <c r="K121" s="621">
        <f t="shared" si="20"/>
        <v>1</v>
      </c>
      <c r="L121" s="630" t="str">
        <f>可抵押车位明细清单!K100</f>
        <v>标准车位</v>
      </c>
      <c r="M121" s="621">
        <f t="shared" si="21"/>
        <v>1</v>
      </c>
      <c r="N121" s="630"/>
      <c r="O121" s="621">
        <f t="shared" si="22"/>
        <v>1</v>
      </c>
      <c r="P121" s="3490" t="str">
        <f>可抵押车位明细清单!L100</f>
        <v>-1层</v>
      </c>
      <c r="Q121" s="621">
        <f t="shared" si="23"/>
        <v>1</v>
      </c>
      <c r="R121" s="681">
        <f t="shared" ca="1" si="24"/>
        <v>11.901899999999999</v>
      </c>
      <c r="S121" s="620">
        <f t="shared" ca="1" si="15"/>
        <v>0</v>
      </c>
    </row>
    <row r="122" spans="1:19">
      <c r="A122" s="628" t="str">
        <f>可抵押车位明细清单!D101</f>
        <v>1#地库257</v>
      </c>
      <c r="B122" s="629">
        <f>可抵押车位明细清单!H101</f>
        <v>30.6</v>
      </c>
      <c r="C122" s="621">
        <f t="shared" si="16"/>
        <v>1</v>
      </c>
      <c r="D122" s="630"/>
      <c r="E122" s="621">
        <f t="shared" si="17"/>
        <v>1</v>
      </c>
      <c r="F122" s="630"/>
      <c r="G122" s="621">
        <f t="shared" si="18"/>
        <v>1</v>
      </c>
      <c r="H122" s="630"/>
      <c r="I122" s="621">
        <f t="shared" si="19"/>
        <v>1</v>
      </c>
      <c r="J122" s="630"/>
      <c r="K122" s="621">
        <f t="shared" si="20"/>
        <v>1</v>
      </c>
      <c r="L122" s="630" t="str">
        <f>可抵押车位明细清单!K101</f>
        <v>标准车位</v>
      </c>
      <c r="M122" s="621">
        <f t="shared" si="21"/>
        <v>1</v>
      </c>
      <c r="N122" s="630"/>
      <c r="O122" s="621">
        <f t="shared" si="22"/>
        <v>1</v>
      </c>
      <c r="P122" s="3490" t="str">
        <f>可抵押车位明细清单!L101</f>
        <v>-1层</v>
      </c>
      <c r="Q122" s="621">
        <f t="shared" si="23"/>
        <v>1</v>
      </c>
      <c r="R122" s="681">
        <f t="shared" ca="1" si="24"/>
        <v>11.901899999999999</v>
      </c>
      <c r="S122" s="620">
        <f t="shared" ca="1" si="15"/>
        <v>0</v>
      </c>
    </row>
    <row r="123" spans="1:19">
      <c r="A123" s="628" t="str">
        <f>可抵押车位明细清单!D102</f>
        <v>1#地库258</v>
      </c>
      <c r="B123" s="629">
        <f>可抵押车位明细清单!H102</f>
        <v>30.6</v>
      </c>
      <c r="C123" s="621">
        <f t="shared" si="16"/>
        <v>1</v>
      </c>
      <c r="D123" s="630"/>
      <c r="E123" s="621">
        <f t="shared" si="17"/>
        <v>1</v>
      </c>
      <c r="F123" s="630"/>
      <c r="G123" s="621">
        <f t="shared" si="18"/>
        <v>1</v>
      </c>
      <c r="H123" s="630"/>
      <c r="I123" s="621">
        <f t="shared" si="19"/>
        <v>1</v>
      </c>
      <c r="J123" s="630"/>
      <c r="K123" s="621">
        <f t="shared" si="20"/>
        <v>1</v>
      </c>
      <c r="L123" s="630" t="str">
        <f>可抵押车位明细清单!K102</f>
        <v>标准车位</v>
      </c>
      <c r="M123" s="621">
        <f t="shared" si="21"/>
        <v>1</v>
      </c>
      <c r="N123" s="630"/>
      <c r="O123" s="621">
        <f t="shared" si="22"/>
        <v>1</v>
      </c>
      <c r="P123" s="3490" t="str">
        <f>可抵押车位明细清单!L102</f>
        <v>-1层</v>
      </c>
      <c r="Q123" s="621">
        <f t="shared" si="23"/>
        <v>1</v>
      </c>
      <c r="R123" s="681">
        <f t="shared" ca="1" si="24"/>
        <v>11.901899999999999</v>
      </c>
      <c r="S123" s="620">
        <f t="shared" ca="1" si="15"/>
        <v>0</v>
      </c>
    </row>
    <row r="124" spans="1:19">
      <c r="A124" s="628" t="str">
        <f>可抵押车位明细清单!D103</f>
        <v>1#地库259</v>
      </c>
      <c r="B124" s="629">
        <f>可抵押车位明细清单!H103</f>
        <v>30.6</v>
      </c>
      <c r="C124" s="621">
        <f t="shared" si="16"/>
        <v>1</v>
      </c>
      <c r="D124" s="630"/>
      <c r="E124" s="621">
        <f t="shared" si="17"/>
        <v>1</v>
      </c>
      <c r="F124" s="630"/>
      <c r="G124" s="621">
        <f t="shared" si="18"/>
        <v>1</v>
      </c>
      <c r="H124" s="630"/>
      <c r="I124" s="621">
        <f t="shared" si="19"/>
        <v>1</v>
      </c>
      <c r="J124" s="630"/>
      <c r="K124" s="621">
        <f t="shared" si="20"/>
        <v>1</v>
      </c>
      <c r="L124" s="630" t="str">
        <f>可抵押车位明细清单!K103</f>
        <v>标准车位</v>
      </c>
      <c r="M124" s="621">
        <f t="shared" si="21"/>
        <v>1</v>
      </c>
      <c r="N124" s="630"/>
      <c r="O124" s="621">
        <f t="shared" si="22"/>
        <v>1</v>
      </c>
      <c r="P124" s="3490" t="str">
        <f>可抵押车位明细清单!L103</f>
        <v>-1层</v>
      </c>
      <c r="Q124" s="621">
        <f t="shared" si="23"/>
        <v>1</v>
      </c>
      <c r="R124" s="681">
        <f t="shared" ca="1" si="24"/>
        <v>11.901899999999999</v>
      </c>
      <c r="S124" s="620">
        <f t="shared" ca="1" si="15"/>
        <v>0</v>
      </c>
    </row>
    <row r="125" spans="1:19">
      <c r="A125" s="628" t="str">
        <f>可抵押车位明细清单!D104</f>
        <v>1#地库262</v>
      </c>
      <c r="B125" s="629">
        <f>可抵押车位明细清单!H104</f>
        <v>30.6</v>
      </c>
      <c r="C125" s="621">
        <f t="shared" si="16"/>
        <v>1</v>
      </c>
      <c r="D125" s="630"/>
      <c r="E125" s="621">
        <f t="shared" si="17"/>
        <v>1</v>
      </c>
      <c r="F125" s="630"/>
      <c r="G125" s="621">
        <f t="shared" si="18"/>
        <v>1</v>
      </c>
      <c r="H125" s="630"/>
      <c r="I125" s="621">
        <f t="shared" si="19"/>
        <v>1</v>
      </c>
      <c r="J125" s="630"/>
      <c r="K125" s="621">
        <f t="shared" si="20"/>
        <v>1</v>
      </c>
      <c r="L125" s="630" t="str">
        <f>可抵押车位明细清单!K104</f>
        <v>标准车位</v>
      </c>
      <c r="M125" s="621">
        <f t="shared" si="21"/>
        <v>1</v>
      </c>
      <c r="N125" s="630"/>
      <c r="O125" s="621">
        <f t="shared" si="22"/>
        <v>1</v>
      </c>
      <c r="P125" s="3490" t="str">
        <f>可抵押车位明细清单!L104</f>
        <v>-1层</v>
      </c>
      <c r="Q125" s="621">
        <f t="shared" si="23"/>
        <v>1</v>
      </c>
      <c r="R125" s="681">
        <f t="shared" ca="1" si="24"/>
        <v>11.901899999999999</v>
      </c>
      <c r="S125" s="620">
        <f t="shared" ca="1" si="15"/>
        <v>0</v>
      </c>
    </row>
    <row r="126" spans="1:19">
      <c r="A126" s="628" t="str">
        <f>可抵押车位明细清单!D105</f>
        <v>1#地库264</v>
      </c>
      <c r="B126" s="629">
        <f>可抵押车位明细清单!H105</f>
        <v>30.6</v>
      </c>
      <c r="C126" s="621">
        <f t="shared" si="16"/>
        <v>1</v>
      </c>
      <c r="D126" s="630"/>
      <c r="E126" s="621">
        <f t="shared" si="17"/>
        <v>1</v>
      </c>
      <c r="F126" s="630"/>
      <c r="G126" s="621">
        <f t="shared" si="18"/>
        <v>1</v>
      </c>
      <c r="H126" s="630"/>
      <c r="I126" s="621">
        <f t="shared" si="19"/>
        <v>1</v>
      </c>
      <c r="J126" s="630"/>
      <c r="K126" s="621">
        <f t="shared" si="20"/>
        <v>1</v>
      </c>
      <c r="L126" s="630" t="str">
        <f>可抵押车位明细清单!K105</f>
        <v>标准车位</v>
      </c>
      <c r="M126" s="621">
        <f t="shared" si="21"/>
        <v>1</v>
      </c>
      <c r="N126" s="630"/>
      <c r="O126" s="621">
        <f t="shared" si="22"/>
        <v>1</v>
      </c>
      <c r="P126" s="3490" t="str">
        <f>可抵押车位明细清单!L105</f>
        <v>-1层</v>
      </c>
      <c r="Q126" s="621">
        <f t="shared" si="23"/>
        <v>1</v>
      </c>
      <c r="R126" s="681">
        <f t="shared" ca="1" si="24"/>
        <v>11.901899999999999</v>
      </c>
      <c r="S126" s="620">
        <f t="shared" ca="1" si="15"/>
        <v>0</v>
      </c>
    </row>
    <row r="127" spans="1:19">
      <c r="A127" s="628" t="str">
        <f>可抵押车位明细清单!D106</f>
        <v>1#地库265</v>
      </c>
      <c r="B127" s="629">
        <f>可抵押车位明细清单!H106</f>
        <v>30.6</v>
      </c>
      <c r="C127" s="621">
        <f t="shared" si="16"/>
        <v>1</v>
      </c>
      <c r="D127" s="630"/>
      <c r="E127" s="621">
        <f t="shared" si="17"/>
        <v>1</v>
      </c>
      <c r="F127" s="630"/>
      <c r="G127" s="621">
        <f t="shared" si="18"/>
        <v>1</v>
      </c>
      <c r="H127" s="630"/>
      <c r="I127" s="621">
        <f t="shared" si="19"/>
        <v>1</v>
      </c>
      <c r="J127" s="630"/>
      <c r="K127" s="621">
        <f t="shared" si="20"/>
        <v>1</v>
      </c>
      <c r="L127" s="630" t="str">
        <f>可抵押车位明细清单!K106</f>
        <v>标准车位</v>
      </c>
      <c r="M127" s="621">
        <f t="shared" si="21"/>
        <v>1</v>
      </c>
      <c r="N127" s="630"/>
      <c r="O127" s="621">
        <f t="shared" si="22"/>
        <v>1</v>
      </c>
      <c r="P127" s="3490" t="str">
        <f>可抵押车位明细清单!L106</f>
        <v>-1层</v>
      </c>
      <c r="Q127" s="621">
        <f t="shared" si="23"/>
        <v>1</v>
      </c>
      <c r="R127" s="681">
        <f t="shared" ca="1" si="24"/>
        <v>11.901899999999999</v>
      </c>
      <c r="S127" s="620">
        <f t="shared" ca="1" si="15"/>
        <v>0</v>
      </c>
    </row>
    <row r="128" spans="1:19">
      <c r="A128" s="628" t="str">
        <f>可抵押车位明细清单!D107</f>
        <v>1#地库266</v>
      </c>
      <c r="B128" s="629">
        <f>可抵押车位明细清单!H107</f>
        <v>30.6</v>
      </c>
      <c r="C128" s="621">
        <f t="shared" si="16"/>
        <v>1</v>
      </c>
      <c r="D128" s="630"/>
      <c r="E128" s="621">
        <f t="shared" si="17"/>
        <v>1</v>
      </c>
      <c r="F128" s="630"/>
      <c r="G128" s="621">
        <f t="shared" si="18"/>
        <v>1</v>
      </c>
      <c r="H128" s="630"/>
      <c r="I128" s="621">
        <f t="shared" si="19"/>
        <v>1</v>
      </c>
      <c r="J128" s="630"/>
      <c r="K128" s="621">
        <f t="shared" si="20"/>
        <v>1</v>
      </c>
      <c r="L128" s="630" t="str">
        <f>可抵押车位明细清单!K107</f>
        <v>标准车位</v>
      </c>
      <c r="M128" s="621">
        <f t="shared" si="21"/>
        <v>1</v>
      </c>
      <c r="N128" s="630"/>
      <c r="O128" s="621">
        <f t="shared" si="22"/>
        <v>1</v>
      </c>
      <c r="P128" s="3490" t="str">
        <f>可抵押车位明细清单!L107</f>
        <v>-1层</v>
      </c>
      <c r="Q128" s="621">
        <f t="shared" si="23"/>
        <v>1</v>
      </c>
      <c r="R128" s="681">
        <f t="shared" ca="1" si="24"/>
        <v>11.901899999999999</v>
      </c>
      <c r="S128" s="620">
        <f t="shared" ca="1" si="15"/>
        <v>0</v>
      </c>
    </row>
    <row r="129" spans="1:19">
      <c r="A129" s="628" t="str">
        <f>可抵押车位明细清单!D108</f>
        <v>1#地库267</v>
      </c>
      <c r="B129" s="629">
        <f>可抵押车位明细清单!H108</f>
        <v>30.6</v>
      </c>
      <c r="C129" s="621">
        <f t="shared" si="16"/>
        <v>1</v>
      </c>
      <c r="D129" s="630"/>
      <c r="E129" s="621">
        <f t="shared" si="17"/>
        <v>1</v>
      </c>
      <c r="F129" s="630"/>
      <c r="G129" s="621">
        <f t="shared" si="18"/>
        <v>1</v>
      </c>
      <c r="H129" s="630"/>
      <c r="I129" s="621">
        <f t="shared" si="19"/>
        <v>1</v>
      </c>
      <c r="J129" s="630"/>
      <c r="K129" s="621">
        <f t="shared" si="20"/>
        <v>1</v>
      </c>
      <c r="L129" s="630" t="str">
        <f>可抵押车位明细清单!K108</f>
        <v>标准车位</v>
      </c>
      <c r="M129" s="621">
        <f t="shared" si="21"/>
        <v>1</v>
      </c>
      <c r="N129" s="630"/>
      <c r="O129" s="621">
        <f t="shared" si="22"/>
        <v>1</v>
      </c>
      <c r="P129" s="3490" t="str">
        <f>可抵押车位明细清单!L108</f>
        <v>-1层</v>
      </c>
      <c r="Q129" s="621">
        <f t="shared" si="23"/>
        <v>1</v>
      </c>
      <c r="R129" s="681">
        <f t="shared" ca="1" si="24"/>
        <v>11.901899999999999</v>
      </c>
      <c r="S129" s="620">
        <f t="shared" ca="1" si="15"/>
        <v>0</v>
      </c>
    </row>
    <row r="130" spans="1:19">
      <c r="A130" s="628" t="str">
        <f>可抵押车位明细清单!D109</f>
        <v>1#地库268</v>
      </c>
      <c r="B130" s="629">
        <f>可抵押车位明细清单!H109</f>
        <v>30.6</v>
      </c>
      <c r="C130" s="621">
        <f t="shared" si="16"/>
        <v>1</v>
      </c>
      <c r="D130" s="630"/>
      <c r="E130" s="621">
        <f t="shared" si="17"/>
        <v>1</v>
      </c>
      <c r="F130" s="630"/>
      <c r="G130" s="621">
        <f t="shared" si="18"/>
        <v>1</v>
      </c>
      <c r="H130" s="630"/>
      <c r="I130" s="621">
        <f t="shared" si="19"/>
        <v>1</v>
      </c>
      <c r="J130" s="630"/>
      <c r="K130" s="621">
        <f t="shared" si="20"/>
        <v>1</v>
      </c>
      <c r="L130" s="630" t="str">
        <f>可抵押车位明细清单!K109</f>
        <v>标准车位</v>
      </c>
      <c r="M130" s="621">
        <f t="shared" si="21"/>
        <v>1</v>
      </c>
      <c r="N130" s="630"/>
      <c r="O130" s="621">
        <f t="shared" si="22"/>
        <v>1</v>
      </c>
      <c r="P130" s="3490" t="str">
        <f>可抵押车位明细清单!L109</f>
        <v>-1层</v>
      </c>
      <c r="Q130" s="621">
        <f t="shared" si="23"/>
        <v>1</v>
      </c>
      <c r="R130" s="681">
        <f t="shared" ca="1" si="24"/>
        <v>11.901899999999999</v>
      </c>
      <c r="S130" s="620">
        <f t="shared" ca="1" si="15"/>
        <v>0</v>
      </c>
    </row>
    <row r="131" spans="1:19">
      <c r="A131" s="628" t="str">
        <f>可抵押车位明细清单!D110</f>
        <v>1#地库269</v>
      </c>
      <c r="B131" s="629">
        <f>可抵押车位明细清单!H110</f>
        <v>30.6</v>
      </c>
      <c r="C131" s="621">
        <f t="shared" si="16"/>
        <v>1</v>
      </c>
      <c r="D131" s="630"/>
      <c r="E131" s="621">
        <f t="shared" si="17"/>
        <v>1</v>
      </c>
      <c r="F131" s="630"/>
      <c r="G131" s="621">
        <f t="shared" si="18"/>
        <v>1</v>
      </c>
      <c r="H131" s="630"/>
      <c r="I131" s="621">
        <f t="shared" si="19"/>
        <v>1</v>
      </c>
      <c r="J131" s="630"/>
      <c r="K131" s="621">
        <f t="shared" si="20"/>
        <v>1</v>
      </c>
      <c r="L131" s="630" t="str">
        <f>可抵押车位明细清单!K110</f>
        <v>标准车位</v>
      </c>
      <c r="M131" s="621">
        <f t="shared" si="21"/>
        <v>1</v>
      </c>
      <c r="N131" s="630"/>
      <c r="O131" s="621">
        <f t="shared" si="22"/>
        <v>1</v>
      </c>
      <c r="P131" s="3490" t="str">
        <f>可抵押车位明细清单!L110</f>
        <v>-1层</v>
      </c>
      <c r="Q131" s="621">
        <f t="shared" si="23"/>
        <v>1</v>
      </c>
      <c r="R131" s="681">
        <f t="shared" ca="1" si="24"/>
        <v>11.901899999999999</v>
      </c>
      <c r="S131" s="620">
        <f t="shared" ca="1" si="15"/>
        <v>0</v>
      </c>
    </row>
    <row r="132" spans="1:19">
      <c r="A132" s="628" t="str">
        <f>可抵押车位明细清单!D111</f>
        <v>1#地库270</v>
      </c>
      <c r="B132" s="629">
        <f>可抵押车位明细清单!H111</f>
        <v>30.6</v>
      </c>
      <c r="C132" s="621">
        <f t="shared" si="16"/>
        <v>1</v>
      </c>
      <c r="D132" s="630"/>
      <c r="E132" s="621">
        <f t="shared" si="17"/>
        <v>1</v>
      </c>
      <c r="F132" s="630"/>
      <c r="G132" s="621">
        <f t="shared" si="18"/>
        <v>1</v>
      </c>
      <c r="H132" s="630"/>
      <c r="I132" s="621">
        <f t="shared" si="19"/>
        <v>1</v>
      </c>
      <c r="J132" s="630"/>
      <c r="K132" s="621">
        <f t="shared" si="20"/>
        <v>1</v>
      </c>
      <c r="L132" s="630" t="str">
        <f>可抵押车位明细清单!K111</f>
        <v>标准车位</v>
      </c>
      <c r="M132" s="621">
        <f t="shared" si="21"/>
        <v>1</v>
      </c>
      <c r="N132" s="630"/>
      <c r="O132" s="621">
        <f t="shared" si="22"/>
        <v>1</v>
      </c>
      <c r="P132" s="3490" t="str">
        <f>可抵押车位明细清单!L111</f>
        <v>-1层</v>
      </c>
      <c r="Q132" s="621">
        <f t="shared" si="23"/>
        <v>1</v>
      </c>
      <c r="R132" s="681">
        <f t="shared" ca="1" si="24"/>
        <v>11.901899999999999</v>
      </c>
      <c r="S132" s="620">
        <f t="shared" ca="1" si="15"/>
        <v>0</v>
      </c>
    </row>
    <row r="133" spans="1:19">
      <c r="A133" s="628" t="str">
        <f>可抵押车位明细清单!D112</f>
        <v>1#地库271</v>
      </c>
      <c r="B133" s="629">
        <f>可抵押车位明细清单!H112</f>
        <v>30.6</v>
      </c>
      <c r="C133" s="621">
        <f t="shared" si="16"/>
        <v>1</v>
      </c>
      <c r="D133" s="630"/>
      <c r="E133" s="621">
        <f t="shared" si="17"/>
        <v>1</v>
      </c>
      <c r="F133" s="630"/>
      <c r="G133" s="621">
        <f t="shared" si="18"/>
        <v>1</v>
      </c>
      <c r="H133" s="630"/>
      <c r="I133" s="621">
        <f t="shared" si="19"/>
        <v>1</v>
      </c>
      <c r="J133" s="630"/>
      <c r="K133" s="621">
        <f t="shared" si="20"/>
        <v>1</v>
      </c>
      <c r="L133" s="630" t="str">
        <f>可抵押车位明细清单!K112</f>
        <v>标准车位</v>
      </c>
      <c r="M133" s="621">
        <f t="shared" si="21"/>
        <v>1</v>
      </c>
      <c r="N133" s="630"/>
      <c r="O133" s="621">
        <f t="shared" si="22"/>
        <v>1</v>
      </c>
      <c r="P133" s="3490" t="str">
        <f>可抵押车位明细清单!L112</f>
        <v>-1层</v>
      </c>
      <c r="Q133" s="621">
        <f t="shared" si="23"/>
        <v>1</v>
      </c>
      <c r="R133" s="681">
        <f t="shared" ca="1" si="24"/>
        <v>11.901899999999999</v>
      </c>
      <c r="S133" s="620">
        <f t="shared" ca="1" si="15"/>
        <v>0</v>
      </c>
    </row>
    <row r="134" spans="1:19">
      <c r="A134" s="628" t="str">
        <f>可抵押车位明细清单!D113</f>
        <v>1#地库272</v>
      </c>
      <c r="B134" s="629">
        <f>可抵押车位明细清单!H113</f>
        <v>30.6</v>
      </c>
      <c r="C134" s="621">
        <f t="shared" si="16"/>
        <v>1</v>
      </c>
      <c r="D134" s="630"/>
      <c r="E134" s="621">
        <f t="shared" si="17"/>
        <v>1</v>
      </c>
      <c r="F134" s="630"/>
      <c r="G134" s="621">
        <f t="shared" si="18"/>
        <v>1</v>
      </c>
      <c r="H134" s="630"/>
      <c r="I134" s="621">
        <f t="shared" si="19"/>
        <v>1</v>
      </c>
      <c r="J134" s="630"/>
      <c r="K134" s="621">
        <f t="shared" si="20"/>
        <v>1</v>
      </c>
      <c r="L134" s="630" t="str">
        <f>可抵押车位明细清单!K113</f>
        <v>标准车位</v>
      </c>
      <c r="M134" s="621">
        <f t="shared" si="21"/>
        <v>1</v>
      </c>
      <c r="N134" s="630"/>
      <c r="O134" s="621">
        <f t="shared" si="22"/>
        <v>1</v>
      </c>
      <c r="P134" s="3490" t="str">
        <f>可抵押车位明细清单!L113</f>
        <v>-1层</v>
      </c>
      <c r="Q134" s="621">
        <f t="shared" si="23"/>
        <v>1</v>
      </c>
      <c r="R134" s="681">
        <f t="shared" ca="1" si="24"/>
        <v>11.901899999999999</v>
      </c>
      <c r="S134" s="620">
        <f t="shared" ca="1" si="15"/>
        <v>0</v>
      </c>
    </row>
    <row r="135" spans="1:19">
      <c r="A135" s="628" t="str">
        <f>可抵押车位明细清单!D114</f>
        <v>1#地库274</v>
      </c>
      <c r="B135" s="629">
        <f>可抵押车位明细清单!H114</f>
        <v>30.6</v>
      </c>
      <c r="C135" s="621">
        <f t="shared" si="16"/>
        <v>1</v>
      </c>
      <c r="D135" s="630"/>
      <c r="E135" s="621">
        <f t="shared" si="17"/>
        <v>1</v>
      </c>
      <c r="F135" s="630"/>
      <c r="G135" s="621">
        <f t="shared" si="18"/>
        <v>1</v>
      </c>
      <c r="H135" s="630"/>
      <c r="I135" s="621">
        <f t="shared" si="19"/>
        <v>1</v>
      </c>
      <c r="J135" s="630"/>
      <c r="K135" s="621">
        <f t="shared" si="20"/>
        <v>1</v>
      </c>
      <c r="L135" s="630" t="str">
        <f>可抵押车位明细清单!K114</f>
        <v>标准车位</v>
      </c>
      <c r="M135" s="621">
        <f t="shared" si="21"/>
        <v>1</v>
      </c>
      <c r="N135" s="630"/>
      <c r="O135" s="621">
        <f t="shared" si="22"/>
        <v>1</v>
      </c>
      <c r="P135" s="3490" t="str">
        <f>可抵押车位明细清单!L114</f>
        <v>-1层</v>
      </c>
      <c r="Q135" s="621">
        <f t="shared" si="23"/>
        <v>1</v>
      </c>
      <c r="R135" s="681">
        <f t="shared" ca="1" si="24"/>
        <v>11.901899999999999</v>
      </c>
      <c r="S135" s="620">
        <f t="shared" ca="1" si="15"/>
        <v>0</v>
      </c>
    </row>
    <row r="136" spans="1:19">
      <c r="A136" s="628" t="str">
        <f>可抵押车位明细清单!D115</f>
        <v>1#地库278</v>
      </c>
      <c r="B136" s="629">
        <f>可抵押车位明细清单!H115</f>
        <v>30.6</v>
      </c>
      <c r="C136" s="621">
        <f t="shared" si="16"/>
        <v>1</v>
      </c>
      <c r="D136" s="630"/>
      <c r="E136" s="621">
        <f t="shared" si="17"/>
        <v>1</v>
      </c>
      <c r="F136" s="630"/>
      <c r="G136" s="621">
        <f t="shared" si="18"/>
        <v>1</v>
      </c>
      <c r="H136" s="630"/>
      <c r="I136" s="621">
        <f t="shared" si="19"/>
        <v>1</v>
      </c>
      <c r="J136" s="630"/>
      <c r="K136" s="621">
        <f t="shared" si="20"/>
        <v>1</v>
      </c>
      <c r="L136" s="630" t="str">
        <f>可抵押车位明细清单!K115</f>
        <v>标准车位</v>
      </c>
      <c r="M136" s="621">
        <f t="shared" si="21"/>
        <v>1</v>
      </c>
      <c r="N136" s="630"/>
      <c r="O136" s="621">
        <f t="shared" si="22"/>
        <v>1</v>
      </c>
      <c r="P136" s="3490" t="str">
        <f>可抵押车位明细清单!L115</f>
        <v>-1层</v>
      </c>
      <c r="Q136" s="621">
        <f t="shared" si="23"/>
        <v>1</v>
      </c>
      <c r="R136" s="681">
        <f t="shared" ca="1" si="24"/>
        <v>11.901899999999999</v>
      </c>
      <c r="S136" s="620">
        <f t="shared" ca="1" si="15"/>
        <v>0</v>
      </c>
    </row>
    <row r="137" spans="1:19">
      <c r="A137" s="628" t="str">
        <f>可抵押车位明细清单!D116</f>
        <v>1#地库281</v>
      </c>
      <c r="B137" s="629">
        <f>可抵押车位明细清单!H116</f>
        <v>30.6</v>
      </c>
      <c r="C137" s="621">
        <f t="shared" si="16"/>
        <v>1</v>
      </c>
      <c r="D137" s="630"/>
      <c r="E137" s="621">
        <f t="shared" si="17"/>
        <v>1</v>
      </c>
      <c r="F137" s="630"/>
      <c r="G137" s="621">
        <f t="shared" si="18"/>
        <v>1</v>
      </c>
      <c r="H137" s="630"/>
      <c r="I137" s="621">
        <f t="shared" si="19"/>
        <v>1</v>
      </c>
      <c r="J137" s="630"/>
      <c r="K137" s="621">
        <f t="shared" si="20"/>
        <v>1</v>
      </c>
      <c r="L137" s="630" t="str">
        <f>可抵押车位明细清单!K116</f>
        <v>标准车位</v>
      </c>
      <c r="M137" s="621">
        <f t="shared" si="21"/>
        <v>1</v>
      </c>
      <c r="N137" s="630"/>
      <c r="O137" s="621">
        <f t="shared" si="22"/>
        <v>1</v>
      </c>
      <c r="P137" s="3490" t="str">
        <f>可抵押车位明细清单!L116</f>
        <v>-1层</v>
      </c>
      <c r="Q137" s="621">
        <f t="shared" si="23"/>
        <v>1</v>
      </c>
      <c r="R137" s="681">
        <f t="shared" ca="1" si="24"/>
        <v>11.901899999999999</v>
      </c>
      <c r="S137" s="620">
        <f t="shared" ca="1" si="15"/>
        <v>0</v>
      </c>
    </row>
    <row r="138" spans="1:19">
      <c r="A138" s="628" t="str">
        <f>可抵押车位明细清单!D117</f>
        <v>1#地库282</v>
      </c>
      <c r="B138" s="629">
        <f>可抵押车位明细清单!H117</f>
        <v>30.6</v>
      </c>
      <c r="C138" s="621">
        <f t="shared" si="16"/>
        <v>1</v>
      </c>
      <c r="D138" s="630"/>
      <c r="E138" s="621">
        <f t="shared" si="17"/>
        <v>1</v>
      </c>
      <c r="F138" s="630"/>
      <c r="G138" s="621">
        <f t="shared" si="18"/>
        <v>1</v>
      </c>
      <c r="H138" s="630"/>
      <c r="I138" s="621">
        <f t="shared" si="19"/>
        <v>1</v>
      </c>
      <c r="J138" s="630"/>
      <c r="K138" s="621">
        <f t="shared" si="20"/>
        <v>1</v>
      </c>
      <c r="L138" s="630" t="str">
        <f>可抵押车位明细清单!K117</f>
        <v>标准车位</v>
      </c>
      <c r="M138" s="621">
        <f t="shared" si="21"/>
        <v>1</v>
      </c>
      <c r="N138" s="630"/>
      <c r="O138" s="621">
        <f t="shared" si="22"/>
        <v>1</v>
      </c>
      <c r="P138" s="3490" t="str">
        <f>可抵押车位明细清单!L117</f>
        <v>-1层</v>
      </c>
      <c r="Q138" s="621">
        <f t="shared" si="23"/>
        <v>1</v>
      </c>
      <c r="R138" s="681">
        <f t="shared" ca="1" si="24"/>
        <v>11.901899999999999</v>
      </c>
      <c r="S138" s="620">
        <f t="shared" ca="1" si="15"/>
        <v>0</v>
      </c>
    </row>
    <row r="139" spans="1:19">
      <c r="A139" s="628" t="str">
        <f>可抵押车位明细清单!D118</f>
        <v>1#地库283</v>
      </c>
      <c r="B139" s="629">
        <f>可抵押车位明细清单!H118</f>
        <v>30.6</v>
      </c>
      <c r="C139" s="621">
        <f t="shared" si="16"/>
        <v>1</v>
      </c>
      <c r="D139" s="630"/>
      <c r="E139" s="621">
        <f t="shared" si="17"/>
        <v>1</v>
      </c>
      <c r="F139" s="630"/>
      <c r="G139" s="621">
        <f t="shared" si="18"/>
        <v>1</v>
      </c>
      <c r="H139" s="630"/>
      <c r="I139" s="621">
        <f t="shared" si="19"/>
        <v>1</v>
      </c>
      <c r="J139" s="630"/>
      <c r="K139" s="621">
        <f t="shared" si="20"/>
        <v>1</v>
      </c>
      <c r="L139" s="630" t="str">
        <f>可抵押车位明细清单!K118</f>
        <v>标准车位</v>
      </c>
      <c r="M139" s="621">
        <f t="shared" si="21"/>
        <v>1</v>
      </c>
      <c r="N139" s="630"/>
      <c r="O139" s="621">
        <f t="shared" si="22"/>
        <v>1</v>
      </c>
      <c r="P139" s="3490" t="str">
        <f>可抵押车位明细清单!L118</f>
        <v>-1层</v>
      </c>
      <c r="Q139" s="621">
        <f t="shared" si="23"/>
        <v>1</v>
      </c>
      <c r="R139" s="681">
        <f t="shared" ca="1" si="24"/>
        <v>11.901899999999999</v>
      </c>
      <c r="S139" s="620">
        <f t="shared" ca="1" si="15"/>
        <v>0</v>
      </c>
    </row>
    <row r="140" spans="1:19">
      <c r="A140" s="628" t="str">
        <f>可抵押车位明细清单!D119</f>
        <v>1#地库284</v>
      </c>
      <c r="B140" s="629">
        <f>可抵押车位明细清单!H119</f>
        <v>30.6</v>
      </c>
      <c r="C140" s="621">
        <f t="shared" si="16"/>
        <v>1</v>
      </c>
      <c r="D140" s="630"/>
      <c r="E140" s="621">
        <f t="shared" si="17"/>
        <v>1</v>
      </c>
      <c r="F140" s="630"/>
      <c r="G140" s="621">
        <f t="shared" si="18"/>
        <v>1</v>
      </c>
      <c r="H140" s="630"/>
      <c r="I140" s="621">
        <f t="shared" si="19"/>
        <v>1</v>
      </c>
      <c r="J140" s="630"/>
      <c r="K140" s="621">
        <f t="shared" si="20"/>
        <v>1</v>
      </c>
      <c r="L140" s="630" t="str">
        <f>可抵押车位明细清单!K119</f>
        <v>标准车位</v>
      </c>
      <c r="M140" s="621">
        <f t="shared" si="21"/>
        <v>1</v>
      </c>
      <c r="N140" s="630"/>
      <c r="O140" s="621">
        <f t="shared" si="22"/>
        <v>1</v>
      </c>
      <c r="P140" s="3490" t="str">
        <f>可抵押车位明细清单!L119</f>
        <v>-1层</v>
      </c>
      <c r="Q140" s="621">
        <f t="shared" si="23"/>
        <v>1</v>
      </c>
      <c r="R140" s="681">
        <f t="shared" ca="1" si="24"/>
        <v>11.901899999999999</v>
      </c>
      <c r="S140" s="620">
        <f t="shared" ca="1" si="15"/>
        <v>0</v>
      </c>
    </row>
    <row r="141" spans="1:19">
      <c r="A141" s="628" t="str">
        <f>可抵押车位明细清单!D120</f>
        <v>1#地库285</v>
      </c>
      <c r="B141" s="629">
        <f>可抵押车位明细清单!H120</f>
        <v>30.6</v>
      </c>
      <c r="C141" s="621">
        <f t="shared" si="16"/>
        <v>1</v>
      </c>
      <c r="D141" s="630"/>
      <c r="E141" s="621">
        <f t="shared" si="17"/>
        <v>1</v>
      </c>
      <c r="F141" s="630"/>
      <c r="G141" s="621">
        <f t="shared" si="18"/>
        <v>1</v>
      </c>
      <c r="H141" s="630"/>
      <c r="I141" s="621">
        <f t="shared" si="19"/>
        <v>1</v>
      </c>
      <c r="J141" s="630"/>
      <c r="K141" s="621">
        <f t="shared" si="20"/>
        <v>1</v>
      </c>
      <c r="L141" s="630" t="str">
        <f>可抵押车位明细清单!K120</f>
        <v>标准车位</v>
      </c>
      <c r="M141" s="621">
        <f t="shared" si="21"/>
        <v>1</v>
      </c>
      <c r="N141" s="630"/>
      <c r="O141" s="621">
        <f t="shared" si="22"/>
        <v>1</v>
      </c>
      <c r="P141" s="3490" t="str">
        <f>可抵押车位明细清单!L120</f>
        <v>-1层</v>
      </c>
      <c r="Q141" s="621">
        <f t="shared" si="23"/>
        <v>1</v>
      </c>
      <c r="R141" s="681">
        <f t="shared" ca="1" si="24"/>
        <v>11.901899999999999</v>
      </c>
      <c r="S141" s="620">
        <f t="shared" ca="1" si="15"/>
        <v>0</v>
      </c>
    </row>
    <row r="142" spans="1:19">
      <c r="A142" s="628" t="str">
        <f>可抵押车位明细清单!D121</f>
        <v>1#地库286</v>
      </c>
      <c r="B142" s="629">
        <f>可抵押车位明细清单!H121</f>
        <v>30.6</v>
      </c>
      <c r="C142" s="621">
        <f t="shared" si="16"/>
        <v>1</v>
      </c>
      <c r="D142" s="630"/>
      <c r="E142" s="621">
        <f t="shared" si="17"/>
        <v>1</v>
      </c>
      <c r="F142" s="630"/>
      <c r="G142" s="621">
        <f t="shared" si="18"/>
        <v>1</v>
      </c>
      <c r="H142" s="630"/>
      <c r="I142" s="621">
        <f t="shared" si="19"/>
        <v>1</v>
      </c>
      <c r="J142" s="630"/>
      <c r="K142" s="621">
        <f t="shared" si="20"/>
        <v>1</v>
      </c>
      <c r="L142" s="630" t="str">
        <f>可抵押车位明细清单!K121</f>
        <v>标准车位</v>
      </c>
      <c r="M142" s="621">
        <f t="shared" si="21"/>
        <v>1</v>
      </c>
      <c r="N142" s="630"/>
      <c r="O142" s="621">
        <f t="shared" si="22"/>
        <v>1</v>
      </c>
      <c r="P142" s="3490" t="str">
        <f>可抵押车位明细清单!L121</f>
        <v>-1层</v>
      </c>
      <c r="Q142" s="621">
        <f t="shared" si="23"/>
        <v>1</v>
      </c>
      <c r="R142" s="681">
        <f t="shared" ca="1" si="24"/>
        <v>11.901899999999999</v>
      </c>
      <c r="S142" s="620">
        <f t="shared" ca="1" si="15"/>
        <v>0</v>
      </c>
    </row>
    <row r="143" spans="1:19">
      <c r="A143" s="628" t="str">
        <f>可抵押车位明细清单!D122</f>
        <v>1#地库287</v>
      </c>
      <c r="B143" s="629">
        <f>可抵押车位明细清单!H122</f>
        <v>30.6</v>
      </c>
      <c r="C143" s="621">
        <f t="shared" si="16"/>
        <v>1</v>
      </c>
      <c r="D143" s="630"/>
      <c r="E143" s="621">
        <f t="shared" si="17"/>
        <v>1</v>
      </c>
      <c r="F143" s="630"/>
      <c r="G143" s="621">
        <f t="shared" si="18"/>
        <v>1</v>
      </c>
      <c r="H143" s="630"/>
      <c r="I143" s="621">
        <f t="shared" si="19"/>
        <v>1</v>
      </c>
      <c r="J143" s="630"/>
      <c r="K143" s="621">
        <f t="shared" si="20"/>
        <v>1</v>
      </c>
      <c r="L143" s="630" t="str">
        <f>可抵押车位明细清单!K122</f>
        <v>标准车位</v>
      </c>
      <c r="M143" s="621">
        <f t="shared" si="21"/>
        <v>1</v>
      </c>
      <c r="N143" s="630"/>
      <c r="O143" s="621">
        <f t="shared" si="22"/>
        <v>1</v>
      </c>
      <c r="P143" s="3490" t="str">
        <f>可抵押车位明细清单!L122</f>
        <v>-1层</v>
      </c>
      <c r="Q143" s="621">
        <f t="shared" si="23"/>
        <v>1</v>
      </c>
      <c r="R143" s="681">
        <f t="shared" ca="1" si="24"/>
        <v>11.901899999999999</v>
      </c>
      <c r="S143" s="620">
        <f t="shared" ca="1" si="15"/>
        <v>0</v>
      </c>
    </row>
    <row r="144" spans="1:19">
      <c r="A144" s="628" t="str">
        <f>可抵押车位明细清单!D123</f>
        <v>1#地库289</v>
      </c>
      <c r="B144" s="629">
        <f>可抵押车位明细清单!H123</f>
        <v>30.6</v>
      </c>
      <c r="C144" s="621">
        <f t="shared" si="16"/>
        <v>1</v>
      </c>
      <c r="D144" s="630"/>
      <c r="E144" s="621">
        <f t="shared" si="17"/>
        <v>1</v>
      </c>
      <c r="F144" s="630"/>
      <c r="G144" s="621">
        <f t="shared" si="18"/>
        <v>1</v>
      </c>
      <c r="H144" s="630"/>
      <c r="I144" s="621">
        <f t="shared" si="19"/>
        <v>1</v>
      </c>
      <c r="J144" s="630"/>
      <c r="K144" s="621">
        <f t="shared" si="20"/>
        <v>1</v>
      </c>
      <c r="L144" s="630" t="str">
        <f>可抵押车位明细清单!K123</f>
        <v>标准车位</v>
      </c>
      <c r="M144" s="621">
        <f t="shared" si="21"/>
        <v>1</v>
      </c>
      <c r="N144" s="630"/>
      <c r="O144" s="621">
        <f t="shared" si="22"/>
        <v>1</v>
      </c>
      <c r="P144" s="3490" t="str">
        <f>可抵押车位明细清单!L123</f>
        <v>-1层</v>
      </c>
      <c r="Q144" s="621">
        <f t="shared" si="23"/>
        <v>1</v>
      </c>
      <c r="R144" s="681">
        <f t="shared" ca="1" si="24"/>
        <v>11.901899999999999</v>
      </c>
      <c r="S144" s="620">
        <f t="shared" ca="1" si="15"/>
        <v>0</v>
      </c>
    </row>
    <row r="145" spans="1:19">
      <c r="A145" s="628" t="str">
        <f>可抵押车位明细清单!D124</f>
        <v>1#地库290</v>
      </c>
      <c r="B145" s="629">
        <f>可抵押车位明细清单!H124</f>
        <v>30.6</v>
      </c>
      <c r="C145" s="621">
        <f t="shared" si="16"/>
        <v>1</v>
      </c>
      <c r="D145" s="630"/>
      <c r="E145" s="621">
        <f t="shared" si="17"/>
        <v>1</v>
      </c>
      <c r="F145" s="630"/>
      <c r="G145" s="621">
        <f t="shared" si="18"/>
        <v>1</v>
      </c>
      <c r="H145" s="630"/>
      <c r="I145" s="621">
        <f t="shared" si="19"/>
        <v>1</v>
      </c>
      <c r="J145" s="630"/>
      <c r="K145" s="621">
        <f t="shared" si="20"/>
        <v>1</v>
      </c>
      <c r="L145" s="630" t="str">
        <f>可抵押车位明细清单!K124</f>
        <v>标准车位</v>
      </c>
      <c r="M145" s="621">
        <f t="shared" si="21"/>
        <v>1</v>
      </c>
      <c r="N145" s="630"/>
      <c r="O145" s="621">
        <f t="shared" si="22"/>
        <v>1</v>
      </c>
      <c r="P145" s="3490" t="str">
        <f>可抵押车位明细清单!L124</f>
        <v>-1层</v>
      </c>
      <c r="Q145" s="621">
        <f t="shared" si="23"/>
        <v>1</v>
      </c>
      <c r="R145" s="681">
        <f t="shared" ca="1" si="24"/>
        <v>11.901899999999999</v>
      </c>
      <c r="S145" s="620">
        <f t="shared" ca="1" si="15"/>
        <v>0</v>
      </c>
    </row>
    <row r="146" spans="1:19">
      <c r="A146" s="628" t="str">
        <f>可抵押车位明细清单!D125</f>
        <v>1#地库293</v>
      </c>
      <c r="B146" s="629">
        <f>可抵押车位明细清单!H125</f>
        <v>30.6</v>
      </c>
      <c r="C146" s="621">
        <f t="shared" si="16"/>
        <v>1</v>
      </c>
      <c r="D146" s="630"/>
      <c r="E146" s="621">
        <f t="shared" si="17"/>
        <v>1</v>
      </c>
      <c r="F146" s="630"/>
      <c r="G146" s="621">
        <f t="shared" si="18"/>
        <v>1</v>
      </c>
      <c r="H146" s="630"/>
      <c r="I146" s="621">
        <f t="shared" si="19"/>
        <v>1</v>
      </c>
      <c r="J146" s="630"/>
      <c r="K146" s="621">
        <f t="shared" si="20"/>
        <v>1</v>
      </c>
      <c r="L146" s="630" t="str">
        <f>可抵押车位明细清单!K125</f>
        <v>标准车位</v>
      </c>
      <c r="M146" s="621">
        <f t="shared" si="21"/>
        <v>1</v>
      </c>
      <c r="N146" s="630"/>
      <c r="O146" s="621">
        <f t="shared" si="22"/>
        <v>1</v>
      </c>
      <c r="P146" s="3490" t="str">
        <f>可抵押车位明细清单!L125</f>
        <v>-1层</v>
      </c>
      <c r="Q146" s="621">
        <f t="shared" si="23"/>
        <v>1</v>
      </c>
      <c r="R146" s="681">
        <f t="shared" ca="1" si="24"/>
        <v>11.901899999999999</v>
      </c>
      <c r="S146" s="620">
        <f t="shared" ca="1" si="15"/>
        <v>0</v>
      </c>
    </row>
    <row r="147" spans="1:19">
      <c r="A147" s="628" t="str">
        <f>可抵押车位明细清单!D126</f>
        <v>1#地库294</v>
      </c>
      <c r="B147" s="629">
        <f>可抵押车位明细清单!H126</f>
        <v>30.6</v>
      </c>
      <c r="C147" s="621">
        <f t="shared" si="16"/>
        <v>1</v>
      </c>
      <c r="D147" s="630"/>
      <c r="E147" s="621">
        <f t="shared" si="17"/>
        <v>1</v>
      </c>
      <c r="F147" s="630"/>
      <c r="G147" s="621">
        <f t="shared" si="18"/>
        <v>1</v>
      </c>
      <c r="H147" s="630"/>
      <c r="I147" s="621">
        <f t="shared" si="19"/>
        <v>1</v>
      </c>
      <c r="J147" s="630"/>
      <c r="K147" s="621">
        <f t="shared" si="20"/>
        <v>1</v>
      </c>
      <c r="L147" s="630" t="str">
        <f>可抵押车位明细清单!K126</f>
        <v>标准车位</v>
      </c>
      <c r="M147" s="621">
        <f t="shared" si="21"/>
        <v>1</v>
      </c>
      <c r="N147" s="630"/>
      <c r="O147" s="621">
        <f t="shared" si="22"/>
        <v>1</v>
      </c>
      <c r="P147" s="3490" t="str">
        <f>可抵押车位明细清单!L126</f>
        <v>-1层</v>
      </c>
      <c r="Q147" s="621">
        <f t="shared" si="23"/>
        <v>1</v>
      </c>
      <c r="R147" s="681">
        <f t="shared" ca="1" si="24"/>
        <v>11.901899999999999</v>
      </c>
      <c r="S147" s="620">
        <f t="shared" ca="1" si="15"/>
        <v>0</v>
      </c>
    </row>
    <row r="148" spans="1:19">
      <c r="A148" s="628" t="str">
        <f>可抵押车位明细清单!D127</f>
        <v>1#地库295</v>
      </c>
      <c r="B148" s="629">
        <f>可抵押车位明细清单!H127</f>
        <v>30.6</v>
      </c>
      <c r="C148" s="621">
        <f t="shared" si="16"/>
        <v>1</v>
      </c>
      <c r="D148" s="630"/>
      <c r="E148" s="621">
        <f t="shared" si="17"/>
        <v>1</v>
      </c>
      <c r="F148" s="630"/>
      <c r="G148" s="621">
        <f t="shared" si="18"/>
        <v>1</v>
      </c>
      <c r="H148" s="630"/>
      <c r="I148" s="621">
        <f t="shared" si="19"/>
        <v>1</v>
      </c>
      <c r="J148" s="630"/>
      <c r="K148" s="621">
        <f t="shared" si="20"/>
        <v>1</v>
      </c>
      <c r="L148" s="630" t="str">
        <f>可抵押车位明细清单!K127</f>
        <v>标准车位</v>
      </c>
      <c r="M148" s="621">
        <f t="shared" si="21"/>
        <v>1</v>
      </c>
      <c r="N148" s="630"/>
      <c r="O148" s="621">
        <f t="shared" si="22"/>
        <v>1</v>
      </c>
      <c r="P148" s="3490" t="str">
        <f>可抵押车位明细清单!L127</f>
        <v>-1层</v>
      </c>
      <c r="Q148" s="621">
        <f t="shared" si="23"/>
        <v>1</v>
      </c>
      <c r="R148" s="681">
        <f t="shared" ca="1" si="24"/>
        <v>11.901899999999999</v>
      </c>
      <c r="S148" s="620">
        <f t="shared" ca="1" si="15"/>
        <v>0</v>
      </c>
    </row>
    <row r="149" spans="1:19">
      <c r="A149" s="628" t="str">
        <f>可抵押车位明细清单!D128</f>
        <v>1#地库299</v>
      </c>
      <c r="B149" s="629">
        <f>可抵押车位明细清单!H128</f>
        <v>30.6</v>
      </c>
      <c r="C149" s="621">
        <f t="shared" si="16"/>
        <v>1</v>
      </c>
      <c r="D149" s="630"/>
      <c r="E149" s="621">
        <f t="shared" si="17"/>
        <v>1</v>
      </c>
      <c r="F149" s="630"/>
      <c r="G149" s="621">
        <f t="shared" si="18"/>
        <v>1</v>
      </c>
      <c r="H149" s="630"/>
      <c r="I149" s="621">
        <f t="shared" si="19"/>
        <v>1</v>
      </c>
      <c r="J149" s="630"/>
      <c r="K149" s="621">
        <f t="shared" si="20"/>
        <v>1</v>
      </c>
      <c r="L149" s="630" t="str">
        <f>可抵押车位明细清单!K128</f>
        <v>标准车位</v>
      </c>
      <c r="M149" s="621">
        <f t="shared" si="21"/>
        <v>1</v>
      </c>
      <c r="N149" s="630"/>
      <c r="O149" s="621">
        <f t="shared" si="22"/>
        <v>1</v>
      </c>
      <c r="P149" s="3490" t="str">
        <f>可抵押车位明细清单!L128</f>
        <v>-1层</v>
      </c>
      <c r="Q149" s="621">
        <f t="shared" si="23"/>
        <v>1</v>
      </c>
      <c r="R149" s="681">
        <f t="shared" ca="1" si="24"/>
        <v>11.901899999999999</v>
      </c>
      <c r="S149" s="620">
        <f t="shared" ca="1" si="15"/>
        <v>0</v>
      </c>
    </row>
    <row r="150" spans="1:19">
      <c r="A150" s="628" t="str">
        <f>可抵押车位明细清单!D129</f>
        <v>1#地库302</v>
      </c>
      <c r="B150" s="629">
        <f>可抵押车位明细清单!H129</f>
        <v>30.6</v>
      </c>
      <c r="C150" s="621">
        <f t="shared" si="16"/>
        <v>1</v>
      </c>
      <c r="D150" s="630"/>
      <c r="E150" s="621">
        <f t="shared" si="17"/>
        <v>1</v>
      </c>
      <c r="F150" s="630"/>
      <c r="G150" s="621">
        <f t="shared" si="18"/>
        <v>1</v>
      </c>
      <c r="H150" s="630"/>
      <c r="I150" s="621">
        <f t="shared" si="19"/>
        <v>1</v>
      </c>
      <c r="J150" s="630"/>
      <c r="K150" s="621">
        <f t="shared" si="20"/>
        <v>1</v>
      </c>
      <c r="L150" s="630" t="str">
        <f>可抵押车位明细清单!K129</f>
        <v>标准车位</v>
      </c>
      <c r="M150" s="621">
        <f t="shared" si="21"/>
        <v>1</v>
      </c>
      <c r="N150" s="630"/>
      <c r="O150" s="621">
        <f t="shared" si="22"/>
        <v>1</v>
      </c>
      <c r="P150" s="3490" t="str">
        <f>可抵押车位明细清单!L129</f>
        <v>-1层</v>
      </c>
      <c r="Q150" s="621">
        <f t="shared" si="23"/>
        <v>1</v>
      </c>
      <c r="R150" s="681">
        <f t="shared" ca="1" si="24"/>
        <v>11.901899999999999</v>
      </c>
      <c r="S150" s="620">
        <f t="shared" ca="1" si="15"/>
        <v>0</v>
      </c>
    </row>
    <row r="151" spans="1:19">
      <c r="A151" s="628" t="str">
        <f>可抵押车位明细清单!D130</f>
        <v>1#地库304</v>
      </c>
      <c r="B151" s="629">
        <f>可抵押车位明细清单!H130</f>
        <v>30.6</v>
      </c>
      <c r="C151" s="621">
        <f t="shared" si="16"/>
        <v>1</v>
      </c>
      <c r="D151" s="630"/>
      <c r="E151" s="621">
        <f t="shared" si="17"/>
        <v>1</v>
      </c>
      <c r="F151" s="630"/>
      <c r="G151" s="621">
        <f t="shared" si="18"/>
        <v>1</v>
      </c>
      <c r="H151" s="630"/>
      <c r="I151" s="621">
        <f t="shared" si="19"/>
        <v>1</v>
      </c>
      <c r="J151" s="630"/>
      <c r="K151" s="621">
        <f t="shared" si="20"/>
        <v>1</v>
      </c>
      <c r="L151" s="630" t="str">
        <f>可抵押车位明细清单!K130</f>
        <v>标准车位</v>
      </c>
      <c r="M151" s="621">
        <f t="shared" si="21"/>
        <v>1</v>
      </c>
      <c r="N151" s="630"/>
      <c r="O151" s="621">
        <f t="shared" si="22"/>
        <v>1</v>
      </c>
      <c r="P151" s="3490" t="str">
        <f>可抵押车位明细清单!L130</f>
        <v>-1层</v>
      </c>
      <c r="Q151" s="621">
        <f t="shared" si="23"/>
        <v>1</v>
      </c>
      <c r="R151" s="681">
        <f t="shared" ca="1" si="24"/>
        <v>11.901899999999999</v>
      </c>
      <c r="S151" s="620">
        <f t="shared" ca="1" si="15"/>
        <v>0</v>
      </c>
    </row>
    <row r="152" spans="1:19">
      <c r="A152" s="628" t="str">
        <f>可抵押车位明细清单!D131</f>
        <v>1#地库305</v>
      </c>
      <c r="B152" s="629">
        <f>可抵押车位明细清单!H131</f>
        <v>30.6</v>
      </c>
      <c r="C152" s="621">
        <f t="shared" si="16"/>
        <v>1</v>
      </c>
      <c r="D152" s="630"/>
      <c r="E152" s="621">
        <f t="shared" si="17"/>
        <v>1</v>
      </c>
      <c r="F152" s="630"/>
      <c r="G152" s="621">
        <f t="shared" si="18"/>
        <v>1</v>
      </c>
      <c r="H152" s="630"/>
      <c r="I152" s="621">
        <f t="shared" si="19"/>
        <v>1</v>
      </c>
      <c r="J152" s="630"/>
      <c r="K152" s="621">
        <f t="shared" si="20"/>
        <v>1</v>
      </c>
      <c r="L152" s="630" t="str">
        <f>可抵押车位明细清单!K131</f>
        <v>标准车位</v>
      </c>
      <c r="M152" s="621">
        <f t="shared" si="21"/>
        <v>1</v>
      </c>
      <c r="N152" s="630"/>
      <c r="O152" s="621">
        <f t="shared" si="22"/>
        <v>1</v>
      </c>
      <c r="P152" s="3490" t="str">
        <f>可抵押车位明细清单!L131</f>
        <v>-1层</v>
      </c>
      <c r="Q152" s="621">
        <f t="shared" si="23"/>
        <v>1</v>
      </c>
      <c r="R152" s="681">
        <f t="shared" ca="1" si="24"/>
        <v>11.901899999999999</v>
      </c>
      <c r="S152" s="620">
        <f t="shared" ref="S152:S215" ca="1" si="25">ROUND(R152*B152/10000,0)</f>
        <v>0</v>
      </c>
    </row>
    <row r="153" spans="1:19">
      <c r="A153" s="628" t="str">
        <f>可抵押车位明细清单!D132</f>
        <v>1#地库306</v>
      </c>
      <c r="B153" s="629">
        <f>可抵押车位明细清单!H132</f>
        <v>30.6</v>
      </c>
      <c r="C153" s="621">
        <f t="shared" ref="C153:C216" si="26">IF(B153="",1,(LOOKUP(B153,$3:$3,$4:$4)-LOOKUP($B$24,$3:$3,$4:$4)+100)/100)</f>
        <v>1</v>
      </c>
      <c r="D153" s="630"/>
      <c r="E153" s="621">
        <f t="shared" ref="E153:E216" si="27">(SUMIF($5:$5,D153,$6:$6)-SUMIF($5:$5,$D$24,$6:$6)+100)/100</f>
        <v>1</v>
      </c>
      <c r="F153" s="630"/>
      <c r="G153" s="621">
        <f t="shared" ref="G153:G216" si="28">(SUMIF($7:$7,F153,$8:$8)-SUMIF($7:$7,$F$24,$8:$8)+100)/100</f>
        <v>1</v>
      </c>
      <c r="H153" s="630"/>
      <c r="I153" s="621">
        <f t="shared" ref="I153:I216" si="29">(SUMIF($9:$9,H153,$10:$10)-SUMIF($9:$9,$H$24,$10:$10)+100)/100</f>
        <v>1</v>
      </c>
      <c r="J153" s="630"/>
      <c r="K153" s="621">
        <f t="shared" ref="K153:K216" si="30">(SUMIF($11:$11,J153,$12:$12)-SUMIF($11:$11,$J$24,$12:$12)+100)/100</f>
        <v>1</v>
      </c>
      <c r="L153" s="630" t="str">
        <f>可抵押车位明细清单!K132</f>
        <v>标准车位</v>
      </c>
      <c r="M153" s="621">
        <f t="shared" ref="M153:M216" si="31">(SUMIF($13:$13,L153,$14:$14)-SUMIF($13:$13,$L$24,$14:$14)+100)/100</f>
        <v>1</v>
      </c>
      <c r="N153" s="630"/>
      <c r="O153" s="621">
        <f t="shared" ref="O153:O216" si="32">(SUMIF($15:$15,N153,$16:$16)-SUMIF($15:$15,$N$24,$16:$16)+100)/100</f>
        <v>1</v>
      </c>
      <c r="P153" s="3490" t="str">
        <f>可抵押车位明细清单!L132</f>
        <v>-1层</v>
      </c>
      <c r="Q153" s="621">
        <f t="shared" ref="Q153:Q216" si="33">(SUMIF($17:$17,P153,$18:$18)-SUMIF($17:$17,$P$24,$18:$18)+100)/100</f>
        <v>1</v>
      </c>
      <c r="R153" s="681">
        <f t="shared" ref="R153:R216" ca="1" si="34">IF(B153="",0,ROUND($R$24*C153*E153*G153*I153*K153*M153*O153*Q153,4))</f>
        <v>11.901899999999999</v>
      </c>
      <c r="S153" s="620">
        <f t="shared" ca="1" si="25"/>
        <v>0</v>
      </c>
    </row>
    <row r="154" spans="1:19">
      <c r="A154" s="628" t="str">
        <f>可抵押车位明细清单!D133</f>
        <v>1#地库310</v>
      </c>
      <c r="B154" s="629">
        <f>可抵押车位明细清单!H133</f>
        <v>30.6</v>
      </c>
      <c r="C154" s="621">
        <f t="shared" si="26"/>
        <v>1</v>
      </c>
      <c r="D154" s="630"/>
      <c r="E154" s="621">
        <f t="shared" si="27"/>
        <v>1</v>
      </c>
      <c r="F154" s="630"/>
      <c r="G154" s="621">
        <f t="shared" si="28"/>
        <v>1</v>
      </c>
      <c r="H154" s="630"/>
      <c r="I154" s="621">
        <f t="shared" si="29"/>
        <v>1</v>
      </c>
      <c r="J154" s="630"/>
      <c r="K154" s="621">
        <f t="shared" si="30"/>
        <v>1</v>
      </c>
      <c r="L154" s="630" t="str">
        <f>可抵押车位明细清单!K133</f>
        <v>标准车位</v>
      </c>
      <c r="M154" s="621">
        <f t="shared" si="31"/>
        <v>1</v>
      </c>
      <c r="N154" s="630"/>
      <c r="O154" s="621">
        <f t="shared" si="32"/>
        <v>1</v>
      </c>
      <c r="P154" s="3490" t="str">
        <f>可抵押车位明细清单!L133</f>
        <v>-1层</v>
      </c>
      <c r="Q154" s="621">
        <f t="shared" si="33"/>
        <v>1</v>
      </c>
      <c r="R154" s="681">
        <f t="shared" ca="1" si="34"/>
        <v>11.901899999999999</v>
      </c>
      <c r="S154" s="620">
        <f t="shared" ca="1" si="25"/>
        <v>0</v>
      </c>
    </row>
    <row r="155" spans="1:19">
      <c r="A155" s="628" t="str">
        <f>可抵押车位明细清单!D134</f>
        <v>1#地库312</v>
      </c>
      <c r="B155" s="629">
        <f>可抵押车位明细清单!H134</f>
        <v>30.6</v>
      </c>
      <c r="C155" s="621">
        <f t="shared" si="26"/>
        <v>1</v>
      </c>
      <c r="D155" s="630"/>
      <c r="E155" s="621">
        <f t="shared" si="27"/>
        <v>1</v>
      </c>
      <c r="F155" s="630"/>
      <c r="G155" s="621">
        <f t="shared" si="28"/>
        <v>1</v>
      </c>
      <c r="H155" s="630"/>
      <c r="I155" s="621">
        <f t="shared" si="29"/>
        <v>1</v>
      </c>
      <c r="J155" s="630"/>
      <c r="K155" s="621">
        <f t="shared" si="30"/>
        <v>1</v>
      </c>
      <c r="L155" s="630" t="str">
        <f>可抵押车位明细清单!K134</f>
        <v>标准车位</v>
      </c>
      <c r="M155" s="621">
        <f t="shared" si="31"/>
        <v>1</v>
      </c>
      <c r="N155" s="630"/>
      <c r="O155" s="621">
        <f t="shared" si="32"/>
        <v>1</v>
      </c>
      <c r="P155" s="3490" t="str">
        <f>可抵押车位明细清单!L134</f>
        <v>-1层</v>
      </c>
      <c r="Q155" s="621">
        <f t="shared" si="33"/>
        <v>1</v>
      </c>
      <c r="R155" s="681">
        <f t="shared" ca="1" si="34"/>
        <v>11.901899999999999</v>
      </c>
      <c r="S155" s="620">
        <f t="shared" ca="1" si="25"/>
        <v>0</v>
      </c>
    </row>
    <row r="156" spans="1:19">
      <c r="A156" s="628" t="str">
        <f>可抵押车位明细清单!D135</f>
        <v>1#地库313</v>
      </c>
      <c r="B156" s="629">
        <f>可抵押车位明细清单!H135</f>
        <v>30.6</v>
      </c>
      <c r="C156" s="621">
        <f t="shared" si="26"/>
        <v>1</v>
      </c>
      <c r="D156" s="630"/>
      <c r="E156" s="621">
        <f t="shared" si="27"/>
        <v>1</v>
      </c>
      <c r="F156" s="630"/>
      <c r="G156" s="621">
        <f t="shared" si="28"/>
        <v>1</v>
      </c>
      <c r="H156" s="630"/>
      <c r="I156" s="621">
        <f t="shared" si="29"/>
        <v>1</v>
      </c>
      <c r="J156" s="630"/>
      <c r="K156" s="621">
        <f t="shared" si="30"/>
        <v>1</v>
      </c>
      <c r="L156" s="630" t="str">
        <f>可抵押车位明细清单!K135</f>
        <v>标准车位</v>
      </c>
      <c r="M156" s="621">
        <f t="shared" si="31"/>
        <v>1</v>
      </c>
      <c r="N156" s="630"/>
      <c r="O156" s="621">
        <f t="shared" si="32"/>
        <v>1</v>
      </c>
      <c r="P156" s="3490" t="str">
        <f>可抵押车位明细清单!L135</f>
        <v>-1层</v>
      </c>
      <c r="Q156" s="621">
        <f t="shared" si="33"/>
        <v>1</v>
      </c>
      <c r="R156" s="681">
        <f t="shared" ca="1" si="34"/>
        <v>11.901899999999999</v>
      </c>
      <c r="S156" s="620">
        <f t="shared" ca="1" si="25"/>
        <v>0</v>
      </c>
    </row>
    <row r="157" spans="1:19">
      <c r="A157" s="628" t="str">
        <f>可抵押车位明细清单!D136</f>
        <v>1#地库314</v>
      </c>
      <c r="B157" s="629">
        <f>可抵押车位明细清单!H136</f>
        <v>30.6</v>
      </c>
      <c r="C157" s="621">
        <f t="shared" si="26"/>
        <v>1</v>
      </c>
      <c r="D157" s="630"/>
      <c r="E157" s="621">
        <f t="shared" si="27"/>
        <v>1</v>
      </c>
      <c r="F157" s="630"/>
      <c r="G157" s="621">
        <f t="shared" si="28"/>
        <v>1</v>
      </c>
      <c r="H157" s="630"/>
      <c r="I157" s="621">
        <f t="shared" si="29"/>
        <v>1</v>
      </c>
      <c r="J157" s="630"/>
      <c r="K157" s="621">
        <f t="shared" si="30"/>
        <v>1</v>
      </c>
      <c r="L157" s="630" t="str">
        <f>可抵押车位明细清单!K136</f>
        <v>标准车位</v>
      </c>
      <c r="M157" s="621">
        <f t="shared" si="31"/>
        <v>1</v>
      </c>
      <c r="N157" s="630"/>
      <c r="O157" s="621">
        <f t="shared" si="32"/>
        <v>1</v>
      </c>
      <c r="P157" s="3490" t="str">
        <f>可抵押车位明细清单!L136</f>
        <v>-1层</v>
      </c>
      <c r="Q157" s="621">
        <f t="shared" si="33"/>
        <v>1</v>
      </c>
      <c r="R157" s="681">
        <f t="shared" ca="1" si="34"/>
        <v>11.901899999999999</v>
      </c>
      <c r="S157" s="620">
        <f t="shared" ca="1" si="25"/>
        <v>0</v>
      </c>
    </row>
    <row r="158" spans="1:19">
      <c r="A158" s="628" t="str">
        <f>可抵押车位明细清单!D137</f>
        <v>1#地库315</v>
      </c>
      <c r="B158" s="629">
        <f>可抵押车位明细清单!H137</f>
        <v>30.6</v>
      </c>
      <c r="C158" s="621">
        <f t="shared" si="26"/>
        <v>1</v>
      </c>
      <c r="D158" s="630"/>
      <c r="E158" s="621">
        <f t="shared" si="27"/>
        <v>1</v>
      </c>
      <c r="F158" s="630"/>
      <c r="G158" s="621">
        <f t="shared" si="28"/>
        <v>1</v>
      </c>
      <c r="H158" s="630"/>
      <c r="I158" s="621">
        <f t="shared" si="29"/>
        <v>1</v>
      </c>
      <c r="J158" s="630"/>
      <c r="K158" s="621">
        <f t="shared" si="30"/>
        <v>1</v>
      </c>
      <c r="L158" s="630" t="str">
        <f>可抵押车位明细清单!K137</f>
        <v>标准车位</v>
      </c>
      <c r="M158" s="621">
        <f t="shared" si="31"/>
        <v>1</v>
      </c>
      <c r="N158" s="630"/>
      <c r="O158" s="621">
        <f t="shared" si="32"/>
        <v>1</v>
      </c>
      <c r="P158" s="3490" t="str">
        <f>可抵押车位明细清单!L137</f>
        <v>-1层</v>
      </c>
      <c r="Q158" s="621">
        <f t="shared" si="33"/>
        <v>1</v>
      </c>
      <c r="R158" s="681">
        <f t="shared" ca="1" si="34"/>
        <v>11.901899999999999</v>
      </c>
      <c r="S158" s="620">
        <f t="shared" ca="1" si="25"/>
        <v>0</v>
      </c>
    </row>
    <row r="159" spans="1:19">
      <c r="A159" s="628" t="str">
        <f>可抵押车位明细清单!D138</f>
        <v>1#地库316</v>
      </c>
      <c r="B159" s="629">
        <f>可抵押车位明细清单!H138</f>
        <v>30.6</v>
      </c>
      <c r="C159" s="621">
        <f t="shared" si="26"/>
        <v>1</v>
      </c>
      <c r="D159" s="630"/>
      <c r="E159" s="621">
        <f t="shared" si="27"/>
        <v>1</v>
      </c>
      <c r="F159" s="630"/>
      <c r="G159" s="621">
        <f t="shared" si="28"/>
        <v>1</v>
      </c>
      <c r="H159" s="630"/>
      <c r="I159" s="621">
        <f t="shared" si="29"/>
        <v>1</v>
      </c>
      <c r="J159" s="630"/>
      <c r="K159" s="621">
        <f t="shared" si="30"/>
        <v>1</v>
      </c>
      <c r="L159" s="630" t="str">
        <f>可抵押车位明细清单!K138</f>
        <v>标准车位</v>
      </c>
      <c r="M159" s="621">
        <f t="shared" si="31"/>
        <v>1</v>
      </c>
      <c r="N159" s="630"/>
      <c r="O159" s="621">
        <f t="shared" si="32"/>
        <v>1</v>
      </c>
      <c r="P159" s="3490" t="str">
        <f>可抵押车位明细清单!L138</f>
        <v>-1层</v>
      </c>
      <c r="Q159" s="621">
        <f t="shared" si="33"/>
        <v>1</v>
      </c>
      <c r="R159" s="681">
        <f t="shared" ca="1" si="34"/>
        <v>11.901899999999999</v>
      </c>
      <c r="S159" s="620">
        <f t="shared" ca="1" si="25"/>
        <v>0</v>
      </c>
    </row>
    <row r="160" spans="1:19">
      <c r="A160" s="628" t="str">
        <f>可抵押车位明细清单!D139</f>
        <v>1#地库318</v>
      </c>
      <c r="B160" s="629">
        <f>可抵押车位明细清单!H139</f>
        <v>30.6</v>
      </c>
      <c r="C160" s="621">
        <f t="shared" si="26"/>
        <v>1</v>
      </c>
      <c r="D160" s="630"/>
      <c r="E160" s="621">
        <f t="shared" si="27"/>
        <v>1</v>
      </c>
      <c r="F160" s="630"/>
      <c r="G160" s="621">
        <f t="shared" si="28"/>
        <v>1</v>
      </c>
      <c r="H160" s="630"/>
      <c r="I160" s="621">
        <f t="shared" si="29"/>
        <v>1</v>
      </c>
      <c r="J160" s="630"/>
      <c r="K160" s="621">
        <f t="shared" si="30"/>
        <v>1</v>
      </c>
      <c r="L160" s="630" t="str">
        <f>可抵押车位明细清单!K139</f>
        <v>标准车位</v>
      </c>
      <c r="M160" s="621">
        <f t="shared" si="31"/>
        <v>1</v>
      </c>
      <c r="N160" s="630"/>
      <c r="O160" s="621">
        <f t="shared" si="32"/>
        <v>1</v>
      </c>
      <c r="P160" s="3490" t="str">
        <f>可抵押车位明细清单!L139</f>
        <v>-1层</v>
      </c>
      <c r="Q160" s="621">
        <f t="shared" si="33"/>
        <v>1</v>
      </c>
      <c r="R160" s="681">
        <f t="shared" ca="1" si="34"/>
        <v>11.901899999999999</v>
      </c>
      <c r="S160" s="620">
        <f t="shared" ca="1" si="25"/>
        <v>0</v>
      </c>
    </row>
    <row r="161" spans="1:19">
      <c r="A161" s="628" t="str">
        <f>可抵押车位明细清单!D140</f>
        <v>1#地库322</v>
      </c>
      <c r="B161" s="629">
        <f>可抵押车位明细清单!H140</f>
        <v>31.88</v>
      </c>
      <c r="C161" s="621">
        <f t="shared" si="26"/>
        <v>1</v>
      </c>
      <c r="D161" s="630"/>
      <c r="E161" s="621">
        <f t="shared" si="27"/>
        <v>1</v>
      </c>
      <c r="F161" s="630"/>
      <c r="G161" s="621">
        <f t="shared" si="28"/>
        <v>1</v>
      </c>
      <c r="H161" s="630"/>
      <c r="I161" s="621">
        <f t="shared" si="29"/>
        <v>1</v>
      </c>
      <c r="J161" s="630"/>
      <c r="K161" s="621">
        <f t="shared" si="30"/>
        <v>1</v>
      </c>
      <c r="L161" s="630" t="str">
        <f>可抵押车位明细清单!K140</f>
        <v>标准车位</v>
      </c>
      <c r="M161" s="621">
        <f t="shared" si="31"/>
        <v>1</v>
      </c>
      <c r="N161" s="630"/>
      <c r="O161" s="621">
        <f t="shared" si="32"/>
        <v>1</v>
      </c>
      <c r="P161" s="3490" t="str">
        <f>可抵押车位明细清单!L140</f>
        <v>-1层</v>
      </c>
      <c r="Q161" s="621">
        <f t="shared" si="33"/>
        <v>1</v>
      </c>
      <c r="R161" s="681">
        <f t="shared" ca="1" si="34"/>
        <v>11.901899999999999</v>
      </c>
      <c r="S161" s="620">
        <f t="shared" ca="1" si="25"/>
        <v>0</v>
      </c>
    </row>
    <row r="162" spans="1:19">
      <c r="A162" s="628" t="str">
        <f>可抵押车位明细清单!D141</f>
        <v>1#地库323</v>
      </c>
      <c r="B162" s="629">
        <f>可抵押车位明细清单!H141</f>
        <v>30.6</v>
      </c>
      <c r="C162" s="621">
        <f t="shared" si="26"/>
        <v>1</v>
      </c>
      <c r="D162" s="630"/>
      <c r="E162" s="621">
        <f t="shared" si="27"/>
        <v>1</v>
      </c>
      <c r="F162" s="630"/>
      <c r="G162" s="621">
        <f t="shared" si="28"/>
        <v>1</v>
      </c>
      <c r="H162" s="630"/>
      <c r="I162" s="621">
        <f t="shared" si="29"/>
        <v>1</v>
      </c>
      <c r="J162" s="630"/>
      <c r="K162" s="621">
        <f t="shared" si="30"/>
        <v>1</v>
      </c>
      <c r="L162" s="630" t="str">
        <f>可抵押车位明细清单!K141</f>
        <v>标准车位</v>
      </c>
      <c r="M162" s="621">
        <f t="shared" si="31"/>
        <v>1</v>
      </c>
      <c r="N162" s="630"/>
      <c r="O162" s="621">
        <f t="shared" si="32"/>
        <v>1</v>
      </c>
      <c r="P162" s="3490" t="str">
        <f>可抵押车位明细清单!L141</f>
        <v>-1层</v>
      </c>
      <c r="Q162" s="621">
        <f t="shared" si="33"/>
        <v>1</v>
      </c>
      <c r="R162" s="681">
        <f t="shared" ca="1" si="34"/>
        <v>11.901899999999999</v>
      </c>
      <c r="S162" s="620">
        <f t="shared" ca="1" si="25"/>
        <v>0</v>
      </c>
    </row>
    <row r="163" spans="1:19">
      <c r="A163" s="628" t="str">
        <f>可抵押车位明细清单!D142</f>
        <v>1#地库324</v>
      </c>
      <c r="B163" s="629">
        <f>可抵押车位明细清单!H142</f>
        <v>30.6</v>
      </c>
      <c r="C163" s="621">
        <f t="shared" si="26"/>
        <v>1</v>
      </c>
      <c r="D163" s="630"/>
      <c r="E163" s="621">
        <f t="shared" si="27"/>
        <v>1</v>
      </c>
      <c r="F163" s="630"/>
      <c r="G163" s="621">
        <f t="shared" si="28"/>
        <v>1</v>
      </c>
      <c r="H163" s="630"/>
      <c r="I163" s="621">
        <f t="shared" si="29"/>
        <v>1</v>
      </c>
      <c r="J163" s="630"/>
      <c r="K163" s="621">
        <f t="shared" si="30"/>
        <v>1</v>
      </c>
      <c r="L163" s="630" t="str">
        <f>可抵押车位明细清单!K142</f>
        <v>标准车位</v>
      </c>
      <c r="M163" s="621">
        <f t="shared" si="31"/>
        <v>1</v>
      </c>
      <c r="N163" s="630"/>
      <c r="O163" s="621">
        <f t="shared" si="32"/>
        <v>1</v>
      </c>
      <c r="P163" s="3490" t="str">
        <f>可抵押车位明细清单!L142</f>
        <v>-1层</v>
      </c>
      <c r="Q163" s="621">
        <f t="shared" si="33"/>
        <v>1</v>
      </c>
      <c r="R163" s="681">
        <f t="shared" ca="1" si="34"/>
        <v>11.901899999999999</v>
      </c>
      <c r="S163" s="620">
        <f t="shared" ca="1" si="25"/>
        <v>0</v>
      </c>
    </row>
    <row r="164" spans="1:19">
      <c r="A164" s="628" t="str">
        <f>可抵押车位明细清单!D143</f>
        <v>1#地库329</v>
      </c>
      <c r="B164" s="629">
        <f>可抵押车位明细清单!H143</f>
        <v>30.6</v>
      </c>
      <c r="C164" s="621">
        <f t="shared" si="26"/>
        <v>1</v>
      </c>
      <c r="D164" s="630"/>
      <c r="E164" s="621">
        <f t="shared" si="27"/>
        <v>1</v>
      </c>
      <c r="F164" s="630"/>
      <c r="G164" s="621">
        <f t="shared" si="28"/>
        <v>1</v>
      </c>
      <c r="H164" s="630"/>
      <c r="I164" s="621">
        <f t="shared" si="29"/>
        <v>1</v>
      </c>
      <c r="J164" s="630"/>
      <c r="K164" s="621">
        <f t="shared" si="30"/>
        <v>1</v>
      </c>
      <c r="L164" s="630" t="str">
        <f>可抵押车位明细清单!K143</f>
        <v>标准车位</v>
      </c>
      <c r="M164" s="621">
        <f t="shared" si="31"/>
        <v>1</v>
      </c>
      <c r="N164" s="630"/>
      <c r="O164" s="621">
        <f t="shared" si="32"/>
        <v>1</v>
      </c>
      <c r="P164" s="3490" t="str">
        <f>可抵押车位明细清单!L143</f>
        <v>-1层</v>
      </c>
      <c r="Q164" s="621">
        <f t="shared" si="33"/>
        <v>1</v>
      </c>
      <c r="R164" s="681">
        <f t="shared" ca="1" si="34"/>
        <v>11.901899999999999</v>
      </c>
      <c r="S164" s="620">
        <f t="shared" ca="1" si="25"/>
        <v>0</v>
      </c>
    </row>
    <row r="165" spans="1:19">
      <c r="A165" s="628" t="str">
        <f>可抵押车位明细清单!D144</f>
        <v>1#地库331</v>
      </c>
      <c r="B165" s="629">
        <f>可抵押车位明细清单!H144</f>
        <v>30.6</v>
      </c>
      <c r="C165" s="621">
        <f t="shared" si="26"/>
        <v>1</v>
      </c>
      <c r="D165" s="630"/>
      <c r="E165" s="621">
        <f t="shared" si="27"/>
        <v>1</v>
      </c>
      <c r="F165" s="630"/>
      <c r="G165" s="621">
        <f t="shared" si="28"/>
        <v>1</v>
      </c>
      <c r="H165" s="630"/>
      <c r="I165" s="621">
        <f t="shared" si="29"/>
        <v>1</v>
      </c>
      <c r="J165" s="630"/>
      <c r="K165" s="621">
        <f t="shared" si="30"/>
        <v>1</v>
      </c>
      <c r="L165" s="630" t="str">
        <f>可抵押车位明细清单!K144</f>
        <v>标准车位</v>
      </c>
      <c r="M165" s="621">
        <f t="shared" si="31"/>
        <v>1</v>
      </c>
      <c r="N165" s="630"/>
      <c r="O165" s="621">
        <f t="shared" si="32"/>
        <v>1</v>
      </c>
      <c r="P165" s="3490" t="str">
        <f>可抵押车位明细清单!L144</f>
        <v>-1层</v>
      </c>
      <c r="Q165" s="621">
        <f t="shared" si="33"/>
        <v>1</v>
      </c>
      <c r="R165" s="681">
        <f t="shared" ca="1" si="34"/>
        <v>11.901899999999999</v>
      </c>
      <c r="S165" s="620">
        <f t="shared" ca="1" si="25"/>
        <v>0</v>
      </c>
    </row>
    <row r="166" spans="1:19">
      <c r="A166" s="628" t="str">
        <f>可抵押车位明细清单!D145</f>
        <v>1#地库333</v>
      </c>
      <c r="B166" s="629">
        <f>可抵押车位明细清单!H145</f>
        <v>30.6</v>
      </c>
      <c r="C166" s="621">
        <f t="shared" si="26"/>
        <v>1</v>
      </c>
      <c r="D166" s="630"/>
      <c r="E166" s="621">
        <f t="shared" si="27"/>
        <v>1</v>
      </c>
      <c r="F166" s="630"/>
      <c r="G166" s="621">
        <f t="shared" si="28"/>
        <v>1</v>
      </c>
      <c r="H166" s="630"/>
      <c r="I166" s="621">
        <f t="shared" si="29"/>
        <v>1</v>
      </c>
      <c r="J166" s="630"/>
      <c r="K166" s="621">
        <f t="shared" si="30"/>
        <v>1</v>
      </c>
      <c r="L166" s="630" t="str">
        <f>可抵押车位明细清单!K145</f>
        <v>标准车位</v>
      </c>
      <c r="M166" s="621">
        <f t="shared" si="31"/>
        <v>1</v>
      </c>
      <c r="N166" s="630"/>
      <c r="O166" s="621">
        <f t="shared" si="32"/>
        <v>1</v>
      </c>
      <c r="P166" s="3490" t="str">
        <f>可抵押车位明细清单!L145</f>
        <v>-1层</v>
      </c>
      <c r="Q166" s="621">
        <f t="shared" si="33"/>
        <v>1</v>
      </c>
      <c r="R166" s="681">
        <f t="shared" ca="1" si="34"/>
        <v>11.901899999999999</v>
      </c>
      <c r="S166" s="620">
        <f t="shared" ca="1" si="25"/>
        <v>0</v>
      </c>
    </row>
    <row r="167" spans="1:19">
      <c r="A167" s="628" t="str">
        <f>可抵押车位明细清单!D146</f>
        <v>1#地库334</v>
      </c>
      <c r="B167" s="629">
        <f>可抵押车位明细清单!H146</f>
        <v>30.6</v>
      </c>
      <c r="C167" s="621">
        <f t="shared" si="26"/>
        <v>1</v>
      </c>
      <c r="D167" s="630"/>
      <c r="E167" s="621">
        <f t="shared" si="27"/>
        <v>1</v>
      </c>
      <c r="F167" s="630"/>
      <c r="G167" s="621">
        <f t="shared" si="28"/>
        <v>1</v>
      </c>
      <c r="H167" s="630"/>
      <c r="I167" s="621">
        <f t="shared" si="29"/>
        <v>1</v>
      </c>
      <c r="J167" s="630"/>
      <c r="K167" s="621">
        <f t="shared" si="30"/>
        <v>1</v>
      </c>
      <c r="L167" s="630" t="str">
        <f>可抵押车位明细清单!K146</f>
        <v>标准车位</v>
      </c>
      <c r="M167" s="621">
        <f t="shared" si="31"/>
        <v>1</v>
      </c>
      <c r="N167" s="630"/>
      <c r="O167" s="621">
        <f t="shared" si="32"/>
        <v>1</v>
      </c>
      <c r="P167" s="3490" t="str">
        <f>可抵押车位明细清单!L146</f>
        <v>-1层</v>
      </c>
      <c r="Q167" s="621">
        <f t="shared" si="33"/>
        <v>1</v>
      </c>
      <c r="R167" s="681">
        <f t="shared" ca="1" si="34"/>
        <v>11.901899999999999</v>
      </c>
      <c r="S167" s="620">
        <f t="shared" ca="1" si="25"/>
        <v>0</v>
      </c>
    </row>
    <row r="168" spans="1:19">
      <c r="A168" s="628" t="str">
        <f>可抵押车位明细清单!D147</f>
        <v>1#地库376</v>
      </c>
      <c r="B168" s="629">
        <f>可抵押车位明细清单!H147</f>
        <v>30.6</v>
      </c>
      <c r="C168" s="621">
        <f t="shared" si="26"/>
        <v>1</v>
      </c>
      <c r="D168" s="630"/>
      <c r="E168" s="621">
        <f t="shared" si="27"/>
        <v>1</v>
      </c>
      <c r="F168" s="630"/>
      <c r="G168" s="621">
        <f t="shared" si="28"/>
        <v>1</v>
      </c>
      <c r="H168" s="630"/>
      <c r="I168" s="621">
        <f t="shared" si="29"/>
        <v>1</v>
      </c>
      <c r="J168" s="630"/>
      <c r="K168" s="621">
        <f t="shared" si="30"/>
        <v>1</v>
      </c>
      <c r="L168" s="630" t="str">
        <f>可抵押车位明细清单!K147</f>
        <v>标准车位</v>
      </c>
      <c r="M168" s="621">
        <f t="shared" si="31"/>
        <v>1</v>
      </c>
      <c r="N168" s="630"/>
      <c r="O168" s="621">
        <f t="shared" si="32"/>
        <v>1</v>
      </c>
      <c r="P168" s="3490" t="str">
        <f>可抵押车位明细清单!L147</f>
        <v>-1层</v>
      </c>
      <c r="Q168" s="621">
        <f t="shared" si="33"/>
        <v>1</v>
      </c>
      <c r="R168" s="681">
        <f t="shared" ca="1" si="34"/>
        <v>11.901899999999999</v>
      </c>
      <c r="S168" s="620">
        <f t="shared" ca="1" si="25"/>
        <v>0</v>
      </c>
    </row>
    <row r="169" spans="1:19">
      <c r="A169" s="628" t="str">
        <f>可抵押车位明细清单!D148</f>
        <v>1#地库393</v>
      </c>
      <c r="B169" s="629">
        <f>可抵押车位明细清单!H148</f>
        <v>30.6</v>
      </c>
      <c r="C169" s="621">
        <f t="shared" si="26"/>
        <v>1</v>
      </c>
      <c r="D169" s="630"/>
      <c r="E169" s="621">
        <f t="shared" si="27"/>
        <v>1</v>
      </c>
      <c r="F169" s="630"/>
      <c r="G169" s="621">
        <f t="shared" si="28"/>
        <v>1</v>
      </c>
      <c r="H169" s="630"/>
      <c r="I169" s="621">
        <f t="shared" si="29"/>
        <v>1</v>
      </c>
      <c r="J169" s="630"/>
      <c r="K169" s="621">
        <f t="shared" si="30"/>
        <v>1</v>
      </c>
      <c r="L169" s="630" t="str">
        <f>可抵押车位明细清单!K148</f>
        <v>标准车位</v>
      </c>
      <c r="M169" s="621">
        <f t="shared" si="31"/>
        <v>1</v>
      </c>
      <c r="N169" s="630"/>
      <c r="O169" s="621">
        <f t="shared" si="32"/>
        <v>1</v>
      </c>
      <c r="P169" s="3490" t="str">
        <f>可抵押车位明细清单!L148</f>
        <v>-1层</v>
      </c>
      <c r="Q169" s="621">
        <f t="shared" si="33"/>
        <v>1</v>
      </c>
      <c r="R169" s="681">
        <f t="shared" ca="1" si="34"/>
        <v>11.901899999999999</v>
      </c>
      <c r="S169" s="620">
        <f t="shared" ca="1" si="25"/>
        <v>0</v>
      </c>
    </row>
    <row r="170" spans="1:19">
      <c r="A170" s="628" t="str">
        <f>可抵押车位明细清单!D149</f>
        <v>1#地库397</v>
      </c>
      <c r="B170" s="629">
        <f>可抵押车位明细清单!H149</f>
        <v>30.6</v>
      </c>
      <c r="C170" s="621">
        <f t="shared" si="26"/>
        <v>1</v>
      </c>
      <c r="D170" s="630"/>
      <c r="E170" s="621">
        <f t="shared" si="27"/>
        <v>1</v>
      </c>
      <c r="F170" s="630"/>
      <c r="G170" s="621">
        <f t="shared" si="28"/>
        <v>1</v>
      </c>
      <c r="H170" s="630"/>
      <c r="I170" s="621">
        <f t="shared" si="29"/>
        <v>1</v>
      </c>
      <c r="J170" s="630"/>
      <c r="K170" s="621">
        <f t="shared" si="30"/>
        <v>1</v>
      </c>
      <c r="L170" s="630" t="str">
        <f>可抵押车位明细清单!K149</f>
        <v>标准车位</v>
      </c>
      <c r="M170" s="621">
        <f t="shared" si="31"/>
        <v>1</v>
      </c>
      <c r="N170" s="630"/>
      <c r="O170" s="621">
        <f t="shared" si="32"/>
        <v>1</v>
      </c>
      <c r="P170" s="3490" t="str">
        <f>可抵押车位明细清单!L149</f>
        <v>-1层</v>
      </c>
      <c r="Q170" s="621">
        <f t="shared" si="33"/>
        <v>1</v>
      </c>
      <c r="R170" s="681">
        <f t="shared" ca="1" si="34"/>
        <v>11.901899999999999</v>
      </c>
      <c r="S170" s="620">
        <f t="shared" ca="1" si="25"/>
        <v>0</v>
      </c>
    </row>
    <row r="171" spans="1:19">
      <c r="A171" s="628" t="str">
        <f>可抵押车位明细清单!D150</f>
        <v>1#地库398</v>
      </c>
      <c r="B171" s="629">
        <f>可抵押车位明细清单!H150</f>
        <v>30.6</v>
      </c>
      <c r="C171" s="621">
        <f t="shared" si="26"/>
        <v>1</v>
      </c>
      <c r="D171" s="630"/>
      <c r="E171" s="621">
        <f t="shared" si="27"/>
        <v>1</v>
      </c>
      <c r="F171" s="630"/>
      <c r="G171" s="621">
        <f t="shared" si="28"/>
        <v>1</v>
      </c>
      <c r="H171" s="630"/>
      <c r="I171" s="621">
        <f t="shared" si="29"/>
        <v>1</v>
      </c>
      <c r="J171" s="630"/>
      <c r="K171" s="621">
        <f t="shared" si="30"/>
        <v>1</v>
      </c>
      <c r="L171" s="630" t="str">
        <f>可抵押车位明细清单!K150</f>
        <v>标准车位</v>
      </c>
      <c r="M171" s="621">
        <f t="shared" si="31"/>
        <v>1</v>
      </c>
      <c r="N171" s="630"/>
      <c r="O171" s="621">
        <f t="shared" si="32"/>
        <v>1</v>
      </c>
      <c r="P171" s="3490" t="str">
        <f>可抵押车位明细清单!L150</f>
        <v>-1层</v>
      </c>
      <c r="Q171" s="621">
        <f t="shared" si="33"/>
        <v>1</v>
      </c>
      <c r="R171" s="681">
        <f t="shared" ca="1" si="34"/>
        <v>11.901899999999999</v>
      </c>
      <c r="S171" s="620">
        <f t="shared" ca="1" si="25"/>
        <v>0</v>
      </c>
    </row>
    <row r="172" spans="1:19">
      <c r="A172" s="628" t="str">
        <f>可抵押车位明细清单!D151</f>
        <v>1#地库399</v>
      </c>
      <c r="B172" s="629">
        <f>可抵押车位明细清单!H151</f>
        <v>30.6</v>
      </c>
      <c r="C172" s="621">
        <f t="shared" si="26"/>
        <v>1</v>
      </c>
      <c r="D172" s="630"/>
      <c r="E172" s="621">
        <f t="shared" si="27"/>
        <v>1</v>
      </c>
      <c r="F172" s="630"/>
      <c r="G172" s="621">
        <f t="shared" si="28"/>
        <v>1</v>
      </c>
      <c r="H172" s="630"/>
      <c r="I172" s="621">
        <f t="shared" si="29"/>
        <v>1</v>
      </c>
      <c r="J172" s="630"/>
      <c r="K172" s="621">
        <f t="shared" si="30"/>
        <v>1</v>
      </c>
      <c r="L172" s="630" t="str">
        <f>可抵押车位明细清单!K151</f>
        <v>标准车位</v>
      </c>
      <c r="M172" s="621">
        <f t="shared" si="31"/>
        <v>1</v>
      </c>
      <c r="N172" s="630"/>
      <c r="O172" s="621">
        <f t="shared" si="32"/>
        <v>1</v>
      </c>
      <c r="P172" s="3490" t="str">
        <f>可抵押车位明细清单!L151</f>
        <v>-1层</v>
      </c>
      <c r="Q172" s="621">
        <f t="shared" si="33"/>
        <v>1</v>
      </c>
      <c r="R172" s="681">
        <f t="shared" ca="1" si="34"/>
        <v>11.901899999999999</v>
      </c>
      <c r="S172" s="620">
        <f t="shared" ca="1" si="25"/>
        <v>0</v>
      </c>
    </row>
    <row r="173" spans="1:19">
      <c r="A173" s="628" t="str">
        <f>可抵押车位明细清单!D152</f>
        <v>1#地库401</v>
      </c>
      <c r="B173" s="629">
        <f>可抵押车位明细清单!H152</f>
        <v>31.88</v>
      </c>
      <c r="C173" s="621">
        <f t="shared" si="26"/>
        <v>1</v>
      </c>
      <c r="D173" s="630"/>
      <c r="E173" s="621">
        <f t="shared" si="27"/>
        <v>1</v>
      </c>
      <c r="F173" s="630"/>
      <c r="G173" s="621">
        <f t="shared" si="28"/>
        <v>1</v>
      </c>
      <c r="H173" s="630"/>
      <c r="I173" s="621">
        <f t="shared" si="29"/>
        <v>1</v>
      </c>
      <c r="J173" s="630"/>
      <c r="K173" s="621">
        <f t="shared" si="30"/>
        <v>1</v>
      </c>
      <c r="L173" s="630" t="str">
        <f>可抵押车位明细清单!K152</f>
        <v>标准车位</v>
      </c>
      <c r="M173" s="621">
        <f t="shared" si="31"/>
        <v>1</v>
      </c>
      <c r="N173" s="630"/>
      <c r="O173" s="621">
        <f t="shared" si="32"/>
        <v>1</v>
      </c>
      <c r="P173" s="3490" t="str">
        <f>可抵押车位明细清单!L152</f>
        <v>-1层</v>
      </c>
      <c r="Q173" s="621">
        <f t="shared" si="33"/>
        <v>1</v>
      </c>
      <c r="R173" s="681">
        <f t="shared" ca="1" si="34"/>
        <v>11.901899999999999</v>
      </c>
      <c r="S173" s="620">
        <f t="shared" ca="1" si="25"/>
        <v>0</v>
      </c>
    </row>
    <row r="174" spans="1:19">
      <c r="A174" s="628" t="str">
        <f>可抵押车位明细清单!D153</f>
        <v>1#地库405</v>
      </c>
      <c r="B174" s="629">
        <f>可抵押车位明细清单!H153</f>
        <v>30.6</v>
      </c>
      <c r="C174" s="621">
        <f t="shared" si="26"/>
        <v>1</v>
      </c>
      <c r="D174" s="630"/>
      <c r="E174" s="621">
        <f t="shared" si="27"/>
        <v>1</v>
      </c>
      <c r="F174" s="630"/>
      <c r="G174" s="621">
        <f t="shared" si="28"/>
        <v>1</v>
      </c>
      <c r="H174" s="630"/>
      <c r="I174" s="621">
        <f t="shared" si="29"/>
        <v>1</v>
      </c>
      <c r="J174" s="630"/>
      <c r="K174" s="621">
        <f t="shared" si="30"/>
        <v>1</v>
      </c>
      <c r="L174" s="630" t="str">
        <f>可抵押车位明细清单!K153</f>
        <v>标准车位</v>
      </c>
      <c r="M174" s="621">
        <f t="shared" si="31"/>
        <v>1</v>
      </c>
      <c r="N174" s="630"/>
      <c r="O174" s="621">
        <f t="shared" si="32"/>
        <v>1</v>
      </c>
      <c r="P174" s="3490" t="str">
        <f>可抵押车位明细清单!L153</f>
        <v>-1层</v>
      </c>
      <c r="Q174" s="621">
        <f t="shared" si="33"/>
        <v>1</v>
      </c>
      <c r="R174" s="681">
        <f t="shared" ca="1" si="34"/>
        <v>11.901899999999999</v>
      </c>
      <c r="S174" s="620">
        <f t="shared" ca="1" si="25"/>
        <v>0</v>
      </c>
    </row>
    <row r="175" spans="1:19">
      <c r="A175" s="628" t="str">
        <f>可抵押车位明细清单!D154</f>
        <v>1#地库409</v>
      </c>
      <c r="B175" s="629">
        <f>可抵押车位明细清单!H154</f>
        <v>30.6</v>
      </c>
      <c r="C175" s="621">
        <f t="shared" si="26"/>
        <v>1</v>
      </c>
      <c r="D175" s="630"/>
      <c r="E175" s="621">
        <f t="shared" si="27"/>
        <v>1</v>
      </c>
      <c r="F175" s="630"/>
      <c r="G175" s="621">
        <f t="shared" si="28"/>
        <v>1</v>
      </c>
      <c r="H175" s="630"/>
      <c r="I175" s="621">
        <f t="shared" si="29"/>
        <v>1</v>
      </c>
      <c r="J175" s="630"/>
      <c r="K175" s="621">
        <f t="shared" si="30"/>
        <v>1</v>
      </c>
      <c r="L175" s="630" t="str">
        <f>可抵押车位明细清单!K154</f>
        <v>标准车位</v>
      </c>
      <c r="M175" s="621">
        <f t="shared" si="31"/>
        <v>1</v>
      </c>
      <c r="N175" s="630"/>
      <c r="O175" s="621">
        <f t="shared" si="32"/>
        <v>1</v>
      </c>
      <c r="P175" s="3490" t="str">
        <f>可抵押车位明细清单!L154</f>
        <v>-1层</v>
      </c>
      <c r="Q175" s="621">
        <f t="shared" si="33"/>
        <v>1</v>
      </c>
      <c r="R175" s="681">
        <f t="shared" ca="1" si="34"/>
        <v>11.901899999999999</v>
      </c>
      <c r="S175" s="620">
        <f t="shared" ca="1" si="25"/>
        <v>0</v>
      </c>
    </row>
    <row r="176" spans="1:19">
      <c r="A176" s="628" t="str">
        <f>可抵押车位明细清单!D155</f>
        <v>1#地库412</v>
      </c>
      <c r="B176" s="629">
        <f>可抵押车位明细清单!H155</f>
        <v>30.6</v>
      </c>
      <c r="C176" s="621">
        <f t="shared" si="26"/>
        <v>1</v>
      </c>
      <c r="D176" s="630"/>
      <c r="E176" s="621">
        <f t="shared" si="27"/>
        <v>1</v>
      </c>
      <c r="F176" s="630"/>
      <c r="G176" s="621">
        <f t="shared" si="28"/>
        <v>1</v>
      </c>
      <c r="H176" s="630"/>
      <c r="I176" s="621">
        <f t="shared" si="29"/>
        <v>1</v>
      </c>
      <c r="J176" s="630"/>
      <c r="K176" s="621">
        <f t="shared" si="30"/>
        <v>1</v>
      </c>
      <c r="L176" s="630" t="str">
        <f>可抵押车位明细清单!K155</f>
        <v>标准车位</v>
      </c>
      <c r="M176" s="621">
        <f t="shared" si="31"/>
        <v>1</v>
      </c>
      <c r="N176" s="630"/>
      <c r="O176" s="621">
        <f t="shared" si="32"/>
        <v>1</v>
      </c>
      <c r="P176" s="3490" t="str">
        <f>可抵押车位明细清单!L155</f>
        <v>-1层</v>
      </c>
      <c r="Q176" s="621">
        <f t="shared" si="33"/>
        <v>1</v>
      </c>
      <c r="R176" s="681">
        <f t="shared" ca="1" si="34"/>
        <v>11.901899999999999</v>
      </c>
      <c r="S176" s="620">
        <f t="shared" ca="1" si="25"/>
        <v>0</v>
      </c>
    </row>
    <row r="177" spans="1:19">
      <c r="A177" s="628" t="str">
        <f>可抵押车位明细清单!D156</f>
        <v>1#地库413</v>
      </c>
      <c r="B177" s="629">
        <f>可抵押车位明细清单!H156</f>
        <v>30.6</v>
      </c>
      <c r="C177" s="621">
        <f t="shared" si="26"/>
        <v>1</v>
      </c>
      <c r="D177" s="630"/>
      <c r="E177" s="621">
        <f t="shared" si="27"/>
        <v>1</v>
      </c>
      <c r="F177" s="630"/>
      <c r="G177" s="621">
        <f t="shared" si="28"/>
        <v>1</v>
      </c>
      <c r="H177" s="630"/>
      <c r="I177" s="621">
        <f t="shared" si="29"/>
        <v>1</v>
      </c>
      <c r="J177" s="630"/>
      <c r="K177" s="621">
        <f t="shared" si="30"/>
        <v>1</v>
      </c>
      <c r="L177" s="630" t="str">
        <f>可抵押车位明细清单!K156</f>
        <v>标准车位</v>
      </c>
      <c r="M177" s="621">
        <f t="shared" si="31"/>
        <v>1</v>
      </c>
      <c r="N177" s="630"/>
      <c r="O177" s="621">
        <f t="shared" si="32"/>
        <v>1</v>
      </c>
      <c r="P177" s="3490" t="str">
        <f>可抵押车位明细清单!L156</f>
        <v>-1层</v>
      </c>
      <c r="Q177" s="621">
        <f t="shared" si="33"/>
        <v>1</v>
      </c>
      <c r="R177" s="681">
        <f t="shared" ca="1" si="34"/>
        <v>11.901899999999999</v>
      </c>
      <c r="S177" s="620">
        <f t="shared" ca="1" si="25"/>
        <v>0</v>
      </c>
    </row>
    <row r="178" spans="1:19">
      <c r="A178" s="628" t="str">
        <f>可抵押车位明细清单!D157</f>
        <v>1#地库414</v>
      </c>
      <c r="B178" s="629">
        <f>可抵押车位明细清单!H157</f>
        <v>30.6</v>
      </c>
      <c r="C178" s="621">
        <f t="shared" si="26"/>
        <v>1</v>
      </c>
      <c r="D178" s="630"/>
      <c r="E178" s="621">
        <f t="shared" si="27"/>
        <v>1</v>
      </c>
      <c r="F178" s="630"/>
      <c r="G178" s="621">
        <f t="shared" si="28"/>
        <v>1</v>
      </c>
      <c r="H178" s="630"/>
      <c r="I178" s="621">
        <f t="shared" si="29"/>
        <v>1</v>
      </c>
      <c r="J178" s="630"/>
      <c r="K178" s="621">
        <f t="shared" si="30"/>
        <v>1</v>
      </c>
      <c r="L178" s="630" t="str">
        <f>可抵押车位明细清单!K157</f>
        <v>标准车位</v>
      </c>
      <c r="M178" s="621">
        <f t="shared" si="31"/>
        <v>1</v>
      </c>
      <c r="N178" s="630"/>
      <c r="O178" s="621">
        <f t="shared" si="32"/>
        <v>1</v>
      </c>
      <c r="P178" s="3490" t="str">
        <f>可抵押车位明细清单!L157</f>
        <v>-1层</v>
      </c>
      <c r="Q178" s="621">
        <f t="shared" si="33"/>
        <v>1</v>
      </c>
      <c r="R178" s="681">
        <f t="shared" ca="1" si="34"/>
        <v>11.901899999999999</v>
      </c>
      <c r="S178" s="620">
        <f t="shared" ca="1" si="25"/>
        <v>0</v>
      </c>
    </row>
    <row r="179" spans="1:19">
      <c r="A179" s="628" t="str">
        <f>可抵押车位明细清单!D158</f>
        <v>1#地库415</v>
      </c>
      <c r="B179" s="629">
        <f>可抵押车位明细清单!H158</f>
        <v>30.6</v>
      </c>
      <c r="C179" s="621">
        <f t="shared" si="26"/>
        <v>1</v>
      </c>
      <c r="D179" s="630"/>
      <c r="E179" s="621">
        <f t="shared" si="27"/>
        <v>1</v>
      </c>
      <c r="F179" s="630"/>
      <c r="G179" s="621">
        <f t="shared" si="28"/>
        <v>1</v>
      </c>
      <c r="H179" s="630"/>
      <c r="I179" s="621">
        <f t="shared" si="29"/>
        <v>1</v>
      </c>
      <c r="J179" s="630"/>
      <c r="K179" s="621">
        <f t="shared" si="30"/>
        <v>1</v>
      </c>
      <c r="L179" s="630" t="str">
        <f>可抵押车位明细清单!K158</f>
        <v>标准车位</v>
      </c>
      <c r="M179" s="621">
        <f t="shared" si="31"/>
        <v>1</v>
      </c>
      <c r="N179" s="630"/>
      <c r="O179" s="621">
        <f t="shared" si="32"/>
        <v>1</v>
      </c>
      <c r="P179" s="3490" t="str">
        <f>可抵押车位明细清单!L158</f>
        <v>-1层</v>
      </c>
      <c r="Q179" s="621">
        <f t="shared" si="33"/>
        <v>1</v>
      </c>
      <c r="R179" s="681">
        <f t="shared" ca="1" si="34"/>
        <v>11.901899999999999</v>
      </c>
      <c r="S179" s="620">
        <f t="shared" ca="1" si="25"/>
        <v>0</v>
      </c>
    </row>
    <row r="180" spans="1:19">
      <c r="A180" s="628" t="str">
        <f>可抵押车位明细清单!D159</f>
        <v>1#地库416</v>
      </c>
      <c r="B180" s="629">
        <f>可抵押车位明细清单!H159</f>
        <v>30.6</v>
      </c>
      <c r="C180" s="621">
        <f t="shared" si="26"/>
        <v>1</v>
      </c>
      <c r="D180" s="630"/>
      <c r="E180" s="621">
        <f t="shared" si="27"/>
        <v>1</v>
      </c>
      <c r="F180" s="630"/>
      <c r="G180" s="621">
        <f t="shared" si="28"/>
        <v>1</v>
      </c>
      <c r="H180" s="630"/>
      <c r="I180" s="621">
        <f t="shared" si="29"/>
        <v>1</v>
      </c>
      <c r="J180" s="630"/>
      <c r="K180" s="621">
        <f t="shared" si="30"/>
        <v>1</v>
      </c>
      <c r="L180" s="630" t="str">
        <f>可抵押车位明细清单!K159</f>
        <v>标准车位</v>
      </c>
      <c r="M180" s="621">
        <f t="shared" si="31"/>
        <v>1</v>
      </c>
      <c r="N180" s="630"/>
      <c r="O180" s="621">
        <f t="shared" si="32"/>
        <v>1</v>
      </c>
      <c r="P180" s="3490" t="str">
        <f>可抵押车位明细清单!L159</f>
        <v>-1层</v>
      </c>
      <c r="Q180" s="621">
        <f t="shared" si="33"/>
        <v>1</v>
      </c>
      <c r="R180" s="681">
        <f t="shared" ca="1" si="34"/>
        <v>11.901899999999999</v>
      </c>
      <c r="S180" s="620">
        <f t="shared" ca="1" si="25"/>
        <v>0</v>
      </c>
    </row>
    <row r="181" spans="1:19">
      <c r="A181" s="628" t="str">
        <f>可抵押车位明细清单!D160</f>
        <v>1#地库418</v>
      </c>
      <c r="B181" s="629">
        <f>可抵押车位明细清单!H160</f>
        <v>30.6</v>
      </c>
      <c r="C181" s="621">
        <f t="shared" si="26"/>
        <v>1</v>
      </c>
      <c r="D181" s="630"/>
      <c r="E181" s="621">
        <f t="shared" si="27"/>
        <v>1</v>
      </c>
      <c r="F181" s="630"/>
      <c r="G181" s="621">
        <f t="shared" si="28"/>
        <v>1</v>
      </c>
      <c r="H181" s="630"/>
      <c r="I181" s="621">
        <f t="shared" si="29"/>
        <v>1</v>
      </c>
      <c r="J181" s="630"/>
      <c r="K181" s="621">
        <f t="shared" si="30"/>
        <v>1</v>
      </c>
      <c r="L181" s="630" t="str">
        <f>可抵押车位明细清单!K160</f>
        <v>标准车位</v>
      </c>
      <c r="M181" s="621">
        <f t="shared" si="31"/>
        <v>1</v>
      </c>
      <c r="N181" s="630"/>
      <c r="O181" s="621">
        <f t="shared" si="32"/>
        <v>1</v>
      </c>
      <c r="P181" s="3490" t="str">
        <f>可抵押车位明细清单!L160</f>
        <v>-1层</v>
      </c>
      <c r="Q181" s="621">
        <f t="shared" si="33"/>
        <v>1</v>
      </c>
      <c r="R181" s="681">
        <f t="shared" ca="1" si="34"/>
        <v>11.901899999999999</v>
      </c>
      <c r="S181" s="620">
        <f t="shared" ca="1" si="25"/>
        <v>0</v>
      </c>
    </row>
    <row r="182" spans="1:19">
      <c r="A182" s="628" t="str">
        <f>可抵押车位明细清单!D161</f>
        <v>1#地库419</v>
      </c>
      <c r="B182" s="629">
        <f>可抵押车位明细清单!H161</f>
        <v>30.6</v>
      </c>
      <c r="C182" s="621">
        <f t="shared" si="26"/>
        <v>1</v>
      </c>
      <c r="D182" s="630"/>
      <c r="E182" s="621">
        <f t="shared" si="27"/>
        <v>1</v>
      </c>
      <c r="F182" s="630"/>
      <c r="G182" s="621">
        <f t="shared" si="28"/>
        <v>1</v>
      </c>
      <c r="H182" s="630"/>
      <c r="I182" s="621">
        <f t="shared" si="29"/>
        <v>1</v>
      </c>
      <c r="J182" s="630"/>
      <c r="K182" s="621">
        <f t="shared" si="30"/>
        <v>1</v>
      </c>
      <c r="L182" s="630" t="str">
        <f>可抵押车位明细清单!K161</f>
        <v>标准车位</v>
      </c>
      <c r="M182" s="621">
        <f t="shared" si="31"/>
        <v>1</v>
      </c>
      <c r="N182" s="630"/>
      <c r="O182" s="621">
        <f t="shared" si="32"/>
        <v>1</v>
      </c>
      <c r="P182" s="3490" t="str">
        <f>可抵押车位明细清单!L161</f>
        <v>-1层</v>
      </c>
      <c r="Q182" s="621">
        <f t="shared" si="33"/>
        <v>1</v>
      </c>
      <c r="R182" s="681">
        <f t="shared" ca="1" si="34"/>
        <v>11.901899999999999</v>
      </c>
      <c r="S182" s="620">
        <f t="shared" ca="1" si="25"/>
        <v>0</v>
      </c>
    </row>
    <row r="183" spans="1:19">
      <c r="A183" s="628" t="str">
        <f>可抵押车位明细清单!D162</f>
        <v>1#地库421</v>
      </c>
      <c r="B183" s="629">
        <f>可抵押车位明细清单!H162</f>
        <v>30.6</v>
      </c>
      <c r="C183" s="621">
        <f t="shared" si="26"/>
        <v>1</v>
      </c>
      <c r="D183" s="630"/>
      <c r="E183" s="621">
        <f t="shared" si="27"/>
        <v>1</v>
      </c>
      <c r="F183" s="630"/>
      <c r="G183" s="621">
        <f t="shared" si="28"/>
        <v>1</v>
      </c>
      <c r="H183" s="630"/>
      <c r="I183" s="621">
        <f t="shared" si="29"/>
        <v>1</v>
      </c>
      <c r="J183" s="630"/>
      <c r="K183" s="621">
        <f t="shared" si="30"/>
        <v>1</v>
      </c>
      <c r="L183" s="630" t="str">
        <f>可抵押车位明细清单!K162</f>
        <v>标准车位</v>
      </c>
      <c r="M183" s="621">
        <f t="shared" si="31"/>
        <v>1</v>
      </c>
      <c r="N183" s="630"/>
      <c r="O183" s="621">
        <f t="shared" si="32"/>
        <v>1</v>
      </c>
      <c r="P183" s="3490" t="str">
        <f>可抵押车位明细清单!L162</f>
        <v>-1层</v>
      </c>
      <c r="Q183" s="621">
        <f t="shared" si="33"/>
        <v>1</v>
      </c>
      <c r="R183" s="681">
        <f t="shared" ca="1" si="34"/>
        <v>11.901899999999999</v>
      </c>
      <c r="S183" s="620">
        <f t="shared" ca="1" si="25"/>
        <v>0</v>
      </c>
    </row>
    <row r="184" spans="1:19">
      <c r="A184" s="628" t="str">
        <f>可抵押车位明细清单!D163</f>
        <v>1#地库422</v>
      </c>
      <c r="B184" s="629">
        <f>可抵押车位明细清单!H163</f>
        <v>30.6</v>
      </c>
      <c r="C184" s="621">
        <f t="shared" si="26"/>
        <v>1</v>
      </c>
      <c r="D184" s="630"/>
      <c r="E184" s="621">
        <f t="shared" si="27"/>
        <v>1</v>
      </c>
      <c r="F184" s="630"/>
      <c r="G184" s="621">
        <f t="shared" si="28"/>
        <v>1</v>
      </c>
      <c r="H184" s="630"/>
      <c r="I184" s="621">
        <f t="shared" si="29"/>
        <v>1</v>
      </c>
      <c r="J184" s="630"/>
      <c r="K184" s="621">
        <f t="shared" si="30"/>
        <v>1</v>
      </c>
      <c r="L184" s="630" t="str">
        <f>可抵押车位明细清单!K163</f>
        <v>标准车位</v>
      </c>
      <c r="M184" s="621">
        <f t="shared" si="31"/>
        <v>1</v>
      </c>
      <c r="N184" s="630"/>
      <c r="O184" s="621">
        <f t="shared" si="32"/>
        <v>1</v>
      </c>
      <c r="P184" s="3490" t="str">
        <f>可抵押车位明细清单!L163</f>
        <v>-1层</v>
      </c>
      <c r="Q184" s="621">
        <f t="shared" si="33"/>
        <v>1</v>
      </c>
      <c r="R184" s="681">
        <f t="shared" ca="1" si="34"/>
        <v>11.901899999999999</v>
      </c>
      <c r="S184" s="620">
        <f t="shared" ca="1" si="25"/>
        <v>0</v>
      </c>
    </row>
    <row r="185" spans="1:19">
      <c r="A185" s="628" t="str">
        <f>可抵押车位明细清单!D164</f>
        <v>1#地库423</v>
      </c>
      <c r="B185" s="629">
        <f>可抵押车位明细清单!H164</f>
        <v>30.6</v>
      </c>
      <c r="C185" s="621">
        <f t="shared" si="26"/>
        <v>1</v>
      </c>
      <c r="D185" s="630"/>
      <c r="E185" s="621">
        <f t="shared" si="27"/>
        <v>1</v>
      </c>
      <c r="F185" s="630"/>
      <c r="G185" s="621">
        <f t="shared" si="28"/>
        <v>1</v>
      </c>
      <c r="H185" s="630"/>
      <c r="I185" s="621">
        <f t="shared" si="29"/>
        <v>1</v>
      </c>
      <c r="J185" s="630"/>
      <c r="K185" s="621">
        <f t="shared" si="30"/>
        <v>1</v>
      </c>
      <c r="L185" s="630" t="str">
        <f>可抵押车位明细清单!K164</f>
        <v>标准车位</v>
      </c>
      <c r="M185" s="621">
        <f t="shared" si="31"/>
        <v>1</v>
      </c>
      <c r="N185" s="630"/>
      <c r="O185" s="621">
        <f t="shared" si="32"/>
        <v>1</v>
      </c>
      <c r="P185" s="3490" t="str">
        <f>可抵押车位明细清单!L164</f>
        <v>-1层</v>
      </c>
      <c r="Q185" s="621">
        <f t="shared" si="33"/>
        <v>1</v>
      </c>
      <c r="R185" s="681">
        <f t="shared" ca="1" si="34"/>
        <v>11.901899999999999</v>
      </c>
      <c r="S185" s="620">
        <f t="shared" ca="1" si="25"/>
        <v>0</v>
      </c>
    </row>
    <row r="186" spans="1:19">
      <c r="A186" s="628" t="str">
        <f>可抵押车位明细清单!D165</f>
        <v>1#地库424</v>
      </c>
      <c r="B186" s="629">
        <f>可抵押车位明细清单!H165</f>
        <v>30.6</v>
      </c>
      <c r="C186" s="621">
        <f t="shared" si="26"/>
        <v>1</v>
      </c>
      <c r="D186" s="630"/>
      <c r="E186" s="621">
        <f t="shared" si="27"/>
        <v>1</v>
      </c>
      <c r="F186" s="630"/>
      <c r="G186" s="621">
        <f t="shared" si="28"/>
        <v>1</v>
      </c>
      <c r="H186" s="630"/>
      <c r="I186" s="621">
        <f t="shared" si="29"/>
        <v>1</v>
      </c>
      <c r="J186" s="630"/>
      <c r="K186" s="621">
        <f t="shared" si="30"/>
        <v>1</v>
      </c>
      <c r="L186" s="630" t="str">
        <f>可抵押车位明细清单!K165</f>
        <v>标准车位</v>
      </c>
      <c r="M186" s="621">
        <f t="shared" si="31"/>
        <v>1</v>
      </c>
      <c r="N186" s="630"/>
      <c r="O186" s="621">
        <f t="shared" si="32"/>
        <v>1</v>
      </c>
      <c r="P186" s="3490" t="str">
        <f>可抵押车位明细清单!L165</f>
        <v>-1层</v>
      </c>
      <c r="Q186" s="621">
        <f t="shared" si="33"/>
        <v>1</v>
      </c>
      <c r="R186" s="681">
        <f t="shared" ca="1" si="34"/>
        <v>11.901899999999999</v>
      </c>
      <c r="S186" s="620">
        <f t="shared" ca="1" si="25"/>
        <v>0</v>
      </c>
    </row>
    <row r="187" spans="1:19">
      <c r="A187" s="628" t="str">
        <f>可抵押车位明细清单!D166</f>
        <v>1#地库425</v>
      </c>
      <c r="B187" s="629">
        <f>可抵押车位明细清单!H166</f>
        <v>30.6</v>
      </c>
      <c r="C187" s="621">
        <f t="shared" si="26"/>
        <v>1</v>
      </c>
      <c r="D187" s="630"/>
      <c r="E187" s="621">
        <f t="shared" si="27"/>
        <v>1</v>
      </c>
      <c r="F187" s="630"/>
      <c r="G187" s="621">
        <f t="shared" si="28"/>
        <v>1</v>
      </c>
      <c r="H187" s="630"/>
      <c r="I187" s="621">
        <f t="shared" si="29"/>
        <v>1</v>
      </c>
      <c r="J187" s="630"/>
      <c r="K187" s="621">
        <f t="shared" si="30"/>
        <v>1</v>
      </c>
      <c r="L187" s="630" t="str">
        <f>可抵押车位明细清单!K166</f>
        <v>标准车位</v>
      </c>
      <c r="M187" s="621">
        <f t="shared" si="31"/>
        <v>1</v>
      </c>
      <c r="N187" s="630"/>
      <c r="O187" s="621">
        <f t="shared" si="32"/>
        <v>1</v>
      </c>
      <c r="P187" s="3490" t="str">
        <f>可抵押车位明细清单!L166</f>
        <v>-1层</v>
      </c>
      <c r="Q187" s="621">
        <f t="shared" si="33"/>
        <v>1</v>
      </c>
      <c r="R187" s="681">
        <f t="shared" ca="1" si="34"/>
        <v>11.901899999999999</v>
      </c>
      <c r="S187" s="620">
        <f t="shared" ca="1" si="25"/>
        <v>0</v>
      </c>
    </row>
    <row r="188" spans="1:19">
      <c r="A188" s="628" t="str">
        <f>可抵押车位明细清单!D167</f>
        <v>1#地库426</v>
      </c>
      <c r="B188" s="629">
        <f>可抵押车位明细清单!H167</f>
        <v>30.6</v>
      </c>
      <c r="C188" s="621">
        <f t="shared" si="26"/>
        <v>1</v>
      </c>
      <c r="D188" s="630"/>
      <c r="E188" s="621">
        <f t="shared" si="27"/>
        <v>1</v>
      </c>
      <c r="F188" s="630"/>
      <c r="G188" s="621">
        <f t="shared" si="28"/>
        <v>1</v>
      </c>
      <c r="H188" s="630"/>
      <c r="I188" s="621">
        <f t="shared" si="29"/>
        <v>1</v>
      </c>
      <c r="J188" s="630"/>
      <c r="K188" s="621">
        <f t="shared" si="30"/>
        <v>1</v>
      </c>
      <c r="L188" s="630" t="str">
        <f>可抵押车位明细清单!K167</f>
        <v>标准车位</v>
      </c>
      <c r="M188" s="621">
        <f t="shared" si="31"/>
        <v>1</v>
      </c>
      <c r="N188" s="630"/>
      <c r="O188" s="621">
        <f t="shared" si="32"/>
        <v>1</v>
      </c>
      <c r="P188" s="3490" t="str">
        <f>可抵押车位明细清单!L167</f>
        <v>-1层</v>
      </c>
      <c r="Q188" s="621">
        <f t="shared" si="33"/>
        <v>1</v>
      </c>
      <c r="R188" s="681">
        <f t="shared" ca="1" si="34"/>
        <v>11.901899999999999</v>
      </c>
      <c r="S188" s="620">
        <f t="shared" ca="1" si="25"/>
        <v>0</v>
      </c>
    </row>
    <row r="189" spans="1:19">
      <c r="A189" s="628" t="str">
        <f>可抵押车位明细清单!D168</f>
        <v>1#地库427</v>
      </c>
      <c r="B189" s="629">
        <f>可抵押车位明细清单!H168</f>
        <v>30.6</v>
      </c>
      <c r="C189" s="621">
        <f t="shared" si="26"/>
        <v>1</v>
      </c>
      <c r="D189" s="630"/>
      <c r="E189" s="621">
        <f t="shared" si="27"/>
        <v>1</v>
      </c>
      <c r="F189" s="630"/>
      <c r="G189" s="621">
        <f t="shared" si="28"/>
        <v>1</v>
      </c>
      <c r="H189" s="630"/>
      <c r="I189" s="621">
        <f t="shared" si="29"/>
        <v>1</v>
      </c>
      <c r="J189" s="630"/>
      <c r="K189" s="621">
        <f t="shared" si="30"/>
        <v>1</v>
      </c>
      <c r="L189" s="630" t="str">
        <f>可抵押车位明细清单!K168</f>
        <v>标准车位</v>
      </c>
      <c r="M189" s="621">
        <f t="shared" si="31"/>
        <v>1</v>
      </c>
      <c r="N189" s="630"/>
      <c r="O189" s="621">
        <f t="shared" si="32"/>
        <v>1</v>
      </c>
      <c r="P189" s="3490" t="str">
        <f>可抵押车位明细清单!L168</f>
        <v>-1层</v>
      </c>
      <c r="Q189" s="621">
        <f t="shared" si="33"/>
        <v>1</v>
      </c>
      <c r="R189" s="681">
        <f t="shared" ca="1" si="34"/>
        <v>11.901899999999999</v>
      </c>
      <c r="S189" s="620">
        <f t="shared" ca="1" si="25"/>
        <v>0</v>
      </c>
    </row>
    <row r="190" spans="1:19">
      <c r="A190" s="628" t="str">
        <f>可抵押车位明细清单!D169</f>
        <v>1#地库430</v>
      </c>
      <c r="B190" s="629">
        <f>可抵押车位明细清单!H169</f>
        <v>30.6</v>
      </c>
      <c r="C190" s="621">
        <f t="shared" si="26"/>
        <v>1</v>
      </c>
      <c r="D190" s="630"/>
      <c r="E190" s="621">
        <f t="shared" si="27"/>
        <v>1</v>
      </c>
      <c r="F190" s="630"/>
      <c r="G190" s="621">
        <f t="shared" si="28"/>
        <v>1</v>
      </c>
      <c r="H190" s="630"/>
      <c r="I190" s="621">
        <f t="shared" si="29"/>
        <v>1</v>
      </c>
      <c r="J190" s="630"/>
      <c r="K190" s="621">
        <f t="shared" si="30"/>
        <v>1</v>
      </c>
      <c r="L190" s="630" t="str">
        <f>可抵押车位明细清单!K169</f>
        <v>标准车位</v>
      </c>
      <c r="M190" s="621">
        <f t="shared" si="31"/>
        <v>1</v>
      </c>
      <c r="N190" s="630"/>
      <c r="O190" s="621">
        <f t="shared" si="32"/>
        <v>1</v>
      </c>
      <c r="P190" s="3490" t="str">
        <f>可抵押车位明细清单!L169</f>
        <v>-1层</v>
      </c>
      <c r="Q190" s="621">
        <f t="shared" si="33"/>
        <v>1</v>
      </c>
      <c r="R190" s="681">
        <f t="shared" ca="1" si="34"/>
        <v>11.901899999999999</v>
      </c>
      <c r="S190" s="620">
        <f t="shared" ca="1" si="25"/>
        <v>0</v>
      </c>
    </row>
    <row r="191" spans="1:19">
      <c r="A191" s="628" t="str">
        <f>可抵押车位明细清单!D170</f>
        <v>1#地库431</v>
      </c>
      <c r="B191" s="629">
        <f>可抵押车位明细清单!H170</f>
        <v>30.6</v>
      </c>
      <c r="C191" s="621">
        <f t="shared" si="26"/>
        <v>1</v>
      </c>
      <c r="D191" s="630"/>
      <c r="E191" s="621">
        <f t="shared" si="27"/>
        <v>1</v>
      </c>
      <c r="F191" s="630"/>
      <c r="G191" s="621">
        <f t="shared" si="28"/>
        <v>1</v>
      </c>
      <c r="H191" s="630"/>
      <c r="I191" s="621">
        <f t="shared" si="29"/>
        <v>1</v>
      </c>
      <c r="J191" s="630"/>
      <c r="K191" s="621">
        <f t="shared" si="30"/>
        <v>1</v>
      </c>
      <c r="L191" s="630" t="str">
        <f>可抵押车位明细清单!K170</f>
        <v>标准车位</v>
      </c>
      <c r="M191" s="621">
        <f t="shared" si="31"/>
        <v>1</v>
      </c>
      <c r="N191" s="630"/>
      <c r="O191" s="621">
        <f t="shared" si="32"/>
        <v>1</v>
      </c>
      <c r="P191" s="3490" t="str">
        <f>可抵押车位明细清单!L170</f>
        <v>-1层</v>
      </c>
      <c r="Q191" s="621">
        <f t="shared" si="33"/>
        <v>1</v>
      </c>
      <c r="R191" s="681">
        <f t="shared" ca="1" si="34"/>
        <v>11.901899999999999</v>
      </c>
      <c r="S191" s="620">
        <f t="shared" ca="1" si="25"/>
        <v>0</v>
      </c>
    </row>
    <row r="192" spans="1:19">
      <c r="A192" s="628" t="str">
        <f>可抵押车位明细清单!D171</f>
        <v>1#地库433</v>
      </c>
      <c r="B192" s="629">
        <f>可抵押车位明细清单!H171</f>
        <v>30.6</v>
      </c>
      <c r="C192" s="621">
        <f t="shared" si="26"/>
        <v>1</v>
      </c>
      <c r="D192" s="630"/>
      <c r="E192" s="621">
        <f t="shared" si="27"/>
        <v>1</v>
      </c>
      <c r="F192" s="630"/>
      <c r="G192" s="621">
        <f t="shared" si="28"/>
        <v>1</v>
      </c>
      <c r="H192" s="630"/>
      <c r="I192" s="621">
        <f t="shared" si="29"/>
        <v>1</v>
      </c>
      <c r="J192" s="630"/>
      <c r="K192" s="621">
        <f t="shared" si="30"/>
        <v>1</v>
      </c>
      <c r="L192" s="630" t="str">
        <f>可抵押车位明细清单!K171</f>
        <v>标准车位</v>
      </c>
      <c r="M192" s="621">
        <f t="shared" si="31"/>
        <v>1</v>
      </c>
      <c r="N192" s="630"/>
      <c r="O192" s="621">
        <f t="shared" si="32"/>
        <v>1</v>
      </c>
      <c r="P192" s="3490" t="str">
        <f>可抵押车位明细清单!L171</f>
        <v>-1层</v>
      </c>
      <c r="Q192" s="621">
        <f t="shared" si="33"/>
        <v>1</v>
      </c>
      <c r="R192" s="681">
        <f t="shared" ca="1" si="34"/>
        <v>11.901899999999999</v>
      </c>
      <c r="S192" s="620">
        <f t="shared" ca="1" si="25"/>
        <v>0</v>
      </c>
    </row>
    <row r="193" spans="1:19">
      <c r="A193" s="628" t="str">
        <f>可抵押车位明细清单!D172</f>
        <v>1#地库441</v>
      </c>
      <c r="B193" s="629">
        <f>可抵押车位明细清单!H172</f>
        <v>30.6</v>
      </c>
      <c r="C193" s="621">
        <f t="shared" si="26"/>
        <v>1</v>
      </c>
      <c r="D193" s="630"/>
      <c r="E193" s="621">
        <f t="shared" si="27"/>
        <v>1</v>
      </c>
      <c r="F193" s="630"/>
      <c r="G193" s="621">
        <f t="shared" si="28"/>
        <v>1</v>
      </c>
      <c r="H193" s="630"/>
      <c r="I193" s="621">
        <f t="shared" si="29"/>
        <v>1</v>
      </c>
      <c r="J193" s="630"/>
      <c r="K193" s="621">
        <f t="shared" si="30"/>
        <v>1</v>
      </c>
      <c r="L193" s="630" t="str">
        <f>可抵押车位明细清单!K172</f>
        <v>标准车位</v>
      </c>
      <c r="M193" s="621">
        <f t="shared" si="31"/>
        <v>1</v>
      </c>
      <c r="N193" s="630"/>
      <c r="O193" s="621">
        <f t="shared" si="32"/>
        <v>1</v>
      </c>
      <c r="P193" s="3490" t="str">
        <f>可抵押车位明细清单!L172</f>
        <v>-1层</v>
      </c>
      <c r="Q193" s="621">
        <f t="shared" si="33"/>
        <v>1</v>
      </c>
      <c r="R193" s="681">
        <f t="shared" ca="1" si="34"/>
        <v>11.901899999999999</v>
      </c>
      <c r="S193" s="620">
        <f t="shared" ca="1" si="25"/>
        <v>0</v>
      </c>
    </row>
    <row r="194" spans="1:19">
      <c r="A194" s="628" t="str">
        <f>可抵押车位明细清单!D173</f>
        <v>1#地库442</v>
      </c>
      <c r="B194" s="629">
        <f>可抵押车位明细清单!H173</f>
        <v>30.6</v>
      </c>
      <c r="C194" s="621">
        <f t="shared" si="26"/>
        <v>1</v>
      </c>
      <c r="D194" s="630"/>
      <c r="E194" s="621">
        <f t="shared" si="27"/>
        <v>1</v>
      </c>
      <c r="F194" s="630"/>
      <c r="G194" s="621">
        <f t="shared" si="28"/>
        <v>1</v>
      </c>
      <c r="H194" s="630"/>
      <c r="I194" s="621">
        <f t="shared" si="29"/>
        <v>1</v>
      </c>
      <c r="J194" s="630"/>
      <c r="K194" s="621">
        <f t="shared" si="30"/>
        <v>1</v>
      </c>
      <c r="L194" s="630" t="str">
        <f>可抵押车位明细清单!K173</f>
        <v>标准车位</v>
      </c>
      <c r="M194" s="621">
        <f t="shared" si="31"/>
        <v>1</v>
      </c>
      <c r="N194" s="630"/>
      <c r="O194" s="621">
        <f t="shared" si="32"/>
        <v>1</v>
      </c>
      <c r="P194" s="3490" t="str">
        <f>可抵押车位明细清单!L173</f>
        <v>-1层</v>
      </c>
      <c r="Q194" s="621">
        <f t="shared" si="33"/>
        <v>1</v>
      </c>
      <c r="R194" s="681">
        <f t="shared" ca="1" si="34"/>
        <v>11.901899999999999</v>
      </c>
      <c r="S194" s="620">
        <f t="shared" ca="1" si="25"/>
        <v>0</v>
      </c>
    </row>
    <row r="195" spans="1:19">
      <c r="A195" s="628" t="str">
        <f>可抵押车位明细清单!D174</f>
        <v>1#地库444</v>
      </c>
      <c r="B195" s="629">
        <f>可抵押车位明细清单!H174</f>
        <v>30.6</v>
      </c>
      <c r="C195" s="621">
        <f t="shared" si="26"/>
        <v>1</v>
      </c>
      <c r="D195" s="630"/>
      <c r="E195" s="621">
        <f t="shared" si="27"/>
        <v>1</v>
      </c>
      <c r="F195" s="630"/>
      <c r="G195" s="621">
        <f t="shared" si="28"/>
        <v>1</v>
      </c>
      <c r="H195" s="630"/>
      <c r="I195" s="621">
        <f t="shared" si="29"/>
        <v>1</v>
      </c>
      <c r="J195" s="630"/>
      <c r="K195" s="621">
        <f t="shared" si="30"/>
        <v>1</v>
      </c>
      <c r="L195" s="630" t="str">
        <f>可抵押车位明细清单!K174</f>
        <v>标准车位</v>
      </c>
      <c r="M195" s="621">
        <f t="shared" si="31"/>
        <v>1</v>
      </c>
      <c r="N195" s="630"/>
      <c r="O195" s="621">
        <f t="shared" si="32"/>
        <v>1</v>
      </c>
      <c r="P195" s="3490" t="str">
        <f>可抵押车位明细清单!L174</f>
        <v>-1层</v>
      </c>
      <c r="Q195" s="621">
        <f t="shared" si="33"/>
        <v>1</v>
      </c>
      <c r="R195" s="681">
        <f t="shared" ca="1" si="34"/>
        <v>11.901899999999999</v>
      </c>
      <c r="S195" s="620">
        <f t="shared" ca="1" si="25"/>
        <v>0</v>
      </c>
    </row>
    <row r="196" spans="1:19">
      <c r="A196" s="628" t="str">
        <f>可抵押车位明细清单!D175</f>
        <v>1#地库448</v>
      </c>
      <c r="B196" s="629">
        <f>可抵押车位明细清单!H175</f>
        <v>30.6</v>
      </c>
      <c r="C196" s="621">
        <f t="shared" si="26"/>
        <v>1</v>
      </c>
      <c r="D196" s="630"/>
      <c r="E196" s="621">
        <f t="shared" si="27"/>
        <v>1</v>
      </c>
      <c r="F196" s="630"/>
      <c r="G196" s="621">
        <f t="shared" si="28"/>
        <v>1</v>
      </c>
      <c r="H196" s="630"/>
      <c r="I196" s="621">
        <f t="shared" si="29"/>
        <v>1</v>
      </c>
      <c r="J196" s="630"/>
      <c r="K196" s="621">
        <f t="shared" si="30"/>
        <v>1</v>
      </c>
      <c r="L196" s="630" t="str">
        <f>可抵押车位明细清单!K175</f>
        <v>标准车位</v>
      </c>
      <c r="M196" s="621">
        <f t="shared" si="31"/>
        <v>1</v>
      </c>
      <c r="N196" s="630"/>
      <c r="O196" s="621">
        <f t="shared" si="32"/>
        <v>1</v>
      </c>
      <c r="P196" s="3490" t="str">
        <f>可抵押车位明细清单!L175</f>
        <v>-1层</v>
      </c>
      <c r="Q196" s="621">
        <f t="shared" si="33"/>
        <v>1</v>
      </c>
      <c r="R196" s="681">
        <f t="shared" ca="1" si="34"/>
        <v>11.901899999999999</v>
      </c>
      <c r="S196" s="620">
        <f t="shared" ca="1" si="25"/>
        <v>0</v>
      </c>
    </row>
    <row r="197" spans="1:19">
      <c r="A197" s="628" t="str">
        <f>可抵押车位明细清单!D176</f>
        <v>1#地库451</v>
      </c>
      <c r="B197" s="629">
        <f>可抵押车位明细清单!H176</f>
        <v>30.6</v>
      </c>
      <c r="C197" s="621">
        <f t="shared" si="26"/>
        <v>1</v>
      </c>
      <c r="D197" s="630"/>
      <c r="E197" s="621">
        <f t="shared" si="27"/>
        <v>1</v>
      </c>
      <c r="F197" s="630"/>
      <c r="G197" s="621">
        <f t="shared" si="28"/>
        <v>1</v>
      </c>
      <c r="H197" s="630"/>
      <c r="I197" s="621">
        <f t="shared" si="29"/>
        <v>1</v>
      </c>
      <c r="J197" s="630"/>
      <c r="K197" s="621">
        <f t="shared" si="30"/>
        <v>1</v>
      </c>
      <c r="L197" s="630" t="str">
        <f>可抵押车位明细清单!K176</f>
        <v>标准车位</v>
      </c>
      <c r="M197" s="621">
        <f t="shared" si="31"/>
        <v>1</v>
      </c>
      <c r="N197" s="630"/>
      <c r="O197" s="621">
        <f t="shared" si="32"/>
        <v>1</v>
      </c>
      <c r="P197" s="3490" t="str">
        <f>可抵押车位明细清单!L176</f>
        <v>-1层</v>
      </c>
      <c r="Q197" s="621">
        <f t="shared" si="33"/>
        <v>1</v>
      </c>
      <c r="R197" s="681">
        <f t="shared" ca="1" si="34"/>
        <v>11.901899999999999</v>
      </c>
      <c r="S197" s="620">
        <f t="shared" ca="1" si="25"/>
        <v>0</v>
      </c>
    </row>
    <row r="198" spans="1:19">
      <c r="A198" s="628" t="str">
        <f>可抵押车位明细清单!D177</f>
        <v>1#地库454</v>
      </c>
      <c r="B198" s="629">
        <f>可抵押车位明细清单!H177</f>
        <v>30.6</v>
      </c>
      <c r="C198" s="621">
        <f t="shared" si="26"/>
        <v>1</v>
      </c>
      <c r="D198" s="630"/>
      <c r="E198" s="621">
        <f t="shared" si="27"/>
        <v>1</v>
      </c>
      <c r="F198" s="630"/>
      <c r="G198" s="621">
        <f t="shared" si="28"/>
        <v>1</v>
      </c>
      <c r="H198" s="630"/>
      <c r="I198" s="621">
        <f t="shared" si="29"/>
        <v>1</v>
      </c>
      <c r="J198" s="630"/>
      <c r="K198" s="621">
        <f t="shared" si="30"/>
        <v>1</v>
      </c>
      <c r="L198" s="630" t="str">
        <f>可抵押车位明细清单!K177</f>
        <v>标准车位</v>
      </c>
      <c r="M198" s="621">
        <f t="shared" si="31"/>
        <v>1</v>
      </c>
      <c r="N198" s="630"/>
      <c r="O198" s="621">
        <f t="shared" si="32"/>
        <v>1</v>
      </c>
      <c r="P198" s="3490" t="str">
        <f>可抵押车位明细清单!L177</f>
        <v>-1层</v>
      </c>
      <c r="Q198" s="621">
        <f t="shared" si="33"/>
        <v>1</v>
      </c>
      <c r="R198" s="681">
        <f t="shared" ca="1" si="34"/>
        <v>11.901899999999999</v>
      </c>
      <c r="S198" s="620">
        <f t="shared" ca="1" si="25"/>
        <v>0</v>
      </c>
    </row>
    <row r="199" spans="1:19">
      <c r="A199" s="628" t="str">
        <f>可抵押车位明细清单!D178</f>
        <v>1#地库462</v>
      </c>
      <c r="B199" s="629">
        <f>可抵押车位明细清单!H178</f>
        <v>30.6</v>
      </c>
      <c r="C199" s="621">
        <f t="shared" si="26"/>
        <v>1</v>
      </c>
      <c r="D199" s="630"/>
      <c r="E199" s="621">
        <f t="shared" si="27"/>
        <v>1</v>
      </c>
      <c r="F199" s="630"/>
      <c r="G199" s="621">
        <f t="shared" si="28"/>
        <v>1</v>
      </c>
      <c r="H199" s="630"/>
      <c r="I199" s="621">
        <f t="shared" si="29"/>
        <v>1</v>
      </c>
      <c r="J199" s="630"/>
      <c r="K199" s="621">
        <f t="shared" si="30"/>
        <v>1</v>
      </c>
      <c r="L199" s="630" t="str">
        <f>可抵押车位明细清单!K178</f>
        <v>标准车位</v>
      </c>
      <c r="M199" s="621">
        <f t="shared" si="31"/>
        <v>1</v>
      </c>
      <c r="N199" s="630"/>
      <c r="O199" s="621">
        <f t="shared" si="32"/>
        <v>1</v>
      </c>
      <c r="P199" s="3490" t="str">
        <f>可抵押车位明细清单!L178</f>
        <v>-1层</v>
      </c>
      <c r="Q199" s="621">
        <f t="shared" si="33"/>
        <v>1</v>
      </c>
      <c r="R199" s="681">
        <f t="shared" ca="1" si="34"/>
        <v>11.901899999999999</v>
      </c>
      <c r="S199" s="620">
        <f t="shared" ca="1" si="25"/>
        <v>0</v>
      </c>
    </row>
    <row r="200" spans="1:19">
      <c r="A200" s="628" t="str">
        <f>可抵押车位明细清单!D179</f>
        <v>1#地库463</v>
      </c>
      <c r="B200" s="629">
        <f>可抵押车位明细清单!H179</f>
        <v>30.6</v>
      </c>
      <c r="C200" s="621">
        <f t="shared" si="26"/>
        <v>1</v>
      </c>
      <c r="D200" s="630"/>
      <c r="E200" s="621">
        <f t="shared" si="27"/>
        <v>1</v>
      </c>
      <c r="F200" s="630"/>
      <c r="G200" s="621">
        <f t="shared" si="28"/>
        <v>1</v>
      </c>
      <c r="H200" s="630"/>
      <c r="I200" s="621">
        <f t="shared" si="29"/>
        <v>1</v>
      </c>
      <c r="J200" s="630"/>
      <c r="K200" s="621">
        <f t="shared" si="30"/>
        <v>1</v>
      </c>
      <c r="L200" s="630" t="str">
        <f>可抵押车位明细清单!K179</f>
        <v>标准车位</v>
      </c>
      <c r="M200" s="621">
        <f t="shared" si="31"/>
        <v>1</v>
      </c>
      <c r="N200" s="630"/>
      <c r="O200" s="621">
        <f t="shared" si="32"/>
        <v>1</v>
      </c>
      <c r="P200" s="3490" t="str">
        <f>可抵押车位明细清单!L179</f>
        <v>-1层</v>
      </c>
      <c r="Q200" s="621">
        <f t="shared" si="33"/>
        <v>1</v>
      </c>
      <c r="R200" s="681">
        <f t="shared" ca="1" si="34"/>
        <v>11.901899999999999</v>
      </c>
      <c r="S200" s="620">
        <f t="shared" ca="1" si="25"/>
        <v>0</v>
      </c>
    </row>
    <row r="201" spans="1:19">
      <c r="A201" s="628" t="str">
        <f>可抵押车位明细清单!D180</f>
        <v>1#地库464</v>
      </c>
      <c r="B201" s="629">
        <f>可抵押车位明细清单!H180</f>
        <v>30.6</v>
      </c>
      <c r="C201" s="621">
        <f t="shared" si="26"/>
        <v>1</v>
      </c>
      <c r="D201" s="630"/>
      <c r="E201" s="621">
        <f t="shared" si="27"/>
        <v>1</v>
      </c>
      <c r="F201" s="630"/>
      <c r="G201" s="621">
        <f t="shared" si="28"/>
        <v>1</v>
      </c>
      <c r="H201" s="630"/>
      <c r="I201" s="621">
        <f t="shared" si="29"/>
        <v>1</v>
      </c>
      <c r="J201" s="630"/>
      <c r="K201" s="621">
        <f t="shared" si="30"/>
        <v>1</v>
      </c>
      <c r="L201" s="630" t="str">
        <f>可抵押车位明细清单!K180</f>
        <v>标准车位</v>
      </c>
      <c r="M201" s="621">
        <f t="shared" si="31"/>
        <v>1</v>
      </c>
      <c r="N201" s="630"/>
      <c r="O201" s="621">
        <f t="shared" si="32"/>
        <v>1</v>
      </c>
      <c r="P201" s="3490" t="str">
        <f>可抵押车位明细清单!L180</f>
        <v>-1层</v>
      </c>
      <c r="Q201" s="621">
        <f t="shared" si="33"/>
        <v>1</v>
      </c>
      <c r="R201" s="681">
        <f t="shared" ca="1" si="34"/>
        <v>11.901899999999999</v>
      </c>
      <c r="S201" s="620">
        <f t="shared" ca="1" si="25"/>
        <v>0</v>
      </c>
    </row>
    <row r="202" spans="1:19">
      <c r="A202" s="628" t="str">
        <f>可抵押车位明细清单!D181</f>
        <v>1#地库465</v>
      </c>
      <c r="B202" s="629">
        <f>可抵押车位明细清单!H181</f>
        <v>30.6</v>
      </c>
      <c r="C202" s="621">
        <f t="shared" si="26"/>
        <v>1</v>
      </c>
      <c r="D202" s="630"/>
      <c r="E202" s="621">
        <f t="shared" si="27"/>
        <v>1</v>
      </c>
      <c r="F202" s="630"/>
      <c r="G202" s="621">
        <f t="shared" si="28"/>
        <v>1</v>
      </c>
      <c r="H202" s="630"/>
      <c r="I202" s="621">
        <f t="shared" si="29"/>
        <v>1</v>
      </c>
      <c r="J202" s="630"/>
      <c r="K202" s="621">
        <f t="shared" si="30"/>
        <v>1</v>
      </c>
      <c r="L202" s="630" t="str">
        <f>可抵押车位明细清单!K181</f>
        <v>标准车位</v>
      </c>
      <c r="M202" s="621">
        <f t="shared" si="31"/>
        <v>1</v>
      </c>
      <c r="N202" s="630"/>
      <c r="O202" s="621">
        <f t="shared" si="32"/>
        <v>1</v>
      </c>
      <c r="P202" s="3490" t="str">
        <f>可抵押车位明细清单!L181</f>
        <v>-1层</v>
      </c>
      <c r="Q202" s="621">
        <f t="shared" si="33"/>
        <v>1</v>
      </c>
      <c r="R202" s="681">
        <f t="shared" ca="1" si="34"/>
        <v>11.901899999999999</v>
      </c>
      <c r="S202" s="620">
        <f t="shared" ca="1" si="25"/>
        <v>0</v>
      </c>
    </row>
    <row r="203" spans="1:19">
      <c r="A203" s="628" t="str">
        <f>可抵押车位明细清单!D182</f>
        <v>1#地库466</v>
      </c>
      <c r="B203" s="629">
        <f>可抵押车位明细清单!H182</f>
        <v>30.6</v>
      </c>
      <c r="C203" s="621">
        <f t="shared" si="26"/>
        <v>1</v>
      </c>
      <c r="D203" s="630"/>
      <c r="E203" s="621">
        <f t="shared" si="27"/>
        <v>1</v>
      </c>
      <c r="F203" s="630"/>
      <c r="G203" s="621">
        <f t="shared" si="28"/>
        <v>1</v>
      </c>
      <c r="H203" s="630"/>
      <c r="I203" s="621">
        <f t="shared" si="29"/>
        <v>1</v>
      </c>
      <c r="J203" s="630"/>
      <c r="K203" s="621">
        <f t="shared" si="30"/>
        <v>1</v>
      </c>
      <c r="L203" s="630" t="str">
        <f>可抵押车位明细清单!K182</f>
        <v>标准车位</v>
      </c>
      <c r="M203" s="621">
        <f t="shared" si="31"/>
        <v>1</v>
      </c>
      <c r="N203" s="630"/>
      <c r="O203" s="621">
        <f t="shared" si="32"/>
        <v>1</v>
      </c>
      <c r="P203" s="3490" t="str">
        <f>可抵押车位明细清单!L182</f>
        <v>-1层</v>
      </c>
      <c r="Q203" s="621">
        <f t="shared" si="33"/>
        <v>1</v>
      </c>
      <c r="R203" s="681">
        <f t="shared" ca="1" si="34"/>
        <v>11.901899999999999</v>
      </c>
      <c r="S203" s="620">
        <f t="shared" ca="1" si="25"/>
        <v>0</v>
      </c>
    </row>
    <row r="204" spans="1:19">
      <c r="A204" s="628" t="str">
        <f>可抵押车位明细清单!D183</f>
        <v>1#地库467</v>
      </c>
      <c r="B204" s="629">
        <f>可抵押车位明细清单!H183</f>
        <v>30.6</v>
      </c>
      <c r="C204" s="621">
        <f t="shared" si="26"/>
        <v>1</v>
      </c>
      <c r="D204" s="630"/>
      <c r="E204" s="621">
        <f t="shared" si="27"/>
        <v>1</v>
      </c>
      <c r="F204" s="630"/>
      <c r="G204" s="621">
        <f t="shared" si="28"/>
        <v>1</v>
      </c>
      <c r="H204" s="630"/>
      <c r="I204" s="621">
        <f t="shared" si="29"/>
        <v>1</v>
      </c>
      <c r="J204" s="630"/>
      <c r="K204" s="621">
        <f t="shared" si="30"/>
        <v>1</v>
      </c>
      <c r="L204" s="630" t="str">
        <f>可抵押车位明细清单!K183</f>
        <v>标准车位</v>
      </c>
      <c r="M204" s="621">
        <f t="shared" si="31"/>
        <v>1</v>
      </c>
      <c r="N204" s="630"/>
      <c r="O204" s="621">
        <f t="shared" si="32"/>
        <v>1</v>
      </c>
      <c r="P204" s="3490" t="str">
        <f>可抵押车位明细清单!L183</f>
        <v>-1层</v>
      </c>
      <c r="Q204" s="621">
        <f t="shared" si="33"/>
        <v>1</v>
      </c>
      <c r="R204" s="681">
        <f t="shared" ca="1" si="34"/>
        <v>11.901899999999999</v>
      </c>
      <c r="S204" s="620">
        <f t="shared" ca="1" si="25"/>
        <v>0</v>
      </c>
    </row>
    <row r="205" spans="1:19">
      <c r="A205" s="628" t="str">
        <f>可抵押车位明细清单!D184</f>
        <v>1#地库468</v>
      </c>
      <c r="B205" s="629">
        <f>可抵押车位明细清单!H184</f>
        <v>30.6</v>
      </c>
      <c r="C205" s="621">
        <f t="shared" si="26"/>
        <v>1</v>
      </c>
      <c r="D205" s="630"/>
      <c r="E205" s="621">
        <f t="shared" si="27"/>
        <v>1</v>
      </c>
      <c r="F205" s="630"/>
      <c r="G205" s="621">
        <f t="shared" si="28"/>
        <v>1</v>
      </c>
      <c r="H205" s="630"/>
      <c r="I205" s="621">
        <f t="shared" si="29"/>
        <v>1</v>
      </c>
      <c r="J205" s="630"/>
      <c r="K205" s="621">
        <f t="shared" si="30"/>
        <v>1</v>
      </c>
      <c r="L205" s="630" t="str">
        <f>可抵押车位明细清单!K184</f>
        <v>标准车位</v>
      </c>
      <c r="M205" s="621">
        <f t="shared" si="31"/>
        <v>1</v>
      </c>
      <c r="N205" s="630"/>
      <c r="O205" s="621">
        <f t="shared" si="32"/>
        <v>1</v>
      </c>
      <c r="P205" s="3490" t="str">
        <f>可抵押车位明细清单!L184</f>
        <v>-1层</v>
      </c>
      <c r="Q205" s="621">
        <f t="shared" si="33"/>
        <v>1</v>
      </c>
      <c r="R205" s="681">
        <f t="shared" ca="1" si="34"/>
        <v>11.901899999999999</v>
      </c>
      <c r="S205" s="620">
        <f t="shared" ca="1" si="25"/>
        <v>0</v>
      </c>
    </row>
    <row r="206" spans="1:19">
      <c r="A206" s="628" t="str">
        <f>可抵押车位明细清单!D185</f>
        <v>1#地库469</v>
      </c>
      <c r="B206" s="629">
        <f>可抵押车位明细清单!H185</f>
        <v>30.6</v>
      </c>
      <c r="C206" s="621">
        <f t="shared" si="26"/>
        <v>1</v>
      </c>
      <c r="D206" s="630"/>
      <c r="E206" s="621">
        <f t="shared" si="27"/>
        <v>1</v>
      </c>
      <c r="F206" s="630"/>
      <c r="G206" s="621">
        <f t="shared" si="28"/>
        <v>1</v>
      </c>
      <c r="H206" s="630"/>
      <c r="I206" s="621">
        <f t="shared" si="29"/>
        <v>1</v>
      </c>
      <c r="J206" s="630"/>
      <c r="K206" s="621">
        <f t="shared" si="30"/>
        <v>1</v>
      </c>
      <c r="L206" s="630" t="str">
        <f>可抵押车位明细清单!K185</f>
        <v>标准车位</v>
      </c>
      <c r="M206" s="621">
        <f t="shared" si="31"/>
        <v>1</v>
      </c>
      <c r="N206" s="630"/>
      <c r="O206" s="621">
        <f t="shared" si="32"/>
        <v>1</v>
      </c>
      <c r="P206" s="3490" t="str">
        <f>可抵押车位明细清单!L185</f>
        <v>-1层</v>
      </c>
      <c r="Q206" s="621">
        <f t="shared" si="33"/>
        <v>1</v>
      </c>
      <c r="R206" s="681">
        <f t="shared" ca="1" si="34"/>
        <v>11.901899999999999</v>
      </c>
      <c r="S206" s="620">
        <f t="shared" ca="1" si="25"/>
        <v>0</v>
      </c>
    </row>
    <row r="207" spans="1:19">
      <c r="A207" s="628" t="str">
        <f>可抵押车位明细清单!D186</f>
        <v>1#地库470</v>
      </c>
      <c r="B207" s="629">
        <f>可抵押车位明细清单!H186</f>
        <v>30.6</v>
      </c>
      <c r="C207" s="621">
        <f t="shared" si="26"/>
        <v>1</v>
      </c>
      <c r="D207" s="630"/>
      <c r="E207" s="621">
        <f t="shared" si="27"/>
        <v>1</v>
      </c>
      <c r="F207" s="630"/>
      <c r="G207" s="621">
        <f t="shared" si="28"/>
        <v>1</v>
      </c>
      <c r="H207" s="630"/>
      <c r="I207" s="621">
        <f t="shared" si="29"/>
        <v>1</v>
      </c>
      <c r="J207" s="630"/>
      <c r="K207" s="621">
        <f t="shared" si="30"/>
        <v>1</v>
      </c>
      <c r="L207" s="630" t="str">
        <f>可抵押车位明细清单!K186</f>
        <v>标准车位</v>
      </c>
      <c r="M207" s="621">
        <f t="shared" si="31"/>
        <v>1</v>
      </c>
      <c r="N207" s="630"/>
      <c r="O207" s="621">
        <f t="shared" si="32"/>
        <v>1</v>
      </c>
      <c r="P207" s="3490" t="str">
        <f>可抵押车位明细清单!L186</f>
        <v>-1层</v>
      </c>
      <c r="Q207" s="621">
        <f t="shared" si="33"/>
        <v>1</v>
      </c>
      <c r="R207" s="681">
        <f t="shared" ca="1" si="34"/>
        <v>11.901899999999999</v>
      </c>
      <c r="S207" s="620">
        <f t="shared" ca="1" si="25"/>
        <v>0</v>
      </c>
    </row>
    <row r="208" spans="1:19">
      <c r="A208" s="628" t="str">
        <f>可抵押车位明细清单!D187</f>
        <v>1#地库471</v>
      </c>
      <c r="B208" s="629">
        <f>可抵押车位明细清单!H187</f>
        <v>30.6</v>
      </c>
      <c r="C208" s="621">
        <f t="shared" si="26"/>
        <v>1</v>
      </c>
      <c r="D208" s="630"/>
      <c r="E208" s="621">
        <f t="shared" si="27"/>
        <v>1</v>
      </c>
      <c r="F208" s="630"/>
      <c r="G208" s="621">
        <f t="shared" si="28"/>
        <v>1</v>
      </c>
      <c r="H208" s="630"/>
      <c r="I208" s="621">
        <f t="shared" si="29"/>
        <v>1</v>
      </c>
      <c r="J208" s="630"/>
      <c r="K208" s="621">
        <f t="shared" si="30"/>
        <v>1</v>
      </c>
      <c r="L208" s="630" t="str">
        <f>可抵押车位明细清单!K187</f>
        <v>标准车位</v>
      </c>
      <c r="M208" s="621">
        <f t="shared" si="31"/>
        <v>1</v>
      </c>
      <c r="N208" s="630"/>
      <c r="O208" s="621">
        <f t="shared" si="32"/>
        <v>1</v>
      </c>
      <c r="P208" s="3490" t="str">
        <f>可抵押车位明细清单!L187</f>
        <v>-1层</v>
      </c>
      <c r="Q208" s="621">
        <f t="shared" si="33"/>
        <v>1</v>
      </c>
      <c r="R208" s="681">
        <f t="shared" ca="1" si="34"/>
        <v>11.901899999999999</v>
      </c>
      <c r="S208" s="620">
        <f t="shared" ca="1" si="25"/>
        <v>0</v>
      </c>
    </row>
    <row r="209" spans="1:19">
      <c r="A209" s="628" t="str">
        <f>可抵押车位明细清单!D188</f>
        <v>1#地库473</v>
      </c>
      <c r="B209" s="629">
        <f>可抵押车位明细清单!H188</f>
        <v>30.6</v>
      </c>
      <c r="C209" s="621">
        <f t="shared" si="26"/>
        <v>1</v>
      </c>
      <c r="D209" s="630"/>
      <c r="E209" s="621">
        <f t="shared" si="27"/>
        <v>1</v>
      </c>
      <c r="F209" s="630"/>
      <c r="G209" s="621">
        <f t="shared" si="28"/>
        <v>1</v>
      </c>
      <c r="H209" s="630"/>
      <c r="I209" s="621">
        <f t="shared" si="29"/>
        <v>1</v>
      </c>
      <c r="J209" s="630"/>
      <c r="K209" s="621">
        <f t="shared" si="30"/>
        <v>1</v>
      </c>
      <c r="L209" s="630" t="str">
        <f>可抵押车位明细清单!K188</f>
        <v>标准车位</v>
      </c>
      <c r="M209" s="621">
        <f t="shared" si="31"/>
        <v>1</v>
      </c>
      <c r="N209" s="630"/>
      <c r="O209" s="621">
        <f t="shared" si="32"/>
        <v>1</v>
      </c>
      <c r="P209" s="3490" t="str">
        <f>可抵押车位明细清单!L188</f>
        <v>-1层</v>
      </c>
      <c r="Q209" s="621">
        <f t="shared" si="33"/>
        <v>1</v>
      </c>
      <c r="R209" s="681">
        <f t="shared" ca="1" si="34"/>
        <v>11.901899999999999</v>
      </c>
      <c r="S209" s="620">
        <f t="shared" ca="1" si="25"/>
        <v>0</v>
      </c>
    </row>
    <row r="210" spans="1:19">
      <c r="A210" s="628" t="str">
        <f>可抵押车位明细清单!D189</f>
        <v>1#地库474</v>
      </c>
      <c r="B210" s="629">
        <f>可抵押车位明细清单!H189</f>
        <v>30.6</v>
      </c>
      <c r="C210" s="621">
        <f t="shared" si="26"/>
        <v>1</v>
      </c>
      <c r="D210" s="630"/>
      <c r="E210" s="621">
        <f t="shared" si="27"/>
        <v>1</v>
      </c>
      <c r="F210" s="630"/>
      <c r="G210" s="621">
        <f t="shared" si="28"/>
        <v>1</v>
      </c>
      <c r="H210" s="630"/>
      <c r="I210" s="621">
        <f t="shared" si="29"/>
        <v>1</v>
      </c>
      <c r="J210" s="630"/>
      <c r="K210" s="621">
        <f t="shared" si="30"/>
        <v>1</v>
      </c>
      <c r="L210" s="630" t="str">
        <f>可抵押车位明细清单!K189</f>
        <v>标准车位</v>
      </c>
      <c r="M210" s="621">
        <f t="shared" si="31"/>
        <v>1</v>
      </c>
      <c r="N210" s="630"/>
      <c r="O210" s="621">
        <f t="shared" si="32"/>
        <v>1</v>
      </c>
      <c r="P210" s="3490" t="str">
        <f>可抵押车位明细清单!L189</f>
        <v>-1层</v>
      </c>
      <c r="Q210" s="621">
        <f t="shared" si="33"/>
        <v>1</v>
      </c>
      <c r="R210" s="681">
        <f t="shared" ca="1" si="34"/>
        <v>11.901899999999999</v>
      </c>
      <c r="S210" s="620">
        <f t="shared" ca="1" si="25"/>
        <v>0</v>
      </c>
    </row>
    <row r="211" spans="1:19">
      <c r="A211" s="628" t="str">
        <f>可抵押车位明细清单!D190</f>
        <v>1#地库475</v>
      </c>
      <c r="B211" s="629">
        <f>可抵押车位明细清单!H190</f>
        <v>30.6</v>
      </c>
      <c r="C211" s="621">
        <f t="shared" si="26"/>
        <v>1</v>
      </c>
      <c r="D211" s="630"/>
      <c r="E211" s="621">
        <f t="shared" si="27"/>
        <v>1</v>
      </c>
      <c r="F211" s="630"/>
      <c r="G211" s="621">
        <f t="shared" si="28"/>
        <v>1</v>
      </c>
      <c r="H211" s="630"/>
      <c r="I211" s="621">
        <f t="shared" si="29"/>
        <v>1</v>
      </c>
      <c r="J211" s="630"/>
      <c r="K211" s="621">
        <f t="shared" si="30"/>
        <v>1</v>
      </c>
      <c r="L211" s="630" t="str">
        <f>可抵押车位明细清单!K190</f>
        <v>标准车位</v>
      </c>
      <c r="M211" s="621">
        <f t="shared" si="31"/>
        <v>1</v>
      </c>
      <c r="N211" s="630"/>
      <c r="O211" s="621">
        <f t="shared" si="32"/>
        <v>1</v>
      </c>
      <c r="P211" s="3490" t="str">
        <f>可抵押车位明细清单!L190</f>
        <v>-1层</v>
      </c>
      <c r="Q211" s="621">
        <f t="shared" si="33"/>
        <v>1</v>
      </c>
      <c r="R211" s="681">
        <f t="shared" ca="1" si="34"/>
        <v>11.901899999999999</v>
      </c>
      <c r="S211" s="620">
        <f t="shared" ca="1" si="25"/>
        <v>0</v>
      </c>
    </row>
    <row r="212" spans="1:19">
      <c r="A212" s="628" t="str">
        <f>可抵押车位明细清单!D191</f>
        <v>1#地库477</v>
      </c>
      <c r="B212" s="629">
        <f>可抵押车位明细清单!H191</f>
        <v>30.6</v>
      </c>
      <c r="C212" s="621">
        <f t="shared" si="26"/>
        <v>1</v>
      </c>
      <c r="D212" s="630"/>
      <c r="E212" s="621">
        <f t="shared" si="27"/>
        <v>1</v>
      </c>
      <c r="F212" s="630"/>
      <c r="G212" s="621">
        <f t="shared" si="28"/>
        <v>1</v>
      </c>
      <c r="H212" s="630"/>
      <c r="I212" s="621">
        <f t="shared" si="29"/>
        <v>1</v>
      </c>
      <c r="J212" s="630"/>
      <c r="K212" s="621">
        <f t="shared" si="30"/>
        <v>1</v>
      </c>
      <c r="L212" s="630" t="str">
        <f>可抵押车位明细清单!K191</f>
        <v>标准车位</v>
      </c>
      <c r="M212" s="621">
        <f t="shared" si="31"/>
        <v>1</v>
      </c>
      <c r="N212" s="630"/>
      <c r="O212" s="621">
        <f t="shared" si="32"/>
        <v>1</v>
      </c>
      <c r="P212" s="3490" t="str">
        <f>可抵押车位明细清单!L191</f>
        <v>-1层</v>
      </c>
      <c r="Q212" s="621">
        <f t="shared" si="33"/>
        <v>1</v>
      </c>
      <c r="R212" s="681">
        <f t="shared" ca="1" si="34"/>
        <v>11.901899999999999</v>
      </c>
      <c r="S212" s="620">
        <f t="shared" ca="1" si="25"/>
        <v>0</v>
      </c>
    </row>
    <row r="213" spans="1:19">
      <c r="A213" s="628" t="str">
        <f>可抵押车位明细清单!D192</f>
        <v>1#地库480</v>
      </c>
      <c r="B213" s="629">
        <f>可抵押车位明细清单!H192</f>
        <v>30.6</v>
      </c>
      <c r="C213" s="621">
        <f t="shared" si="26"/>
        <v>1</v>
      </c>
      <c r="D213" s="630"/>
      <c r="E213" s="621">
        <f t="shared" si="27"/>
        <v>1</v>
      </c>
      <c r="F213" s="630"/>
      <c r="G213" s="621">
        <f t="shared" si="28"/>
        <v>1</v>
      </c>
      <c r="H213" s="630"/>
      <c r="I213" s="621">
        <f t="shared" si="29"/>
        <v>1</v>
      </c>
      <c r="J213" s="630"/>
      <c r="K213" s="621">
        <f t="shared" si="30"/>
        <v>1</v>
      </c>
      <c r="L213" s="630" t="str">
        <f>可抵押车位明细清单!K192</f>
        <v>标准车位</v>
      </c>
      <c r="M213" s="621">
        <f t="shared" si="31"/>
        <v>1</v>
      </c>
      <c r="N213" s="630"/>
      <c r="O213" s="621">
        <f t="shared" si="32"/>
        <v>1</v>
      </c>
      <c r="P213" s="3490" t="str">
        <f>可抵押车位明细清单!L192</f>
        <v>-1层</v>
      </c>
      <c r="Q213" s="621">
        <f t="shared" si="33"/>
        <v>1</v>
      </c>
      <c r="R213" s="681">
        <f t="shared" ca="1" si="34"/>
        <v>11.901899999999999</v>
      </c>
      <c r="S213" s="620">
        <f t="shared" ca="1" si="25"/>
        <v>0</v>
      </c>
    </row>
    <row r="214" spans="1:19">
      <c r="A214" s="628" t="str">
        <f>可抵押车位明细清单!D193</f>
        <v>1#地库483</v>
      </c>
      <c r="B214" s="629">
        <f>可抵押车位明细清单!H193</f>
        <v>30.6</v>
      </c>
      <c r="C214" s="621">
        <f t="shared" si="26"/>
        <v>1</v>
      </c>
      <c r="D214" s="630"/>
      <c r="E214" s="621">
        <f t="shared" si="27"/>
        <v>1</v>
      </c>
      <c r="F214" s="630"/>
      <c r="G214" s="621">
        <f t="shared" si="28"/>
        <v>1</v>
      </c>
      <c r="H214" s="630"/>
      <c r="I214" s="621">
        <f t="shared" si="29"/>
        <v>1</v>
      </c>
      <c r="J214" s="630"/>
      <c r="K214" s="621">
        <f t="shared" si="30"/>
        <v>1</v>
      </c>
      <c r="L214" s="630" t="str">
        <f>可抵押车位明细清单!K193</f>
        <v>标准车位</v>
      </c>
      <c r="M214" s="621">
        <f t="shared" si="31"/>
        <v>1</v>
      </c>
      <c r="N214" s="630"/>
      <c r="O214" s="621">
        <f t="shared" si="32"/>
        <v>1</v>
      </c>
      <c r="P214" s="3490" t="str">
        <f>可抵押车位明细清单!L193</f>
        <v>-1层</v>
      </c>
      <c r="Q214" s="621">
        <f t="shared" si="33"/>
        <v>1</v>
      </c>
      <c r="R214" s="681">
        <f t="shared" ca="1" si="34"/>
        <v>11.901899999999999</v>
      </c>
      <c r="S214" s="620">
        <f t="shared" ca="1" si="25"/>
        <v>0</v>
      </c>
    </row>
    <row r="215" spans="1:19">
      <c r="A215" s="628" t="str">
        <f>可抵押车位明细清单!D194</f>
        <v>1#地库489</v>
      </c>
      <c r="B215" s="629">
        <f>可抵押车位明细清单!H194</f>
        <v>30.6</v>
      </c>
      <c r="C215" s="621">
        <f t="shared" si="26"/>
        <v>1</v>
      </c>
      <c r="D215" s="630"/>
      <c r="E215" s="621">
        <f t="shared" si="27"/>
        <v>1</v>
      </c>
      <c r="F215" s="630"/>
      <c r="G215" s="621">
        <f t="shared" si="28"/>
        <v>1</v>
      </c>
      <c r="H215" s="630"/>
      <c r="I215" s="621">
        <f t="shared" si="29"/>
        <v>1</v>
      </c>
      <c r="J215" s="630"/>
      <c r="K215" s="621">
        <f t="shared" si="30"/>
        <v>1</v>
      </c>
      <c r="L215" s="630" t="str">
        <f>可抵押车位明细清单!K194</f>
        <v>标准车位</v>
      </c>
      <c r="M215" s="621">
        <f t="shared" si="31"/>
        <v>1</v>
      </c>
      <c r="N215" s="630"/>
      <c r="O215" s="621">
        <f t="shared" si="32"/>
        <v>1</v>
      </c>
      <c r="P215" s="3490" t="str">
        <f>可抵押车位明细清单!L194</f>
        <v>-1层</v>
      </c>
      <c r="Q215" s="621">
        <f t="shared" si="33"/>
        <v>1</v>
      </c>
      <c r="R215" s="681">
        <f t="shared" ca="1" si="34"/>
        <v>11.901899999999999</v>
      </c>
      <c r="S215" s="620">
        <f t="shared" ca="1" si="25"/>
        <v>0</v>
      </c>
    </row>
    <row r="216" spans="1:19">
      <c r="A216" s="628" t="str">
        <f>可抵押车位明细清单!D195</f>
        <v>1#地库492</v>
      </c>
      <c r="B216" s="629">
        <f>可抵押车位明细清单!H195</f>
        <v>30.6</v>
      </c>
      <c r="C216" s="621">
        <f t="shared" si="26"/>
        <v>1</v>
      </c>
      <c r="D216" s="630"/>
      <c r="E216" s="621">
        <f t="shared" si="27"/>
        <v>1</v>
      </c>
      <c r="F216" s="630"/>
      <c r="G216" s="621">
        <f t="shared" si="28"/>
        <v>1</v>
      </c>
      <c r="H216" s="630"/>
      <c r="I216" s="621">
        <f t="shared" si="29"/>
        <v>1</v>
      </c>
      <c r="J216" s="630"/>
      <c r="K216" s="621">
        <f t="shared" si="30"/>
        <v>1</v>
      </c>
      <c r="L216" s="630" t="str">
        <f>可抵押车位明细清单!K195</f>
        <v>标准车位</v>
      </c>
      <c r="M216" s="621">
        <f t="shared" si="31"/>
        <v>1</v>
      </c>
      <c r="N216" s="630"/>
      <c r="O216" s="621">
        <f t="shared" si="32"/>
        <v>1</v>
      </c>
      <c r="P216" s="3490" t="str">
        <f>可抵押车位明细清单!L195</f>
        <v>-1层</v>
      </c>
      <c r="Q216" s="621">
        <f t="shared" si="33"/>
        <v>1</v>
      </c>
      <c r="R216" s="681">
        <f t="shared" ca="1" si="34"/>
        <v>11.901899999999999</v>
      </c>
      <c r="S216" s="620">
        <f t="shared" ref="S216:S279" ca="1" si="35">ROUND(R216*B216/10000,0)</f>
        <v>0</v>
      </c>
    </row>
    <row r="217" spans="1:19">
      <c r="A217" s="628" t="str">
        <f>可抵押车位明细清单!D196</f>
        <v>1#地库493</v>
      </c>
      <c r="B217" s="629">
        <f>可抵押车位明细清单!H196</f>
        <v>30.6</v>
      </c>
      <c r="C217" s="621">
        <f t="shared" ref="C217:C280" si="36">IF(B217="",1,(LOOKUP(B217,$3:$3,$4:$4)-LOOKUP($B$24,$3:$3,$4:$4)+100)/100)</f>
        <v>1</v>
      </c>
      <c r="D217" s="630"/>
      <c r="E217" s="621">
        <f t="shared" ref="E217:E280" si="37">(SUMIF($5:$5,D217,$6:$6)-SUMIF($5:$5,$D$24,$6:$6)+100)/100</f>
        <v>1</v>
      </c>
      <c r="F217" s="630"/>
      <c r="G217" s="621">
        <f t="shared" ref="G217:G280" si="38">(SUMIF($7:$7,F217,$8:$8)-SUMIF($7:$7,$F$24,$8:$8)+100)/100</f>
        <v>1</v>
      </c>
      <c r="H217" s="630"/>
      <c r="I217" s="621">
        <f t="shared" ref="I217:I280" si="39">(SUMIF($9:$9,H217,$10:$10)-SUMIF($9:$9,$H$24,$10:$10)+100)/100</f>
        <v>1</v>
      </c>
      <c r="J217" s="630"/>
      <c r="K217" s="621">
        <f t="shared" ref="K217:K280" si="40">(SUMIF($11:$11,J217,$12:$12)-SUMIF($11:$11,$J$24,$12:$12)+100)/100</f>
        <v>1</v>
      </c>
      <c r="L217" s="630" t="str">
        <f>可抵押车位明细清单!K196</f>
        <v>标准车位</v>
      </c>
      <c r="M217" s="621">
        <f t="shared" ref="M217:M280" si="41">(SUMIF($13:$13,L217,$14:$14)-SUMIF($13:$13,$L$24,$14:$14)+100)/100</f>
        <v>1</v>
      </c>
      <c r="N217" s="630"/>
      <c r="O217" s="621">
        <f t="shared" ref="O217:O280" si="42">(SUMIF($15:$15,N217,$16:$16)-SUMIF($15:$15,$N$24,$16:$16)+100)/100</f>
        <v>1</v>
      </c>
      <c r="P217" s="3490" t="str">
        <f>可抵押车位明细清单!L196</f>
        <v>-1层</v>
      </c>
      <c r="Q217" s="621">
        <f t="shared" ref="Q217:Q280" si="43">(SUMIF($17:$17,P217,$18:$18)-SUMIF($17:$17,$P$24,$18:$18)+100)/100</f>
        <v>1</v>
      </c>
      <c r="R217" s="681">
        <f t="shared" ref="R217:R280" ca="1" si="44">IF(B217="",0,ROUND($R$24*C217*E217*G217*I217*K217*M217*O217*Q217,4))</f>
        <v>11.901899999999999</v>
      </c>
      <c r="S217" s="620">
        <f t="shared" ca="1" si="35"/>
        <v>0</v>
      </c>
    </row>
    <row r="218" spans="1:19">
      <c r="A218" s="628" t="str">
        <f>可抵押车位明细清单!D197</f>
        <v>1#地库495</v>
      </c>
      <c r="B218" s="629">
        <f>可抵押车位明细清单!H197</f>
        <v>30.6</v>
      </c>
      <c r="C218" s="621">
        <f t="shared" si="36"/>
        <v>1</v>
      </c>
      <c r="D218" s="630"/>
      <c r="E218" s="621">
        <f t="shared" si="37"/>
        <v>1</v>
      </c>
      <c r="F218" s="630"/>
      <c r="G218" s="621">
        <f t="shared" si="38"/>
        <v>1</v>
      </c>
      <c r="H218" s="630"/>
      <c r="I218" s="621">
        <f t="shared" si="39"/>
        <v>1</v>
      </c>
      <c r="J218" s="630"/>
      <c r="K218" s="621">
        <f t="shared" si="40"/>
        <v>1</v>
      </c>
      <c r="L218" s="630" t="str">
        <f>可抵押车位明细清单!K197</f>
        <v>标准车位</v>
      </c>
      <c r="M218" s="621">
        <f t="shared" si="41"/>
        <v>1</v>
      </c>
      <c r="N218" s="630"/>
      <c r="O218" s="621">
        <f t="shared" si="42"/>
        <v>1</v>
      </c>
      <c r="P218" s="3490" t="str">
        <f>可抵押车位明细清单!L197</f>
        <v>-1层</v>
      </c>
      <c r="Q218" s="621">
        <f t="shared" si="43"/>
        <v>1</v>
      </c>
      <c r="R218" s="681">
        <f t="shared" ca="1" si="44"/>
        <v>11.901899999999999</v>
      </c>
      <c r="S218" s="620">
        <f t="shared" ca="1" si="35"/>
        <v>0</v>
      </c>
    </row>
    <row r="219" spans="1:19">
      <c r="A219" s="628" t="str">
        <f>可抵押车位明细清单!D198</f>
        <v>1#地库498</v>
      </c>
      <c r="B219" s="629">
        <f>可抵押车位明细清单!H198</f>
        <v>30.6</v>
      </c>
      <c r="C219" s="621">
        <f t="shared" si="36"/>
        <v>1</v>
      </c>
      <c r="D219" s="630"/>
      <c r="E219" s="621">
        <f t="shared" si="37"/>
        <v>1</v>
      </c>
      <c r="F219" s="630"/>
      <c r="G219" s="621">
        <f t="shared" si="38"/>
        <v>1</v>
      </c>
      <c r="H219" s="630"/>
      <c r="I219" s="621">
        <f t="shared" si="39"/>
        <v>1</v>
      </c>
      <c r="J219" s="630"/>
      <c r="K219" s="621">
        <f t="shared" si="40"/>
        <v>1</v>
      </c>
      <c r="L219" s="630" t="str">
        <f>可抵押车位明细清单!K198</f>
        <v>标准车位</v>
      </c>
      <c r="M219" s="621">
        <f t="shared" si="41"/>
        <v>1</v>
      </c>
      <c r="N219" s="630"/>
      <c r="O219" s="621">
        <f t="shared" si="42"/>
        <v>1</v>
      </c>
      <c r="P219" s="3490" t="str">
        <f>可抵押车位明细清单!L198</f>
        <v>-1层</v>
      </c>
      <c r="Q219" s="621">
        <f t="shared" si="43"/>
        <v>1</v>
      </c>
      <c r="R219" s="681">
        <f t="shared" ca="1" si="44"/>
        <v>11.901899999999999</v>
      </c>
      <c r="S219" s="620">
        <f t="shared" ca="1" si="35"/>
        <v>0</v>
      </c>
    </row>
    <row r="220" spans="1:19">
      <c r="A220" s="628" t="str">
        <f>可抵押车位明细清单!D199</f>
        <v>1#地库501</v>
      </c>
      <c r="B220" s="629">
        <f>可抵押车位明细清单!H199</f>
        <v>30.6</v>
      </c>
      <c r="C220" s="621">
        <f t="shared" si="36"/>
        <v>1</v>
      </c>
      <c r="D220" s="630"/>
      <c r="E220" s="621">
        <f t="shared" si="37"/>
        <v>1</v>
      </c>
      <c r="F220" s="630"/>
      <c r="G220" s="621">
        <f t="shared" si="38"/>
        <v>1</v>
      </c>
      <c r="H220" s="630"/>
      <c r="I220" s="621">
        <f t="shared" si="39"/>
        <v>1</v>
      </c>
      <c r="J220" s="630"/>
      <c r="K220" s="621">
        <f t="shared" si="40"/>
        <v>1</v>
      </c>
      <c r="L220" s="630" t="str">
        <f>可抵押车位明细清单!K199</f>
        <v>标准车位</v>
      </c>
      <c r="M220" s="621">
        <f t="shared" si="41"/>
        <v>1</v>
      </c>
      <c r="N220" s="630"/>
      <c r="O220" s="621">
        <f t="shared" si="42"/>
        <v>1</v>
      </c>
      <c r="P220" s="3490" t="str">
        <f>可抵押车位明细清单!L199</f>
        <v>-1层</v>
      </c>
      <c r="Q220" s="621">
        <f t="shared" si="43"/>
        <v>1</v>
      </c>
      <c r="R220" s="681">
        <f t="shared" ca="1" si="44"/>
        <v>11.901899999999999</v>
      </c>
      <c r="S220" s="620">
        <f t="shared" ca="1" si="35"/>
        <v>0</v>
      </c>
    </row>
    <row r="221" spans="1:19">
      <c r="A221" s="628" t="str">
        <f>可抵押车位明细清单!D200</f>
        <v>1#地库502</v>
      </c>
      <c r="B221" s="629">
        <f>可抵押车位明细清单!H200</f>
        <v>30.6</v>
      </c>
      <c r="C221" s="621">
        <f t="shared" si="36"/>
        <v>1</v>
      </c>
      <c r="D221" s="630"/>
      <c r="E221" s="621">
        <f t="shared" si="37"/>
        <v>1</v>
      </c>
      <c r="F221" s="630"/>
      <c r="G221" s="621">
        <f t="shared" si="38"/>
        <v>1</v>
      </c>
      <c r="H221" s="630"/>
      <c r="I221" s="621">
        <f t="shared" si="39"/>
        <v>1</v>
      </c>
      <c r="J221" s="630"/>
      <c r="K221" s="621">
        <f t="shared" si="40"/>
        <v>1</v>
      </c>
      <c r="L221" s="630" t="str">
        <f>可抵押车位明细清单!K200</f>
        <v>标准车位</v>
      </c>
      <c r="M221" s="621">
        <f t="shared" si="41"/>
        <v>1</v>
      </c>
      <c r="N221" s="630"/>
      <c r="O221" s="621">
        <f t="shared" si="42"/>
        <v>1</v>
      </c>
      <c r="P221" s="3490" t="str">
        <f>可抵押车位明细清单!L200</f>
        <v>-1层</v>
      </c>
      <c r="Q221" s="621">
        <f t="shared" si="43"/>
        <v>1</v>
      </c>
      <c r="R221" s="681">
        <f t="shared" ca="1" si="44"/>
        <v>11.901899999999999</v>
      </c>
      <c r="S221" s="620">
        <f t="shared" ca="1" si="35"/>
        <v>0</v>
      </c>
    </row>
    <row r="222" spans="1:19">
      <c r="A222" s="628" t="str">
        <f>可抵押车位明细清单!D201</f>
        <v>1#地库503</v>
      </c>
      <c r="B222" s="629">
        <f>可抵押车位明细清单!H201</f>
        <v>30.6</v>
      </c>
      <c r="C222" s="621">
        <f t="shared" si="36"/>
        <v>1</v>
      </c>
      <c r="D222" s="630"/>
      <c r="E222" s="621">
        <f t="shared" si="37"/>
        <v>1</v>
      </c>
      <c r="F222" s="630"/>
      <c r="G222" s="621">
        <f t="shared" si="38"/>
        <v>1</v>
      </c>
      <c r="H222" s="630"/>
      <c r="I222" s="621">
        <f t="shared" si="39"/>
        <v>1</v>
      </c>
      <c r="J222" s="630"/>
      <c r="K222" s="621">
        <f t="shared" si="40"/>
        <v>1</v>
      </c>
      <c r="L222" s="630" t="str">
        <f>可抵押车位明细清单!K201</f>
        <v>标准车位</v>
      </c>
      <c r="M222" s="621">
        <f t="shared" si="41"/>
        <v>1</v>
      </c>
      <c r="N222" s="630"/>
      <c r="O222" s="621">
        <f t="shared" si="42"/>
        <v>1</v>
      </c>
      <c r="P222" s="3490" t="str">
        <f>可抵押车位明细清单!L201</f>
        <v>-1层</v>
      </c>
      <c r="Q222" s="621">
        <f t="shared" si="43"/>
        <v>1</v>
      </c>
      <c r="R222" s="681">
        <f t="shared" ca="1" si="44"/>
        <v>11.901899999999999</v>
      </c>
      <c r="S222" s="620">
        <f t="shared" ca="1" si="35"/>
        <v>0</v>
      </c>
    </row>
    <row r="223" spans="1:19">
      <c r="A223" s="628" t="str">
        <f>可抵押车位明细清单!D202</f>
        <v>1#地库504</v>
      </c>
      <c r="B223" s="629">
        <f>可抵押车位明细清单!H202</f>
        <v>30.6</v>
      </c>
      <c r="C223" s="621">
        <f t="shared" si="36"/>
        <v>1</v>
      </c>
      <c r="D223" s="630"/>
      <c r="E223" s="621">
        <f t="shared" si="37"/>
        <v>1</v>
      </c>
      <c r="F223" s="630"/>
      <c r="G223" s="621">
        <f t="shared" si="38"/>
        <v>1</v>
      </c>
      <c r="H223" s="630"/>
      <c r="I223" s="621">
        <f t="shared" si="39"/>
        <v>1</v>
      </c>
      <c r="J223" s="630"/>
      <c r="K223" s="621">
        <f t="shared" si="40"/>
        <v>1</v>
      </c>
      <c r="L223" s="630" t="str">
        <f>可抵押车位明细清单!K202</f>
        <v>标准车位</v>
      </c>
      <c r="M223" s="621">
        <f t="shared" si="41"/>
        <v>1</v>
      </c>
      <c r="N223" s="630"/>
      <c r="O223" s="621">
        <f t="shared" si="42"/>
        <v>1</v>
      </c>
      <c r="P223" s="3490" t="str">
        <f>可抵押车位明细清单!L202</f>
        <v>-1层</v>
      </c>
      <c r="Q223" s="621">
        <f t="shared" si="43"/>
        <v>1</v>
      </c>
      <c r="R223" s="681">
        <f t="shared" ca="1" si="44"/>
        <v>11.901899999999999</v>
      </c>
      <c r="S223" s="620">
        <f t="shared" ca="1" si="35"/>
        <v>0</v>
      </c>
    </row>
    <row r="224" spans="1:19">
      <c r="A224" s="628" t="str">
        <f>可抵押车位明细清单!D203</f>
        <v>1#地库505</v>
      </c>
      <c r="B224" s="629">
        <f>可抵押车位明细清单!H203</f>
        <v>30.6</v>
      </c>
      <c r="C224" s="621">
        <f t="shared" si="36"/>
        <v>1</v>
      </c>
      <c r="D224" s="630"/>
      <c r="E224" s="621">
        <f t="shared" si="37"/>
        <v>1</v>
      </c>
      <c r="F224" s="630"/>
      <c r="G224" s="621">
        <f t="shared" si="38"/>
        <v>1</v>
      </c>
      <c r="H224" s="630"/>
      <c r="I224" s="621">
        <f t="shared" si="39"/>
        <v>1</v>
      </c>
      <c r="J224" s="630"/>
      <c r="K224" s="621">
        <f t="shared" si="40"/>
        <v>1</v>
      </c>
      <c r="L224" s="630" t="str">
        <f>可抵押车位明细清单!K203</f>
        <v>标准车位</v>
      </c>
      <c r="M224" s="621">
        <f t="shared" si="41"/>
        <v>1</v>
      </c>
      <c r="N224" s="630"/>
      <c r="O224" s="621">
        <f t="shared" si="42"/>
        <v>1</v>
      </c>
      <c r="P224" s="3490" t="str">
        <f>可抵押车位明细清单!L203</f>
        <v>-1层</v>
      </c>
      <c r="Q224" s="621">
        <f t="shared" si="43"/>
        <v>1</v>
      </c>
      <c r="R224" s="681">
        <f t="shared" ca="1" si="44"/>
        <v>11.901899999999999</v>
      </c>
      <c r="S224" s="620">
        <f t="shared" ca="1" si="35"/>
        <v>0</v>
      </c>
    </row>
    <row r="225" spans="1:19">
      <c r="A225" s="628" t="str">
        <f>可抵押车位明细清单!D204</f>
        <v>1#地库506</v>
      </c>
      <c r="B225" s="629">
        <f>可抵押车位明细清单!H204</f>
        <v>30.6</v>
      </c>
      <c r="C225" s="621">
        <f t="shared" si="36"/>
        <v>1</v>
      </c>
      <c r="D225" s="630"/>
      <c r="E225" s="621">
        <f t="shared" si="37"/>
        <v>1</v>
      </c>
      <c r="F225" s="630"/>
      <c r="G225" s="621">
        <f t="shared" si="38"/>
        <v>1</v>
      </c>
      <c r="H225" s="630"/>
      <c r="I225" s="621">
        <f t="shared" si="39"/>
        <v>1</v>
      </c>
      <c r="J225" s="630"/>
      <c r="K225" s="621">
        <f t="shared" si="40"/>
        <v>1</v>
      </c>
      <c r="L225" s="630" t="str">
        <f>可抵押车位明细清单!K204</f>
        <v>标准车位</v>
      </c>
      <c r="M225" s="621">
        <f t="shared" si="41"/>
        <v>1</v>
      </c>
      <c r="N225" s="630"/>
      <c r="O225" s="621">
        <f t="shared" si="42"/>
        <v>1</v>
      </c>
      <c r="P225" s="3490" t="str">
        <f>可抵押车位明细清单!L204</f>
        <v>-1层</v>
      </c>
      <c r="Q225" s="621">
        <f t="shared" si="43"/>
        <v>1</v>
      </c>
      <c r="R225" s="681">
        <f t="shared" ca="1" si="44"/>
        <v>11.901899999999999</v>
      </c>
      <c r="S225" s="620">
        <f t="shared" ca="1" si="35"/>
        <v>0</v>
      </c>
    </row>
    <row r="226" spans="1:19">
      <c r="A226" s="628" t="str">
        <f>可抵押车位明细清单!D205</f>
        <v>1#地库507</v>
      </c>
      <c r="B226" s="629">
        <f>可抵押车位明细清单!H205</f>
        <v>30.6</v>
      </c>
      <c r="C226" s="621">
        <f t="shared" si="36"/>
        <v>1</v>
      </c>
      <c r="D226" s="630"/>
      <c r="E226" s="621">
        <f t="shared" si="37"/>
        <v>1</v>
      </c>
      <c r="F226" s="630"/>
      <c r="G226" s="621">
        <f t="shared" si="38"/>
        <v>1</v>
      </c>
      <c r="H226" s="630"/>
      <c r="I226" s="621">
        <f t="shared" si="39"/>
        <v>1</v>
      </c>
      <c r="J226" s="630"/>
      <c r="K226" s="621">
        <f t="shared" si="40"/>
        <v>1</v>
      </c>
      <c r="L226" s="630" t="str">
        <f>可抵押车位明细清单!K205</f>
        <v>标准车位</v>
      </c>
      <c r="M226" s="621">
        <f t="shared" si="41"/>
        <v>1</v>
      </c>
      <c r="N226" s="630"/>
      <c r="O226" s="621">
        <f t="shared" si="42"/>
        <v>1</v>
      </c>
      <c r="P226" s="3490" t="str">
        <f>可抵押车位明细清单!L205</f>
        <v>-1层</v>
      </c>
      <c r="Q226" s="621">
        <f t="shared" si="43"/>
        <v>1</v>
      </c>
      <c r="R226" s="681">
        <f t="shared" ca="1" si="44"/>
        <v>11.901899999999999</v>
      </c>
      <c r="S226" s="620">
        <f t="shared" ca="1" si="35"/>
        <v>0</v>
      </c>
    </row>
    <row r="227" spans="1:19">
      <c r="A227" s="628" t="str">
        <f>可抵押车位明细清单!D206</f>
        <v>1#地库508</v>
      </c>
      <c r="B227" s="629">
        <f>可抵押车位明细清单!H206</f>
        <v>30.6</v>
      </c>
      <c r="C227" s="621">
        <f t="shared" si="36"/>
        <v>1</v>
      </c>
      <c r="D227" s="630"/>
      <c r="E227" s="621">
        <f t="shared" si="37"/>
        <v>1</v>
      </c>
      <c r="F227" s="630"/>
      <c r="G227" s="621">
        <f t="shared" si="38"/>
        <v>1</v>
      </c>
      <c r="H227" s="630"/>
      <c r="I227" s="621">
        <f t="shared" si="39"/>
        <v>1</v>
      </c>
      <c r="J227" s="630"/>
      <c r="K227" s="621">
        <f t="shared" si="40"/>
        <v>1</v>
      </c>
      <c r="L227" s="630" t="str">
        <f>可抵押车位明细清单!K206</f>
        <v>标准车位</v>
      </c>
      <c r="M227" s="621">
        <f t="shared" si="41"/>
        <v>1</v>
      </c>
      <c r="N227" s="630"/>
      <c r="O227" s="621">
        <f t="shared" si="42"/>
        <v>1</v>
      </c>
      <c r="P227" s="3490" t="str">
        <f>可抵押车位明细清单!L206</f>
        <v>-1层</v>
      </c>
      <c r="Q227" s="621">
        <f t="shared" si="43"/>
        <v>1</v>
      </c>
      <c r="R227" s="681">
        <f t="shared" ca="1" si="44"/>
        <v>11.901899999999999</v>
      </c>
      <c r="S227" s="620">
        <f t="shared" ca="1" si="35"/>
        <v>0</v>
      </c>
    </row>
    <row r="228" spans="1:19">
      <c r="A228" s="628" t="str">
        <f>可抵押车位明细清单!D207</f>
        <v>1#地库509</v>
      </c>
      <c r="B228" s="629">
        <f>可抵押车位明细清单!H207</f>
        <v>30.6</v>
      </c>
      <c r="C228" s="621">
        <f t="shared" si="36"/>
        <v>1</v>
      </c>
      <c r="D228" s="630"/>
      <c r="E228" s="621">
        <f t="shared" si="37"/>
        <v>1</v>
      </c>
      <c r="F228" s="630"/>
      <c r="G228" s="621">
        <f t="shared" si="38"/>
        <v>1</v>
      </c>
      <c r="H228" s="630"/>
      <c r="I228" s="621">
        <f t="shared" si="39"/>
        <v>1</v>
      </c>
      <c r="J228" s="630"/>
      <c r="K228" s="621">
        <f t="shared" si="40"/>
        <v>1</v>
      </c>
      <c r="L228" s="630" t="str">
        <f>可抵押车位明细清单!K207</f>
        <v>标准车位</v>
      </c>
      <c r="M228" s="621">
        <f t="shared" si="41"/>
        <v>1</v>
      </c>
      <c r="N228" s="630"/>
      <c r="O228" s="621">
        <f t="shared" si="42"/>
        <v>1</v>
      </c>
      <c r="P228" s="3490" t="str">
        <f>可抵押车位明细清单!L207</f>
        <v>-1层</v>
      </c>
      <c r="Q228" s="621">
        <f t="shared" si="43"/>
        <v>1</v>
      </c>
      <c r="R228" s="681">
        <f t="shared" ca="1" si="44"/>
        <v>11.901899999999999</v>
      </c>
      <c r="S228" s="620">
        <f t="shared" ca="1" si="35"/>
        <v>0</v>
      </c>
    </row>
    <row r="229" spans="1:19">
      <c r="A229" s="628" t="str">
        <f>可抵押车位明细清单!D208</f>
        <v>1#地库510</v>
      </c>
      <c r="B229" s="629">
        <f>可抵押车位明细清单!H208</f>
        <v>30.6</v>
      </c>
      <c r="C229" s="621">
        <f t="shared" si="36"/>
        <v>1</v>
      </c>
      <c r="D229" s="630"/>
      <c r="E229" s="621">
        <f t="shared" si="37"/>
        <v>1</v>
      </c>
      <c r="F229" s="630"/>
      <c r="G229" s="621">
        <f t="shared" si="38"/>
        <v>1</v>
      </c>
      <c r="H229" s="630"/>
      <c r="I229" s="621">
        <f t="shared" si="39"/>
        <v>1</v>
      </c>
      <c r="J229" s="630"/>
      <c r="K229" s="621">
        <f t="shared" si="40"/>
        <v>1</v>
      </c>
      <c r="L229" s="630" t="str">
        <f>可抵押车位明细清单!K208</f>
        <v>标准车位</v>
      </c>
      <c r="M229" s="621">
        <f t="shared" si="41"/>
        <v>1</v>
      </c>
      <c r="N229" s="630"/>
      <c r="O229" s="621">
        <f t="shared" si="42"/>
        <v>1</v>
      </c>
      <c r="P229" s="3490" t="str">
        <f>可抵押车位明细清单!L208</f>
        <v>-1层</v>
      </c>
      <c r="Q229" s="621">
        <f t="shared" si="43"/>
        <v>1</v>
      </c>
      <c r="R229" s="681">
        <f t="shared" ca="1" si="44"/>
        <v>11.901899999999999</v>
      </c>
      <c r="S229" s="620">
        <f t="shared" ca="1" si="35"/>
        <v>0</v>
      </c>
    </row>
    <row r="230" spans="1:19">
      <c r="A230" s="628" t="str">
        <f>可抵押车位明细清单!D209</f>
        <v>1#地库511</v>
      </c>
      <c r="B230" s="629">
        <f>可抵押车位明细清单!H209</f>
        <v>30.6</v>
      </c>
      <c r="C230" s="621">
        <f t="shared" si="36"/>
        <v>1</v>
      </c>
      <c r="D230" s="630"/>
      <c r="E230" s="621">
        <f t="shared" si="37"/>
        <v>1</v>
      </c>
      <c r="F230" s="630"/>
      <c r="G230" s="621">
        <f t="shared" si="38"/>
        <v>1</v>
      </c>
      <c r="H230" s="630"/>
      <c r="I230" s="621">
        <f t="shared" si="39"/>
        <v>1</v>
      </c>
      <c r="J230" s="630"/>
      <c r="K230" s="621">
        <f t="shared" si="40"/>
        <v>1</v>
      </c>
      <c r="L230" s="630" t="str">
        <f>可抵押车位明细清单!K209</f>
        <v>标准车位</v>
      </c>
      <c r="M230" s="621">
        <f t="shared" si="41"/>
        <v>1</v>
      </c>
      <c r="N230" s="630"/>
      <c r="O230" s="621">
        <f t="shared" si="42"/>
        <v>1</v>
      </c>
      <c r="P230" s="3490" t="str">
        <f>可抵押车位明细清单!L209</f>
        <v>-1层</v>
      </c>
      <c r="Q230" s="621">
        <f t="shared" si="43"/>
        <v>1</v>
      </c>
      <c r="R230" s="681">
        <f t="shared" ca="1" si="44"/>
        <v>11.901899999999999</v>
      </c>
      <c r="S230" s="620">
        <f t="shared" ca="1" si="35"/>
        <v>0</v>
      </c>
    </row>
    <row r="231" spans="1:19">
      <c r="A231" s="628" t="str">
        <f>可抵押车位明细清单!D210</f>
        <v>1#地库512</v>
      </c>
      <c r="B231" s="629">
        <f>可抵押车位明细清单!H210</f>
        <v>31.88</v>
      </c>
      <c r="C231" s="621">
        <f t="shared" si="36"/>
        <v>1</v>
      </c>
      <c r="D231" s="630"/>
      <c r="E231" s="621">
        <f t="shared" si="37"/>
        <v>1</v>
      </c>
      <c r="F231" s="630"/>
      <c r="G231" s="621">
        <f t="shared" si="38"/>
        <v>1</v>
      </c>
      <c r="H231" s="630"/>
      <c r="I231" s="621">
        <f t="shared" si="39"/>
        <v>1</v>
      </c>
      <c r="J231" s="630"/>
      <c r="K231" s="621">
        <f t="shared" si="40"/>
        <v>1</v>
      </c>
      <c r="L231" s="630" t="str">
        <f>可抵押车位明细清单!K210</f>
        <v>标准车位</v>
      </c>
      <c r="M231" s="621">
        <f t="shared" si="41"/>
        <v>1</v>
      </c>
      <c r="N231" s="630"/>
      <c r="O231" s="621">
        <f t="shared" si="42"/>
        <v>1</v>
      </c>
      <c r="P231" s="3490" t="str">
        <f>可抵押车位明细清单!L210</f>
        <v>-1层</v>
      </c>
      <c r="Q231" s="621">
        <f t="shared" si="43"/>
        <v>1</v>
      </c>
      <c r="R231" s="681">
        <f t="shared" ca="1" si="44"/>
        <v>11.901899999999999</v>
      </c>
      <c r="S231" s="620">
        <f t="shared" ca="1" si="35"/>
        <v>0</v>
      </c>
    </row>
    <row r="232" spans="1:19">
      <c r="A232" s="628" t="str">
        <f>可抵押车位明细清单!D211</f>
        <v>1#地库513</v>
      </c>
      <c r="B232" s="629">
        <f>可抵押车位明细清单!H211</f>
        <v>19.73</v>
      </c>
      <c r="C232" s="621">
        <f t="shared" si="36"/>
        <v>1</v>
      </c>
      <c r="D232" s="630"/>
      <c r="E232" s="621">
        <f t="shared" si="37"/>
        <v>1</v>
      </c>
      <c r="F232" s="630"/>
      <c r="G232" s="621">
        <f t="shared" si="38"/>
        <v>1</v>
      </c>
      <c r="H232" s="630"/>
      <c r="I232" s="621">
        <f t="shared" si="39"/>
        <v>1</v>
      </c>
      <c r="J232" s="630"/>
      <c r="K232" s="621">
        <f t="shared" si="40"/>
        <v>1</v>
      </c>
      <c r="L232" s="630" t="str">
        <f>可抵押车位明细清单!K211</f>
        <v>微型车位</v>
      </c>
      <c r="M232" s="621">
        <f t="shared" si="41"/>
        <v>0.4</v>
      </c>
      <c r="N232" s="630"/>
      <c r="O232" s="621">
        <f t="shared" si="42"/>
        <v>1</v>
      </c>
      <c r="P232" s="3490" t="str">
        <f>可抵押车位明细清单!L211</f>
        <v>-1层</v>
      </c>
      <c r="Q232" s="621">
        <f t="shared" si="43"/>
        <v>1</v>
      </c>
      <c r="R232" s="681">
        <f t="shared" ca="1" si="44"/>
        <v>4.7607999999999997</v>
      </c>
      <c r="S232" s="620">
        <f t="shared" ca="1" si="35"/>
        <v>0</v>
      </c>
    </row>
    <row r="233" spans="1:19">
      <c r="A233" s="628" t="str">
        <f>可抵押车位明细清单!D212</f>
        <v>2#地库182</v>
      </c>
      <c r="B233" s="629">
        <f>可抵押车位明细清单!H212</f>
        <v>27.24</v>
      </c>
      <c r="C233" s="621">
        <f t="shared" si="36"/>
        <v>1</v>
      </c>
      <c r="D233" s="630"/>
      <c r="E233" s="621">
        <f t="shared" si="37"/>
        <v>1</v>
      </c>
      <c r="F233" s="630"/>
      <c r="G233" s="621">
        <f t="shared" si="38"/>
        <v>1</v>
      </c>
      <c r="H233" s="630"/>
      <c r="I233" s="621">
        <f t="shared" si="39"/>
        <v>1</v>
      </c>
      <c r="J233" s="630"/>
      <c r="K233" s="621">
        <f t="shared" si="40"/>
        <v>1</v>
      </c>
      <c r="L233" s="630" t="str">
        <f>可抵押车位明细清单!K212</f>
        <v>标准车位</v>
      </c>
      <c r="M233" s="621">
        <f t="shared" si="41"/>
        <v>1</v>
      </c>
      <c r="N233" s="630"/>
      <c r="O233" s="621">
        <f t="shared" si="42"/>
        <v>1</v>
      </c>
      <c r="P233" s="3490" t="str">
        <f>可抵押车位明细清单!L212</f>
        <v>-2层</v>
      </c>
      <c r="Q233" s="621">
        <f t="shared" si="43"/>
        <v>0.95</v>
      </c>
      <c r="R233" s="681">
        <f t="shared" ca="1" si="44"/>
        <v>11.306800000000001</v>
      </c>
      <c r="S233" s="620">
        <f t="shared" ca="1" si="35"/>
        <v>0</v>
      </c>
    </row>
    <row r="234" spans="1:19">
      <c r="A234" s="628" t="str">
        <f>可抵押车位明细清单!D213</f>
        <v>2#地库183</v>
      </c>
      <c r="B234" s="629">
        <f>可抵押车位明细清单!H213</f>
        <v>28.99</v>
      </c>
      <c r="C234" s="621">
        <f t="shared" si="36"/>
        <v>1</v>
      </c>
      <c r="D234" s="630"/>
      <c r="E234" s="621">
        <f t="shared" si="37"/>
        <v>1</v>
      </c>
      <c r="F234" s="630"/>
      <c r="G234" s="621">
        <f t="shared" si="38"/>
        <v>1</v>
      </c>
      <c r="H234" s="630"/>
      <c r="I234" s="621">
        <f t="shared" si="39"/>
        <v>1</v>
      </c>
      <c r="J234" s="630"/>
      <c r="K234" s="621">
        <f t="shared" si="40"/>
        <v>1</v>
      </c>
      <c r="L234" s="630" t="str">
        <f>可抵押车位明细清单!K213</f>
        <v>标准车位</v>
      </c>
      <c r="M234" s="621">
        <f t="shared" si="41"/>
        <v>1</v>
      </c>
      <c r="N234" s="630"/>
      <c r="O234" s="621">
        <f t="shared" si="42"/>
        <v>1</v>
      </c>
      <c r="P234" s="3490" t="str">
        <f>可抵押车位明细清单!L213</f>
        <v>-2层</v>
      </c>
      <c r="Q234" s="621">
        <f t="shared" si="43"/>
        <v>0.95</v>
      </c>
      <c r="R234" s="681">
        <f t="shared" ca="1" si="44"/>
        <v>11.306800000000001</v>
      </c>
      <c r="S234" s="620">
        <f t="shared" ca="1" si="35"/>
        <v>0</v>
      </c>
    </row>
    <row r="235" spans="1:19">
      <c r="A235" s="628" t="str">
        <f>可抵押车位明细清单!D214</f>
        <v>2#地库184</v>
      </c>
      <c r="B235" s="629">
        <f>可抵押车位明细清单!H214</f>
        <v>28.04</v>
      </c>
      <c r="C235" s="621">
        <f t="shared" si="36"/>
        <v>1</v>
      </c>
      <c r="D235" s="630"/>
      <c r="E235" s="621">
        <f t="shared" si="37"/>
        <v>1</v>
      </c>
      <c r="F235" s="630"/>
      <c r="G235" s="621">
        <f t="shared" si="38"/>
        <v>1</v>
      </c>
      <c r="H235" s="630"/>
      <c r="I235" s="621">
        <f t="shared" si="39"/>
        <v>1</v>
      </c>
      <c r="J235" s="630"/>
      <c r="K235" s="621">
        <f t="shared" si="40"/>
        <v>1</v>
      </c>
      <c r="L235" s="630" t="str">
        <f>可抵押车位明细清单!K214</f>
        <v>标准车位</v>
      </c>
      <c r="M235" s="621">
        <f t="shared" si="41"/>
        <v>1</v>
      </c>
      <c r="N235" s="630"/>
      <c r="O235" s="621">
        <f t="shared" si="42"/>
        <v>1</v>
      </c>
      <c r="P235" s="3490" t="str">
        <f>可抵押车位明细清单!L214</f>
        <v>-2层</v>
      </c>
      <c r="Q235" s="621">
        <f t="shared" si="43"/>
        <v>0.95</v>
      </c>
      <c r="R235" s="681">
        <f t="shared" ca="1" si="44"/>
        <v>11.306800000000001</v>
      </c>
      <c r="S235" s="620">
        <f t="shared" ca="1" si="35"/>
        <v>0</v>
      </c>
    </row>
    <row r="236" spans="1:19">
      <c r="A236" s="628" t="str">
        <f>可抵押车位明细清单!D215</f>
        <v>2#地库185</v>
      </c>
      <c r="B236" s="629">
        <f>可抵押车位明细清单!H215</f>
        <v>28.99</v>
      </c>
      <c r="C236" s="621">
        <f t="shared" si="36"/>
        <v>1</v>
      </c>
      <c r="D236" s="630"/>
      <c r="E236" s="621">
        <f t="shared" si="37"/>
        <v>1</v>
      </c>
      <c r="F236" s="630"/>
      <c r="G236" s="621">
        <f t="shared" si="38"/>
        <v>1</v>
      </c>
      <c r="H236" s="630"/>
      <c r="I236" s="621">
        <f t="shared" si="39"/>
        <v>1</v>
      </c>
      <c r="J236" s="630"/>
      <c r="K236" s="621">
        <f t="shared" si="40"/>
        <v>1</v>
      </c>
      <c r="L236" s="630" t="str">
        <f>可抵押车位明细清单!K215</f>
        <v>标准车位</v>
      </c>
      <c r="M236" s="621">
        <f t="shared" si="41"/>
        <v>1</v>
      </c>
      <c r="N236" s="630"/>
      <c r="O236" s="621">
        <f t="shared" si="42"/>
        <v>1</v>
      </c>
      <c r="P236" s="3490" t="str">
        <f>可抵押车位明细清单!L215</f>
        <v>-2层</v>
      </c>
      <c r="Q236" s="621">
        <f t="shared" si="43"/>
        <v>0.95</v>
      </c>
      <c r="R236" s="681">
        <f t="shared" ca="1" si="44"/>
        <v>11.306800000000001</v>
      </c>
      <c r="S236" s="620">
        <f t="shared" ca="1" si="35"/>
        <v>0</v>
      </c>
    </row>
    <row r="237" spans="1:19">
      <c r="A237" s="628" t="str">
        <f>可抵押车位明细清单!D216</f>
        <v>2#地库186</v>
      </c>
      <c r="B237" s="629">
        <f>可抵押车位明细清单!H216</f>
        <v>29.26</v>
      </c>
      <c r="C237" s="621">
        <f t="shared" si="36"/>
        <v>1</v>
      </c>
      <c r="D237" s="630"/>
      <c r="E237" s="621">
        <f t="shared" si="37"/>
        <v>1</v>
      </c>
      <c r="F237" s="630"/>
      <c r="G237" s="621">
        <f t="shared" si="38"/>
        <v>1</v>
      </c>
      <c r="H237" s="630"/>
      <c r="I237" s="621">
        <f t="shared" si="39"/>
        <v>1</v>
      </c>
      <c r="J237" s="630"/>
      <c r="K237" s="621">
        <f t="shared" si="40"/>
        <v>1</v>
      </c>
      <c r="L237" s="630" t="str">
        <f>可抵押车位明细清单!K216</f>
        <v>标准车位</v>
      </c>
      <c r="M237" s="621">
        <f t="shared" si="41"/>
        <v>1</v>
      </c>
      <c r="N237" s="630"/>
      <c r="O237" s="621">
        <f t="shared" si="42"/>
        <v>1</v>
      </c>
      <c r="P237" s="3490" t="str">
        <f>可抵押车位明细清单!L216</f>
        <v>-2层</v>
      </c>
      <c r="Q237" s="621">
        <f t="shared" si="43"/>
        <v>0.95</v>
      </c>
      <c r="R237" s="681">
        <f t="shared" ca="1" si="44"/>
        <v>11.306800000000001</v>
      </c>
      <c r="S237" s="620">
        <f t="shared" ca="1" si="35"/>
        <v>0</v>
      </c>
    </row>
    <row r="238" spans="1:19">
      <c r="A238" s="628" t="str">
        <f>可抵押车位明细清单!D217</f>
        <v>2#地库187</v>
      </c>
      <c r="B238" s="629">
        <f>可抵押车位明细清单!H217</f>
        <v>29.26</v>
      </c>
      <c r="C238" s="621">
        <f t="shared" si="36"/>
        <v>1</v>
      </c>
      <c r="D238" s="630"/>
      <c r="E238" s="621">
        <f t="shared" si="37"/>
        <v>1</v>
      </c>
      <c r="F238" s="630"/>
      <c r="G238" s="621">
        <f t="shared" si="38"/>
        <v>1</v>
      </c>
      <c r="H238" s="630"/>
      <c r="I238" s="621">
        <f t="shared" si="39"/>
        <v>1</v>
      </c>
      <c r="J238" s="630"/>
      <c r="K238" s="621">
        <f t="shared" si="40"/>
        <v>1</v>
      </c>
      <c r="L238" s="630" t="str">
        <f>可抵押车位明细清单!K217</f>
        <v>标准车位</v>
      </c>
      <c r="M238" s="621">
        <f t="shared" si="41"/>
        <v>1</v>
      </c>
      <c r="N238" s="630"/>
      <c r="O238" s="621">
        <f t="shared" si="42"/>
        <v>1</v>
      </c>
      <c r="P238" s="3490" t="str">
        <f>可抵押车位明细清单!L217</f>
        <v>-2层</v>
      </c>
      <c r="Q238" s="621">
        <f t="shared" si="43"/>
        <v>0.95</v>
      </c>
      <c r="R238" s="681">
        <f t="shared" ca="1" si="44"/>
        <v>11.306800000000001</v>
      </c>
      <c r="S238" s="620">
        <f t="shared" ca="1" si="35"/>
        <v>0</v>
      </c>
    </row>
    <row r="239" spans="1:19">
      <c r="A239" s="628" t="str">
        <f>可抵押车位明细清单!D218</f>
        <v>2#地库188</v>
      </c>
      <c r="B239" s="629">
        <f>可抵押车位明细清单!H218</f>
        <v>28.31</v>
      </c>
      <c r="C239" s="621">
        <f t="shared" si="36"/>
        <v>1</v>
      </c>
      <c r="D239" s="630"/>
      <c r="E239" s="621">
        <f t="shared" si="37"/>
        <v>1</v>
      </c>
      <c r="F239" s="630"/>
      <c r="G239" s="621">
        <f t="shared" si="38"/>
        <v>1</v>
      </c>
      <c r="H239" s="630"/>
      <c r="I239" s="621">
        <f t="shared" si="39"/>
        <v>1</v>
      </c>
      <c r="J239" s="630"/>
      <c r="K239" s="621">
        <f t="shared" si="40"/>
        <v>1</v>
      </c>
      <c r="L239" s="630" t="str">
        <f>可抵押车位明细清单!K218</f>
        <v>标准车位</v>
      </c>
      <c r="M239" s="621">
        <f t="shared" si="41"/>
        <v>1</v>
      </c>
      <c r="N239" s="630"/>
      <c r="O239" s="621">
        <f t="shared" si="42"/>
        <v>1</v>
      </c>
      <c r="P239" s="3490" t="str">
        <f>可抵押车位明细清单!L218</f>
        <v>-2层</v>
      </c>
      <c r="Q239" s="621">
        <f t="shared" si="43"/>
        <v>0.95</v>
      </c>
      <c r="R239" s="681">
        <f t="shared" ca="1" si="44"/>
        <v>11.306800000000001</v>
      </c>
      <c r="S239" s="620">
        <f t="shared" ca="1" si="35"/>
        <v>0</v>
      </c>
    </row>
    <row r="240" spans="1:19">
      <c r="A240" s="628" t="str">
        <f>可抵押车位明细清单!D219</f>
        <v>2#地库189</v>
      </c>
      <c r="B240" s="629">
        <f>可抵押车位明细清单!H219</f>
        <v>29.26</v>
      </c>
      <c r="C240" s="621">
        <f t="shared" si="36"/>
        <v>1</v>
      </c>
      <c r="D240" s="630"/>
      <c r="E240" s="621">
        <f t="shared" si="37"/>
        <v>1</v>
      </c>
      <c r="F240" s="630"/>
      <c r="G240" s="621">
        <f t="shared" si="38"/>
        <v>1</v>
      </c>
      <c r="H240" s="630"/>
      <c r="I240" s="621">
        <f t="shared" si="39"/>
        <v>1</v>
      </c>
      <c r="J240" s="630"/>
      <c r="K240" s="621">
        <f t="shared" si="40"/>
        <v>1</v>
      </c>
      <c r="L240" s="630" t="str">
        <f>可抵押车位明细清单!K219</f>
        <v>标准车位</v>
      </c>
      <c r="M240" s="621">
        <f t="shared" si="41"/>
        <v>1</v>
      </c>
      <c r="N240" s="630"/>
      <c r="O240" s="621">
        <f t="shared" si="42"/>
        <v>1</v>
      </c>
      <c r="P240" s="3490" t="str">
        <f>可抵押车位明细清单!L219</f>
        <v>-2层</v>
      </c>
      <c r="Q240" s="621">
        <f t="shared" si="43"/>
        <v>0.95</v>
      </c>
      <c r="R240" s="681">
        <f t="shared" ca="1" si="44"/>
        <v>11.306800000000001</v>
      </c>
      <c r="S240" s="620">
        <f t="shared" ca="1" si="35"/>
        <v>0</v>
      </c>
    </row>
    <row r="241" spans="1:19">
      <c r="A241" s="628" t="str">
        <f>可抵押车位明细清单!D220</f>
        <v>2#地库190</v>
      </c>
      <c r="B241" s="629">
        <f>可抵押车位明细清单!H220</f>
        <v>29.26</v>
      </c>
      <c r="C241" s="621">
        <f t="shared" si="36"/>
        <v>1</v>
      </c>
      <c r="D241" s="630"/>
      <c r="E241" s="621">
        <f t="shared" si="37"/>
        <v>1</v>
      </c>
      <c r="F241" s="630"/>
      <c r="G241" s="621">
        <f t="shared" si="38"/>
        <v>1</v>
      </c>
      <c r="H241" s="630"/>
      <c r="I241" s="621">
        <f t="shared" si="39"/>
        <v>1</v>
      </c>
      <c r="J241" s="630"/>
      <c r="K241" s="621">
        <f t="shared" si="40"/>
        <v>1</v>
      </c>
      <c r="L241" s="630" t="str">
        <f>可抵押车位明细清单!K220</f>
        <v>标准车位</v>
      </c>
      <c r="M241" s="621">
        <f t="shared" si="41"/>
        <v>1</v>
      </c>
      <c r="N241" s="630"/>
      <c r="O241" s="621">
        <f t="shared" si="42"/>
        <v>1</v>
      </c>
      <c r="P241" s="3490" t="str">
        <f>可抵押车位明细清单!L220</f>
        <v>-2层</v>
      </c>
      <c r="Q241" s="621">
        <f t="shared" si="43"/>
        <v>0.95</v>
      </c>
      <c r="R241" s="681">
        <f t="shared" ca="1" si="44"/>
        <v>11.306800000000001</v>
      </c>
      <c r="S241" s="620">
        <f t="shared" ca="1" si="35"/>
        <v>0</v>
      </c>
    </row>
    <row r="242" spans="1:19">
      <c r="A242" s="628" t="str">
        <f>可抵押车位明细清单!D221</f>
        <v>2#地库191</v>
      </c>
      <c r="B242" s="629">
        <f>可抵押车位明细清单!H221</f>
        <v>29.26</v>
      </c>
      <c r="C242" s="621">
        <f t="shared" si="36"/>
        <v>1</v>
      </c>
      <c r="D242" s="630"/>
      <c r="E242" s="621">
        <f t="shared" si="37"/>
        <v>1</v>
      </c>
      <c r="F242" s="630"/>
      <c r="G242" s="621">
        <f t="shared" si="38"/>
        <v>1</v>
      </c>
      <c r="H242" s="630"/>
      <c r="I242" s="621">
        <f t="shared" si="39"/>
        <v>1</v>
      </c>
      <c r="J242" s="630"/>
      <c r="K242" s="621">
        <f t="shared" si="40"/>
        <v>1</v>
      </c>
      <c r="L242" s="630" t="str">
        <f>可抵押车位明细清单!K221</f>
        <v>标准车位</v>
      </c>
      <c r="M242" s="621">
        <f t="shared" si="41"/>
        <v>1</v>
      </c>
      <c r="N242" s="630"/>
      <c r="O242" s="621">
        <f t="shared" si="42"/>
        <v>1</v>
      </c>
      <c r="P242" s="3490" t="str">
        <f>可抵押车位明细清单!L221</f>
        <v>-2层</v>
      </c>
      <c r="Q242" s="621">
        <f t="shared" si="43"/>
        <v>0.95</v>
      </c>
      <c r="R242" s="681">
        <f t="shared" ca="1" si="44"/>
        <v>11.306800000000001</v>
      </c>
      <c r="S242" s="620">
        <f t="shared" ca="1" si="35"/>
        <v>0</v>
      </c>
    </row>
    <row r="243" spans="1:19">
      <c r="A243" s="628" t="str">
        <f>可抵押车位明细清单!D222</f>
        <v>2#地库192</v>
      </c>
      <c r="B243" s="629">
        <f>可抵押车位明细清单!H222</f>
        <v>29.26</v>
      </c>
      <c r="C243" s="621">
        <f t="shared" si="36"/>
        <v>1</v>
      </c>
      <c r="D243" s="630"/>
      <c r="E243" s="621">
        <f t="shared" si="37"/>
        <v>1</v>
      </c>
      <c r="F243" s="630"/>
      <c r="G243" s="621">
        <f t="shared" si="38"/>
        <v>1</v>
      </c>
      <c r="H243" s="630"/>
      <c r="I243" s="621">
        <f t="shared" si="39"/>
        <v>1</v>
      </c>
      <c r="J243" s="630"/>
      <c r="K243" s="621">
        <f t="shared" si="40"/>
        <v>1</v>
      </c>
      <c r="L243" s="630" t="str">
        <f>可抵押车位明细清单!K222</f>
        <v>标准车位</v>
      </c>
      <c r="M243" s="621">
        <f t="shared" si="41"/>
        <v>1</v>
      </c>
      <c r="N243" s="630"/>
      <c r="O243" s="621">
        <f t="shared" si="42"/>
        <v>1</v>
      </c>
      <c r="P243" s="3490" t="str">
        <f>可抵押车位明细清单!L222</f>
        <v>-2层</v>
      </c>
      <c r="Q243" s="621">
        <f t="shared" si="43"/>
        <v>0.95</v>
      </c>
      <c r="R243" s="681">
        <f t="shared" ca="1" si="44"/>
        <v>11.306800000000001</v>
      </c>
      <c r="S243" s="620">
        <f t="shared" ca="1" si="35"/>
        <v>0</v>
      </c>
    </row>
    <row r="244" spans="1:19">
      <c r="A244" s="628" t="str">
        <f>可抵押车位明细清单!D223</f>
        <v>2#地库193</v>
      </c>
      <c r="B244" s="629">
        <f>可抵押车位明细清单!H223</f>
        <v>28.31</v>
      </c>
      <c r="C244" s="621">
        <f t="shared" si="36"/>
        <v>1</v>
      </c>
      <c r="D244" s="630"/>
      <c r="E244" s="621">
        <f t="shared" si="37"/>
        <v>1</v>
      </c>
      <c r="F244" s="630"/>
      <c r="G244" s="621">
        <f t="shared" si="38"/>
        <v>1</v>
      </c>
      <c r="H244" s="630"/>
      <c r="I244" s="621">
        <f t="shared" si="39"/>
        <v>1</v>
      </c>
      <c r="J244" s="630"/>
      <c r="K244" s="621">
        <f t="shared" si="40"/>
        <v>1</v>
      </c>
      <c r="L244" s="630" t="str">
        <f>可抵押车位明细清单!K223</f>
        <v>标准车位</v>
      </c>
      <c r="M244" s="621">
        <f t="shared" si="41"/>
        <v>1</v>
      </c>
      <c r="N244" s="630"/>
      <c r="O244" s="621">
        <f t="shared" si="42"/>
        <v>1</v>
      </c>
      <c r="P244" s="3490" t="str">
        <f>可抵押车位明细清单!L223</f>
        <v>-2层</v>
      </c>
      <c r="Q244" s="621">
        <f t="shared" si="43"/>
        <v>0.95</v>
      </c>
      <c r="R244" s="681">
        <f t="shared" ca="1" si="44"/>
        <v>11.306800000000001</v>
      </c>
      <c r="S244" s="620">
        <f t="shared" ca="1" si="35"/>
        <v>0</v>
      </c>
    </row>
    <row r="245" spans="1:19">
      <c r="A245" s="628" t="str">
        <f>可抵押车位明细清单!D224</f>
        <v>2#地库194</v>
      </c>
      <c r="B245" s="629">
        <f>可抵押车位明细清单!H224</f>
        <v>29.26</v>
      </c>
      <c r="C245" s="621">
        <f t="shared" si="36"/>
        <v>1</v>
      </c>
      <c r="D245" s="630"/>
      <c r="E245" s="621">
        <f t="shared" si="37"/>
        <v>1</v>
      </c>
      <c r="F245" s="630"/>
      <c r="G245" s="621">
        <f t="shared" si="38"/>
        <v>1</v>
      </c>
      <c r="H245" s="630"/>
      <c r="I245" s="621">
        <f t="shared" si="39"/>
        <v>1</v>
      </c>
      <c r="J245" s="630"/>
      <c r="K245" s="621">
        <f t="shared" si="40"/>
        <v>1</v>
      </c>
      <c r="L245" s="630" t="str">
        <f>可抵押车位明细清单!K224</f>
        <v>标准车位</v>
      </c>
      <c r="M245" s="621">
        <f t="shared" si="41"/>
        <v>1</v>
      </c>
      <c r="N245" s="630"/>
      <c r="O245" s="621">
        <f t="shared" si="42"/>
        <v>1</v>
      </c>
      <c r="P245" s="3490" t="str">
        <f>可抵押车位明细清单!L224</f>
        <v>-2层</v>
      </c>
      <c r="Q245" s="621">
        <f t="shared" si="43"/>
        <v>0.95</v>
      </c>
      <c r="R245" s="681">
        <f t="shared" ca="1" si="44"/>
        <v>11.306800000000001</v>
      </c>
      <c r="S245" s="620">
        <f t="shared" ca="1" si="35"/>
        <v>0</v>
      </c>
    </row>
    <row r="246" spans="1:19">
      <c r="A246" s="628" t="str">
        <f>可抵押车位明细清单!D225</f>
        <v>2#地库195</v>
      </c>
      <c r="B246" s="629">
        <f>可抵押车位明细清单!H225</f>
        <v>29.26</v>
      </c>
      <c r="C246" s="621">
        <f t="shared" si="36"/>
        <v>1</v>
      </c>
      <c r="D246" s="630"/>
      <c r="E246" s="621">
        <f t="shared" si="37"/>
        <v>1</v>
      </c>
      <c r="F246" s="630"/>
      <c r="G246" s="621">
        <f t="shared" si="38"/>
        <v>1</v>
      </c>
      <c r="H246" s="630"/>
      <c r="I246" s="621">
        <f t="shared" si="39"/>
        <v>1</v>
      </c>
      <c r="J246" s="630"/>
      <c r="K246" s="621">
        <f t="shared" si="40"/>
        <v>1</v>
      </c>
      <c r="L246" s="630" t="str">
        <f>可抵押车位明细清单!K225</f>
        <v>标准车位</v>
      </c>
      <c r="M246" s="621">
        <f t="shared" si="41"/>
        <v>1</v>
      </c>
      <c r="N246" s="630"/>
      <c r="O246" s="621">
        <f t="shared" si="42"/>
        <v>1</v>
      </c>
      <c r="P246" s="3490" t="str">
        <f>可抵押车位明细清单!L225</f>
        <v>-2层</v>
      </c>
      <c r="Q246" s="621">
        <f t="shared" si="43"/>
        <v>0.95</v>
      </c>
      <c r="R246" s="681">
        <f t="shared" ca="1" si="44"/>
        <v>11.306800000000001</v>
      </c>
      <c r="S246" s="620">
        <f t="shared" ca="1" si="35"/>
        <v>0</v>
      </c>
    </row>
    <row r="247" spans="1:19">
      <c r="A247" s="628" t="str">
        <f>可抵押车位明细清单!D226</f>
        <v>2#地库196</v>
      </c>
      <c r="B247" s="629">
        <f>可抵押车位明细清单!H226</f>
        <v>28.31</v>
      </c>
      <c r="C247" s="621">
        <f t="shared" si="36"/>
        <v>1</v>
      </c>
      <c r="D247" s="630"/>
      <c r="E247" s="621">
        <f t="shared" si="37"/>
        <v>1</v>
      </c>
      <c r="F247" s="630"/>
      <c r="G247" s="621">
        <f t="shared" si="38"/>
        <v>1</v>
      </c>
      <c r="H247" s="630"/>
      <c r="I247" s="621">
        <f t="shared" si="39"/>
        <v>1</v>
      </c>
      <c r="J247" s="630"/>
      <c r="K247" s="621">
        <f t="shared" si="40"/>
        <v>1</v>
      </c>
      <c r="L247" s="630" t="str">
        <f>可抵押车位明细清单!K226</f>
        <v>标准车位</v>
      </c>
      <c r="M247" s="621">
        <f t="shared" si="41"/>
        <v>1</v>
      </c>
      <c r="N247" s="630"/>
      <c r="O247" s="621">
        <f t="shared" si="42"/>
        <v>1</v>
      </c>
      <c r="P247" s="3490" t="str">
        <f>可抵押车位明细清单!L226</f>
        <v>-2层</v>
      </c>
      <c r="Q247" s="621">
        <f t="shared" si="43"/>
        <v>0.95</v>
      </c>
      <c r="R247" s="681">
        <f t="shared" ca="1" si="44"/>
        <v>11.306800000000001</v>
      </c>
      <c r="S247" s="620">
        <f t="shared" ca="1" si="35"/>
        <v>0</v>
      </c>
    </row>
    <row r="248" spans="1:19">
      <c r="A248" s="628" t="str">
        <f>可抵押车位明细清单!D227</f>
        <v>2#地库197</v>
      </c>
      <c r="B248" s="629">
        <f>可抵押车位明细清单!H227</f>
        <v>29.26</v>
      </c>
      <c r="C248" s="621">
        <f t="shared" si="36"/>
        <v>1</v>
      </c>
      <c r="D248" s="630"/>
      <c r="E248" s="621">
        <f t="shared" si="37"/>
        <v>1</v>
      </c>
      <c r="F248" s="630"/>
      <c r="G248" s="621">
        <f t="shared" si="38"/>
        <v>1</v>
      </c>
      <c r="H248" s="630"/>
      <c r="I248" s="621">
        <f t="shared" si="39"/>
        <v>1</v>
      </c>
      <c r="J248" s="630"/>
      <c r="K248" s="621">
        <f t="shared" si="40"/>
        <v>1</v>
      </c>
      <c r="L248" s="630" t="str">
        <f>可抵押车位明细清单!K227</f>
        <v>标准车位</v>
      </c>
      <c r="M248" s="621">
        <f t="shared" si="41"/>
        <v>1</v>
      </c>
      <c r="N248" s="630"/>
      <c r="O248" s="621">
        <f t="shared" si="42"/>
        <v>1</v>
      </c>
      <c r="P248" s="3490" t="str">
        <f>可抵押车位明细清单!L227</f>
        <v>-2层</v>
      </c>
      <c r="Q248" s="621">
        <f t="shared" si="43"/>
        <v>0.95</v>
      </c>
      <c r="R248" s="681">
        <f t="shared" ca="1" si="44"/>
        <v>11.306800000000001</v>
      </c>
      <c r="S248" s="620">
        <f t="shared" ca="1" si="35"/>
        <v>0</v>
      </c>
    </row>
    <row r="249" spans="1:19">
      <c r="A249" s="628" t="str">
        <f>可抵押车位明细清单!D228</f>
        <v>2#地库198</v>
      </c>
      <c r="B249" s="629">
        <f>可抵押车位明细清单!H228</f>
        <v>29.26</v>
      </c>
      <c r="C249" s="621">
        <f t="shared" si="36"/>
        <v>1</v>
      </c>
      <c r="D249" s="630"/>
      <c r="E249" s="621">
        <f t="shared" si="37"/>
        <v>1</v>
      </c>
      <c r="F249" s="630"/>
      <c r="G249" s="621">
        <f t="shared" si="38"/>
        <v>1</v>
      </c>
      <c r="H249" s="630"/>
      <c r="I249" s="621">
        <f t="shared" si="39"/>
        <v>1</v>
      </c>
      <c r="J249" s="630"/>
      <c r="K249" s="621">
        <f t="shared" si="40"/>
        <v>1</v>
      </c>
      <c r="L249" s="630" t="str">
        <f>可抵押车位明细清单!K228</f>
        <v>标准车位</v>
      </c>
      <c r="M249" s="621">
        <f t="shared" si="41"/>
        <v>1</v>
      </c>
      <c r="N249" s="630"/>
      <c r="O249" s="621">
        <f t="shared" si="42"/>
        <v>1</v>
      </c>
      <c r="P249" s="3490" t="str">
        <f>可抵押车位明细清单!L228</f>
        <v>-2层</v>
      </c>
      <c r="Q249" s="621">
        <f t="shared" si="43"/>
        <v>0.95</v>
      </c>
      <c r="R249" s="681">
        <f t="shared" ca="1" si="44"/>
        <v>11.306800000000001</v>
      </c>
      <c r="S249" s="620">
        <f t="shared" ca="1" si="35"/>
        <v>0</v>
      </c>
    </row>
    <row r="250" spans="1:19">
      <c r="A250" s="628" t="str">
        <f>可抵押车位明细清单!D229</f>
        <v>2#地库199</v>
      </c>
      <c r="B250" s="629">
        <f>可抵押车位明细清单!H229</f>
        <v>29.26</v>
      </c>
      <c r="C250" s="621">
        <f t="shared" si="36"/>
        <v>1</v>
      </c>
      <c r="D250" s="630"/>
      <c r="E250" s="621">
        <f t="shared" si="37"/>
        <v>1</v>
      </c>
      <c r="F250" s="630"/>
      <c r="G250" s="621">
        <f t="shared" si="38"/>
        <v>1</v>
      </c>
      <c r="H250" s="630"/>
      <c r="I250" s="621">
        <f t="shared" si="39"/>
        <v>1</v>
      </c>
      <c r="J250" s="630"/>
      <c r="K250" s="621">
        <f t="shared" si="40"/>
        <v>1</v>
      </c>
      <c r="L250" s="630" t="str">
        <f>可抵押车位明细清单!K229</f>
        <v>标准车位</v>
      </c>
      <c r="M250" s="621">
        <f t="shared" si="41"/>
        <v>1</v>
      </c>
      <c r="N250" s="630"/>
      <c r="O250" s="621">
        <f t="shared" si="42"/>
        <v>1</v>
      </c>
      <c r="P250" s="3490" t="str">
        <f>可抵押车位明细清单!L229</f>
        <v>-2层</v>
      </c>
      <c r="Q250" s="621">
        <f t="shared" si="43"/>
        <v>0.95</v>
      </c>
      <c r="R250" s="681">
        <f t="shared" ca="1" si="44"/>
        <v>11.306800000000001</v>
      </c>
      <c r="S250" s="620">
        <f t="shared" ca="1" si="35"/>
        <v>0</v>
      </c>
    </row>
    <row r="251" spans="1:19">
      <c r="A251" s="628" t="str">
        <f>可抵押车位明细清单!D230</f>
        <v>2#地库200</v>
      </c>
      <c r="B251" s="629">
        <f>可抵押车位明细清单!H230</f>
        <v>29.26</v>
      </c>
      <c r="C251" s="621">
        <f t="shared" si="36"/>
        <v>1</v>
      </c>
      <c r="D251" s="630"/>
      <c r="E251" s="621">
        <f t="shared" si="37"/>
        <v>1</v>
      </c>
      <c r="F251" s="630"/>
      <c r="G251" s="621">
        <f t="shared" si="38"/>
        <v>1</v>
      </c>
      <c r="H251" s="630"/>
      <c r="I251" s="621">
        <f t="shared" si="39"/>
        <v>1</v>
      </c>
      <c r="J251" s="630"/>
      <c r="K251" s="621">
        <f t="shared" si="40"/>
        <v>1</v>
      </c>
      <c r="L251" s="630" t="str">
        <f>可抵押车位明细清单!K230</f>
        <v>标准车位</v>
      </c>
      <c r="M251" s="621">
        <f t="shared" si="41"/>
        <v>1</v>
      </c>
      <c r="N251" s="630"/>
      <c r="O251" s="621">
        <f t="shared" si="42"/>
        <v>1</v>
      </c>
      <c r="P251" s="3490" t="str">
        <f>可抵押车位明细清单!L230</f>
        <v>-2层</v>
      </c>
      <c r="Q251" s="621">
        <f t="shared" si="43"/>
        <v>0.95</v>
      </c>
      <c r="R251" s="681">
        <f t="shared" ca="1" si="44"/>
        <v>11.306800000000001</v>
      </c>
      <c r="S251" s="620">
        <f t="shared" ca="1" si="35"/>
        <v>0</v>
      </c>
    </row>
    <row r="252" spans="1:19">
      <c r="A252" s="628" t="str">
        <f>可抵押车位明细清单!D231</f>
        <v>2#地库201</v>
      </c>
      <c r="B252" s="629">
        <f>可抵押车位明细清单!H231</f>
        <v>28.31</v>
      </c>
      <c r="C252" s="621">
        <f t="shared" si="36"/>
        <v>1</v>
      </c>
      <c r="D252" s="630"/>
      <c r="E252" s="621">
        <f t="shared" si="37"/>
        <v>1</v>
      </c>
      <c r="F252" s="630"/>
      <c r="G252" s="621">
        <f t="shared" si="38"/>
        <v>1</v>
      </c>
      <c r="H252" s="630"/>
      <c r="I252" s="621">
        <f t="shared" si="39"/>
        <v>1</v>
      </c>
      <c r="J252" s="630"/>
      <c r="K252" s="621">
        <f t="shared" si="40"/>
        <v>1</v>
      </c>
      <c r="L252" s="630" t="str">
        <f>可抵押车位明细清单!K231</f>
        <v>标准车位</v>
      </c>
      <c r="M252" s="621">
        <f t="shared" si="41"/>
        <v>1</v>
      </c>
      <c r="N252" s="630"/>
      <c r="O252" s="621">
        <f t="shared" si="42"/>
        <v>1</v>
      </c>
      <c r="P252" s="3490" t="str">
        <f>可抵押车位明细清单!L231</f>
        <v>-2层</v>
      </c>
      <c r="Q252" s="621">
        <f t="shared" si="43"/>
        <v>0.95</v>
      </c>
      <c r="R252" s="681">
        <f t="shared" ca="1" si="44"/>
        <v>11.306800000000001</v>
      </c>
      <c r="S252" s="620">
        <f t="shared" ca="1" si="35"/>
        <v>0</v>
      </c>
    </row>
    <row r="253" spans="1:19">
      <c r="A253" s="628" t="str">
        <f>可抵押车位明细清单!D232</f>
        <v>2#地库202</v>
      </c>
      <c r="B253" s="629">
        <f>可抵押车位明细清单!H232</f>
        <v>29.26</v>
      </c>
      <c r="C253" s="621">
        <f t="shared" si="36"/>
        <v>1</v>
      </c>
      <c r="D253" s="630"/>
      <c r="E253" s="621">
        <f t="shared" si="37"/>
        <v>1</v>
      </c>
      <c r="F253" s="630"/>
      <c r="G253" s="621">
        <f t="shared" si="38"/>
        <v>1</v>
      </c>
      <c r="H253" s="630"/>
      <c r="I253" s="621">
        <f t="shared" si="39"/>
        <v>1</v>
      </c>
      <c r="J253" s="630"/>
      <c r="K253" s="621">
        <f t="shared" si="40"/>
        <v>1</v>
      </c>
      <c r="L253" s="630" t="str">
        <f>可抵押车位明细清单!K232</f>
        <v>标准车位</v>
      </c>
      <c r="M253" s="621">
        <f t="shared" si="41"/>
        <v>1</v>
      </c>
      <c r="N253" s="630"/>
      <c r="O253" s="621">
        <f t="shared" si="42"/>
        <v>1</v>
      </c>
      <c r="P253" s="3490" t="str">
        <f>可抵押车位明细清单!L232</f>
        <v>-2层</v>
      </c>
      <c r="Q253" s="621">
        <f t="shared" si="43"/>
        <v>0.95</v>
      </c>
      <c r="R253" s="681">
        <f t="shared" ca="1" si="44"/>
        <v>11.306800000000001</v>
      </c>
      <c r="S253" s="620">
        <f t="shared" ca="1" si="35"/>
        <v>0</v>
      </c>
    </row>
    <row r="254" spans="1:19">
      <c r="A254" s="628" t="str">
        <f>可抵押车位明细清单!D233</f>
        <v>2#地库203</v>
      </c>
      <c r="B254" s="629">
        <f>可抵押车位明细清单!H233</f>
        <v>29.26</v>
      </c>
      <c r="C254" s="621">
        <f t="shared" si="36"/>
        <v>1</v>
      </c>
      <c r="D254" s="630"/>
      <c r="E254" s="621">
        <f t="shared" si="37"/>
        <v>1</v>
      </c>
      <c r="F254" s="630"/>
      <c r="G254" s="621">
        <f t="shared" si="38"/>
        <v>1</v>
      </c>
      <c r="H254" s="630"/>
      <c r="I254" s="621">
        <f t="shared" si="39"/>
        <v>1</v>
      </c>
      <c r="J254" s="630"/>
      <c r="K254" s="621">
        <f t="shared" si="40"/>
        <v>1</v>
      </c>
      <c r="L254" s="630" t="str">
        <f>可抵押车位明细清单!K233</f>
        <v>标准车位</v>
      </c>
      <c r="M254" s="621">
        <f t="shared" si="41"/>
        <v>1</v>
      </c>
      <c r="N254" s="630"/>
      <c r="O254" s="621">
        <f t="shared" si="42"/>
        <v>1</v>
      </c>
      <c r="P254" s="3490" t="str">
        <f>可抵押车位明细清单!L233</f>
        <v>-2层</v>
      </c>
      <c r="Q254" s="621">
        <f t="shared" si="43"/>
        <v>0.95</v>
      </c>
      <c r="R254" s="681">
        <f t="shared" ca="1" si="44"/>
        <v>11.306800000000001</v>
      </c>
      <c r="S254" s="620">
        <f t="shared" ca="1" si="35"/>
        <v>0</v>
      </c>
    </row>
    <row r="255" spans="1:19">
      <c r="A255" s="628" t="str">
        <f>可抵押车位明细清单!D234</f>
        <v>2#地库204</v>
      </c>
      <c r="B255" s="629">
        <f>可抵押车位明细清单!H234</f>
        <v>28.31</v>
      </c>
      <c r="C255" s="621">
        <f t="shared" si="36"/>
        <v>1</v>
      </c>
      <c r="D255" s="630"/>
      <c r="E255" s="621">
        <f t="shared" si="37"/>
        <v>1</v>
      </c>
      <c r="F255" s="630"/>
      <c r="G255" s="621">
        <f t="shared" si="38"/>
        <v>1</v>
      </c>
      <c r="H255" s="630"/>
      <c r="I255" s="621">
        <f t="shared" si="39"/>
        <v>1</v>
      </c>
      <c r="J255" s="630"/>
      <c r="K255" s="621">
        <f t="shared" si="40"/>
        <v>1</v>
      </c>
      <c r="L255" s="630" t="str">
        <f>可抵押车位明细清单!K234</f>
        <v>标准车位</v>
      </c>
      <c r="M255" s="621">
        <f t="shared" si="41"/>
        <v>1</v>
      </c>
      <c r="N255" s="630"/>
      <c r="O255" s="621">
        <f t="shared" si="42"/>
        <v>1</v>
      </c>
      <c r="P255" s="3490" t="str">
        <f>可抵押车位明细清单!L234</f>
        <v>-2层</v>
      </c>
      <c r="Q255" s="621">
        <f t="shared" si="43"/>
        <v>0.95</v>
      </c>
      <c r="R255" s="681">
        <f t="shared" ca="1" si="44"/>
        <v>11.306800000000001</v>
      </c>
      <c r="S255" s="620">
        <f t="shared" ca="1" si="35"/>
        <v>0</v>
      </c>
    </row>
    <row r="256" spans="1:19">
      <c r="A256" s="628" t="str">
        <f>可抵押车位明细清单!D235</f>
        <v>2#地库205</v>
      </c>
      <c r="B256" s="629">
        <f>可抵押车位明细清单!H235</f>
        <v>29.26</v>
      </c>
      <c r="C256" s="621">
        <f t="shared" si="36"/>
        <v>1</v>
      </c>
      <c r="D256" s="630"/>
      <c r="E256" s="621">
        <f t="shared" si="37"/>
        <v>1</v>
      </c>
      <c r="F256" s="630"/>
      <c r="G256" s="621">
        <f t="shared" si="38"/>
        <v>1</v>
      </c>
      <c r="H256" s="630"/>
      <c r="I256" s="621">
        <f t="shared" si="39"/>
        <v>1</v>
      </c>
      <c r="J256" s="630"/>
      <c r="K256" s="621">
        <f t="shared" si="40"/>
        <v>1</v>
      </c>
      <c r="L256" s="630" t="str">
        <f>可抵押车位明细清单!K235</f>
        <v>标准车位</v>
      </c>
      <c r="M256" s="621">
        <f t="shared" si="41"/>
        <v>1</v>
      </c>
      <c r="N256" s="630"/>
      <c r="O256" s="621">
        <f t="shared" si="42"/>
        <v>1</v>
      </c>
      <c r="P256" s="3490" t="str">
        <f>可抵押车位明细清单!L235</f>
        <v>-2层</v>
      </c>
      <c r="Q256" s="621">
        <f t="shared" si="43"/>
        <v>0.95</v>
      </c>
      <c r="R256" s="681">
        <f t="shared" ca="1" si="44"/>
        <v>11.306800000000001</v>
      </c>
      <c r="S256" s="620">
        <f t="shared" ca="1" si="35"/>
        <v>0</v>
      </c>
    </row>
    <row r="257" spans="1:19">
      <c r="A257" s="628" t="str">
        <f>可抵押车位明细清单!D236</f>
        <v>2#地库206</v>
      </c>
      <c r="B257" s="629">
        <f>可抵押车位明细清单!H236</f>
        <v>29.26</v>
      </c>
      <c r="C257" s="621">
        <f t="shared" si="36"/>
        <v>1</v>
      </c>
      <c r="D257" s="630"/>
      <c r="E257" s="621">
        <f t="shared" si="37"/>
        <v>1</v>
      </c>
      <c r="F257" s="630"/>
      <c r="G257" s="621">
        <f t="shared" si="38"/>
        <v>1</v>
      </c>
      <c r="H257" s="630"/>
      <c r="I257" s="621">
        <f t="shared" si="39"/>
        <v>1</v>
      </c>
      <c r="J257" s="630"/>
      <c r="K257" s="621">
        <f t="shared" si="40"/>
        <v>1</v>
      </c>
      <c r="L257" s="630" t="str">
        <f>可抵押车位明细清单!K236</f>
        <v>标准车位</v>
      </c>
      <c r="M257" s="621">
        <f t="shared" si="41"/>
        <v>1</v>
      </c>
      <c r="N257" s="630"/>
      <c r="O257" s="621">
        <f t="shared" si="42"/>
        <v>1</v>
      </c>
      <c r="P257" s="3490" t="str">
        <f>可抵押车位明细清单!L236</f>
        <v>-2层</v>
      </c>
      <c r="Q257" s="621">
        <f t="shared" si="43"/>
        <v>0.95</v>
      </c>
      <c r="R257" s="681">
        <f t="shared" ca="1" si="44"/>
        <v>11.306800000000001</v>
      </c>
      <c r="S257" s="620">
        <f t="shared" ca="1" si="35"/>
        <v>0</v>
      </c>
    </row>
    <row r="258" spans="1:19">
      <c r="A258" s="628" t="str">
        <f>可抵押车位明细清单!D237</f>
        <v>2#地库207</v>
      </c>
      <c r="B258" s="629">
        <f>可抵押车位明细清单!H237</f>
        <v>28.31</v>
      </c>
      <c r="C258" s="621">
        <f t="shared" si="36"/>
        <v>1</v>
      </c>
      <c r="D258" s="630"/>
      <c r="E258" s="621">
        <f t="shared" si="37"/>
        <v>1</v>
      </c>
      <c r="F258" s="630"/>
      <c r="G258" s="621">
        <f t="shared" si="38"/>
        <v>1</v>
      </c>
      <c r="H258" s="630"/>
      <c r="I258" s="621">
        <f t="shared" si="39"/>
        <v>1</v>
      </c>
      <c r="J258" s="630"/>
      <c r="K258" s="621">
        <f t="shared" si="40"/>
        <v>1</v>
      </c>
      <c r="L258" s="630" t="str">
        <f>可抵押车位明细清单!K237</f>
        <v>标准车位</v>
      </c>
      <c r="M258" s="621">
        <f t="shared" si="41"/>
        <v>1</v>
      </c>
      <c r="N258" s="630"/>
      <c r="O258" s="621">
        <f t="shared" si="42"/>
        <v>1</v>
      </c>
      <c r="P258" s="3490" t="str">
        <f>可抵押车位明细清单!L237</f>
        <v>-2层</v>
      </c>
      <c r="Q258" s="621">
        <f t="shared" si="43"/>
        <v>0.95</v>
      </c>
      <c r="R258" s="681">
        <f t="shared" ca="1" si="44"/>
        <v>11.306800000000001</v>
      </c>
      <c r="S258" s="620">
        <f t="shared" ca="1" si="35"/>
        <v>0</v>
      </c>
    </row>
    <row r="259" spans="1:19">
      <c r="A259" s="628" t="str">
        <f>可抵押车位明细清单!D238</f>
        <v>2#地库208</v>
      </c>
      <c r="B259" s="629">
        <f>可抵押车位明细清单!H238</f>
        <v>29.26</v>
      </c>
      <c r="C259" s="621">
        <f t="shared" si="36"/>
        <v>1</v>
      </c>
      <c r="D259" s="630"/>
      <c r="E259" s="621">
        <f t="shared" si="37"/>
        <v>1</v>
      </c>
      <c r="F259" s="630"/>
      <c r="G259" s="621">
        <f t="shared" si="38"/>
        <v>1</v>
      </c>
      <c r="H259" s="630"/>
      <c r="I259" s="621">
        <f t="shared" si="39"/>
        <v>1</v>
      </c>
      <c r="J259" s="630"/>
      <c r="K259" s="621">
        <f t="shared" si="40"/>
        <v>1</v>
      </c>
      <c r="L259" s="630" t="str">
        <f>可抵押车位明细清单!K238</f>
        <v>标准车位</v>
      </c>
      <c r="M259" s="621">
        <f t="shared" si="41"/>
        <v>1</v>
      </c>
      <c r="N259" s="630"/>
      <c r="O259" s="621">
        <f t="shared" si="42"/>
        <v>1</v>
      </c>
      <c r="P259" s="3490" t="str">
        <f>可抵押车位明细清单!L238</f>
        <v>-2层</v>
      </c>
      <c r="Q259" s="621">
        <f t="shared" si="43"/>
        <v>0.95</v>
      </c>
      <c r="R259" s="681">
        <f t="shared" ca="1" si="44"/>
        <v>11.306800000000001</v>
      </c>
      <c r="S259" s="620">
        <f t="shared" ca="1" si="35"/>
        <v>0</v>
      </c>
    </row>
    <row r="260" spans="1:19">
      <c r="A260" s="628" t="str">
        <f>可抵押车位明细清单!D239</f>
        <v>2#地库209</v>
      </c>
      <c r="B260" s="629">
        <f>可抵押车位明细清单!H239</f>
        <v>29.26</v>
      </c>
      <c r="C260" s="621">
        <f t="shared" si="36"/>
        <v>1</v>
      </c>
      <c r="D260" s="630"/>
      <c r="E260" s="621">
        <f t="shared" si="37"/>
        <v>1</v>
      </c>
      <c r="F260" s="630"/>
      <c r="G260" s="621">
        <f t="shared" si="38"/>
        <v>1</v>
      </c>
      <c r="H260" s="630"/>
      <c r="I260" s="621">
        <f t="shared" si="39"/>
        <v>1</v>
      </c>
      <c r="J260" s="630"/>
      <c r="K260" s="621">
        <f t="shared" si="40"/>
        <v>1</v>
      </c>
      <c r="L260" s="630" t="str">
        <f>可抵押车位明细清单!K239</f>
        <v>标准车位</v>
      </c>
      <c r="M260" s="621">
        <f t="shared" si="41"/>
        <v>1</v>
      </c>
      <c r="N260" s="630"/>
      <c r="O260" s="621">
        <f t="shared" si="42"/>
        <v>1</v>
      </c>
      <c r="P260" s="3490" t="str">
        <f>可抵押车位明细清单!L239</f>
        <v>-2层</v>
      </c>
      <c r="Q260" s="621">
        <f t="shared" si="43"/>
        <v>0.95</v>
      </c>
      <c r="R260" s="681">
        <f t="shared" ca="1" si="44"/>
        <v>11.306800000000001</v>
      </c>
      <c r="S260" s="620">
        <f t="shared" ca="1" si="35"/>
        <v>0</v>
      </c>
    </row>
    <row r="261" spans="1:19">
      <c r="A261" s="628" t="str">
        <f>可抵押车位明细清单!D240</f>
        <v>2#地库210</v>
      </c>
      <c r="B261" s="629">
        <f>可抵押车位明细清单!H240</f>
        <v>29.42</v>
      </c>
      <c r="C261" s="621">
        <f t="shared" si="36"/>
        <v>1</v>
      </c>
      <c r="D261" s="630"/>
      <c r="E261" s="621">
        <f t="shared" si="37"/>
        <v>1</v>
      </c>
      <c r="F261" s="630"/>
      <c r="G261" s="621">
        <f t="shared" si="38"/>
        <v>1</v>
      </c>
      <c r="H261" s="630"/>
      <c r="I261" s="621">
        <f t="shared" si="39"/>
        <v>1</v>
      </c>
      <c r="J261" s="630"/>
      <c r="K261" s="621">
        <f t="shared" si="40"/>
        <v>1</v>
      </c>
      <c r="L261" s="630" t="str">
        <f>可抵押车位明细清单!K240</f>
        <v>标准车位</v>
      </c>
      <c r="M261" s="621">
        <f t="shared" si="41"/>
        <v>1</v>
      </c>
      <c r="N261" s="630"/>
      <c r="O261" s="621">
        <f t="shared" si="42"/>
        <v>1</v>
      </c>
      <c r="P261" s="3490" t="str">
        <f>可抵押车位明细清单!L240</f>
        <v>-2层</v>
      </c>
      <c r="Q261" s="621">
        <f t="shared" si="43"/>
        <v>0.95</v>
      </c>
      <c r="R261" s="681">
        <f t="shared" ca="1" si="44"/>
        <v>11.306800000000001</v>
      </c>
      <c r="S261" s="620">
        <f t="shared" ca="1" si="35"/>
        <v>0</v>
      </c>
    </row>
    <row r="262" spans="1:19">
      <c r="A262" s="628" t="str">
        <f>可抵押车位明细清单!D241</f>
        <v>2#地库211</v>
      </c>
      <c r="B262" s="629">
        <f>可抵押车位明细清单!H241</f>
        <v>28.47</v>
      </c>
      <c r="C262" s="621">
        <f t="shared" si="36"/>
        <v>1</v>
      </c>
      <c r="D262" s="630"/>
      <c r="E262" s="621">
        <f t="shared" si="37"/>
        <v>1</v>
      </c>
      <c r="F262" s="630"/>
      <c r="G262" s="621">
        <f t="shared" si="38"/>
        <v>1</v>
      </c>
      <c r="H262" s="630"/>
      <c r="I262" s="621">
        <f t="shared" si="39"/>
        <v>1</v>
      </c>
      <c r="J262" s="630"/>
      <c r="K262" s="621">
        <f t="shared" si="40"/>
        <v>1</v>
      </c>
      <c r="L262" s="630" t="str">
        <f>可抵押车位明细清单!K241</f>
        <v>标准车位</v>
      </c>
      <c r="M262" s="621">
        <f t="shared" si="41"/>
        <v>1</v>
      </c>
      <c r="N262" s="630"/>
      <c r="O262" s="621">
        <f t="shared" si="42"/>
        <v>1</v>
      </c>
      <c r="P262" s="3490" t="str">
        <f>可抵押车位明细清单!L241</f>
        <v>-2层</v>
      </c>
      <c r="Q262" s="621">
        <f t="shared" si="43"/>
        <v>0.95</v>
      </c>
      <c r="R262" s="681">
        <f t="shared" ca="1" si="44"/>
        <v>11.306800000000001</v>
      </c>
      <c r="S262" s="620">
        <f t="shared" ca="1" si="35"/>
        <v>0</v>
      </c>
    </row>
    <row r="263" spans="1:19">
      <c r="A263" s="628" t="str">
        <f>可抵押车位明细清单!D242</f>
        <v>2#地库212</v>
      </c>
      <c r="B263" s="629">
        <f>可抵押车位明细清单!H242</f>
        <v>29.42</v>
      </c>
      <c r="C263" s="621">
        <f t="shared" si="36"/>
        <v>1</v>
      </c>
      <c r="D263" s="630"/>
      <c r="E263" s="621">
        <f t="shared" si="37"/>
        <v>1</v>
      </c>
      <c r="F263" s="630"/>
      <c r="G263" s="621">
        <f t="shared" si="38"/>
        <v>1</v>
      </c>
      <c r="H263" s="630"/>
      <c r="I263" s="621">
        <f t="shared" si="39"/>
        <v>1</v>
      </c>
      <c r="J263" s="630"/>
      <c r="K263" s="621">
        <f t="shared" si="40"/>
        <v>1</v>
      </c>
      <c r="L263" s="630" t="str">
        <f>可抵押车位明细清单!K242</f>
        <v>标准车位</v>
      </c>
      <c r="M263" s="621">
        <f t="shared" si="41"/>
        <v>1</v>
      </c>
      <c r="N263" s="630"/>
      <c r="O263" s="621">
        <f t="shared" si="42"/>
        <v>1</v>
      </c>
      <c r="P263" s="3490" t="str">
        <f>可抵押车位明细清单!L242</f>
        <v>-2层</v>
      </c>
      <c r="Q263" s="621">
        <f t="shared" si="43"/>
        <v>0.95</v>
      </c>
      <c r="R263" s="681">
        <f t="shared" ca="1" si="44"/>
        <v>11.306800000000001</v>
      </c>
      <c r="S263" s="620">
        <f t="shared" ca="1" si="35"/>
        <v>0</v>
      </c>
    </row>
    <row r="264" spans="1:19">
      <c r="A264" s="628" t="str">
        <f>可抵押车位明细清单!D243</f>
        <v>2#地库213</v>
      </c>
      <c r="B264" s="629">
        <f>可抵押车位明细清单!H243</f>
        <v>29.42</v>
      </c>
      <c r="C264" s="621">
        <f t="shared" si="36"/>
        <v>1</v>
      </c>
      <c r="D264" s="630"/>
      <c r="E264" s="621">
        <f t="shared" si="37"/>
        <v>1</v>
      </c>
      <c r="F264" s="630"/>
      <c r="G264" s="621">
        <f t="shared" si="38"/>
        <v>1</v>
      </c>
      <c r="H264" s="630"/>
      <c r="I264" s="621">
        <f t="shared" si="39"/>
        <v>1</v>
      </c>
      <c r="J264" s="630"/>
      <c r="K264" s="621">
        <f t="shared" si="40"/>
        <v>1</v>
      </c>
      <c r="L264" s="630" t="str">
        <f>可抵押车位明细清单!K243</f>
        <v>标准车位</v>
      </c>
      <c r="M264" s="621">
        <f t="shared" si="41"/>
        <v>1</v>
      </c>
      <c r="N264" s="630"/>
      <c r="O264" s="621">
        <f t="shared" si="42"/>
        <v>1</v>
      </c>
      <c r="P264" s="3490" t="str">
        <f>可抵押车位明细清单!L243</f>
        <v>-2层</v>
      </c>
      <c r="Q264" s="621">
        <f t="shared" si="43"/>
        <v>0.95</v>
      </c>
      <c r="R264" s="681">
        <f t="shared" ca="1" si="44"/>
        <v>11.306800000000001</v>
      </c>
      <c r="S264" s="620">
        <f t="shared" ca="1" si="35"/>
        <v>0</v>
      </c>
    </row>
    <row r="265" spans="1:19">
      <c r="A265" s="628" t="str">
        <f>可抵押车位明细清单!D244</f>
        <v>2#地库214</v>
      </c>
      <c r="B265" s="629">
        <f>可抵押车位明细清单!H244</f>
        <v>28.47</v>
      </c>
      <c r="C265" s="621">
        <f t="shared" si="36"/>
        <v>1</v>
      </c>
      <c r="D265" s="630"/>
      <c r="E265" s="621">
        <f t="shared" si="37"/>
        <v>1</v>
      </c>
      <c r="F265" s="630"/>
      <c r="G265" s="621">
        <f t="shared" si="38"/>
        <v>1</v>
      </c>
      <c r="H265" s="630"/>
      <c r="I265" s="621">
        <f t="shared" si="39"/>
        <v>1</v>
      </c>
      <c r="J265" s="630"/>
      <c r="K265" s="621">
        <f t="shared" si="40"/>
        <v>1</v>
      </c>
      <c r="L265" s="630" t="str">
        <f>可抵押车位明细清单!K244</f>
        <v>标准车位</v>
      </c>
      <c r="M265" s="621">
        <f t="shared" si="41"/>
        <v>1</v>
      </c>
      <c r="N265" s="630"/>
      <c r="O265" s="621">
        <f t="shared" si="42"/>
        <v>1</v>
      </c>
      <c r="P265" s="3490" t="str">
        <f>可抵押车位明细清单!L244</f>
        <v>-2层</v>
      </c>
      <c r="Q265" s="621">
        <f t="shared" si="43"/>
        <v>0.95</v>
      </c>
      <c r="R265" s="681">
        <f t="shared" ca="1" si="44"/>
        <v>11.306800000000001</v>
      </c>
      <c r="S265" s="620">
        <f t="shared" ca="1" si="35"/>
        <v>0</v>
      </c>
    </row>
    <row r="266" spans="1:19">
      <c r="A266" s="628" t="str">
        <f>可抵押车位明细清单!D245</f>
        <v>2#地库215</v>
      </c>
      <c r="B266" s="629">
        <f>可抵押车位明细清单!H245</f>
        <v>29.42</v>
      </c>
      <c r="C266" s="621">
        <f t="shared" si="36"/>
        <v>1</v>
      </c>
      <c r="D266" s="630"/>
      <c r="E266" s="621">
        <f t="shared" si="37"/>
        <v>1</v>
      </c>
      <c r="F266" s="630"/>
      <c r="G266" s="621">
        <f t="shared" si="38"/>
        <v>1</v>
      </c>
      <c r="H266" s="630"/>
      <c r="I266" s="621">
        <f t="shared" si="39"/>
        <v>1</v>
      </c>
      <c r="J266" s="630"/>
      <c r="K266" s="621">
        <f t="shared" si="40"/>
        <v>1</v>
      </c>
      <c r="L266" s="630" t="str">
        <f>可抵押车位明细清单!K245</f>
        <v>标准车位</v>
      </c>
      <c r="M266" s="621">
        <f t="shared" si="41"/>
        <v>1</v>
      </c>
      <c r="N266" s="630"/>
      <c r="O266" s="621">
        <f t="shared" si="42"/>
        <v>1</v>
      </c>
      <c r="P266" s="3490" t="str">
        <f>可抵押车位明细清单!L245</f>
        <v>-2层</v>
      </c>
      <c r="Q266" s="621">
        <f t="shared" si="43"/>
        <v>0.95</v>
      </c>
      <c r="R266" s="681">
        <f t="shared" ca="1" si="44"/>
        <v>11.306800000000001</v>
      </c>
      <c r="S266" s="620">
        <f t="shared" ca="1" si="35"/>
        <v>0</v>
      </c>
    </row>
    <row r="267" spans="1:19">
      <c r="A267" s="628" t="str">
        <f>可抵押车位明细清单!D246</f>
        <v>2#地库216</v>
      </c>
      <c r="B267" s="629">
        <f>可抵押车位明细清单!H246</f>
        <v>29.88</v>
      </c>
      <c r="C267" s="621">
        <f t="shared" si="36"/>
        <v>1</v>
      </c>
      <c r="D267" s="630"/>
      <c r="E267" s="621">
        <f t="shared" si="37"/>
        <v>1</v>
      </c>
      <c r="F267" s="630"/>
      <c r="G267" s="621">
        <f t="shared" si="38"/>
        <v>1</v>
      </c>
      <c r="H267" s="630"/>
      <c r="I267" s="621">
        <f t="shared" si="39"/>
        <v>1</v>
      </c>
      <c r="J267" s="630"/>
      <c r="K267" s="621">
        <f t="shared" si="40"/>
        <v>1</v>
      </c>
      <c r="L267" s="630" t="str">
        <f>可抵押车位明细清单!K246</f>
        <v>标准车位</v>
      </c>
      <c r="M267" s="621">
        <f t="shared" si="41"/>
        <v>1</v>
      </c>
      <c r="N267" s="630"/>
      <c r="O267" s="621">
        <f t="shared" si="42"/>
        <v>1</v>
      </c>
      <c r="P267" s="3490" t="str">
        <f>可抵押车位明细清单!L246</f>
        <v>-2层</v>
      </c>
      <c r="Q267" s="621">
        <f t="shared" si="43"/>
        <v>0.95</v>
      </c>
      <c r="R267" s="681">
        <f t="shared" ca="1" si="44"/>
        <v>11.306800000000001</v>
      </c>
      <c r="S267" s="620">
        <f t="shared" ca="1" si="35"/>
        <v>0</v>
      </c>
    </row>
    <row r="268" spans="1:19">
      <c r="A268" s="628" t="str">
        <f>可抵押车位明细清单!D247</f>
        <v>2#地库217</v>
      </c>
      <c r="B268" s="629">
        <f>可抵押车位明细清单!H247</f>
        <v>28.88</v>
      </c>
      <c r="C268" s="621">
        <f t="shared" si="36"/>
        <v>1</v>
      </c>
      <c r="D268" s="630"/>
      <c r="E268" s="621">
        <f t="shared" si="37"/>
        <v>1</v>
      </c>
      <c r="F268" s="630"/>
      <c r="G268" s="621">
        <f t="shared" si="38"/>
        <v>1</v>
      </c>
      <c r="H268" s="630"/>
      <c r="I268" s="621">
        <f t="shared" si="39"/>
        <v>1</v>
      </c>
      <c r="J268" s="630"/>
      <c r="K268" s="621">
        <f t="shared" si="40"/>
        <v>1</v>
      </c>
      <c r="L268" s="630" t="str">
        <f>可抵押车位明细清单!K247</f>
        <v>标准车位</v>
      </c>
      <c r="M268" s="621">
        <f t="shared" si="41"/>
        <v>1</v>
      </c>
      <c r="N268" s="630"/>
      <c r="O268" s="621">
        <f t="shared" si="42"/>
        <v>1</v>
      </c>
      <c r="P268" s="3490" t="str">
        <f>可抵押车位明细清单!L247</f>
        <v>-2层</v>
      </c>
      <c r="Q268" s="621">
        <f t="shared" si="43"/>
        <v>0.95</v>
      </c>
      <c r="R268" s="681">
        <f t="shared" ca="1" si="44"/>
        <v>11.306800000000001</v>
      </c>
      <c r="S268" s="620">
        <f t="shared" ca="1" si="35"/>
        <v>0</v>
      </c>
    </row>
    <row r="269" spans="1:19">
      <c r="A269" s="628" t="str">
        <f>可抵押车位明细清单!D248</f>
        <v>2#地库218</v>
      </c>
      <c r="B269" s="629">
        <f>可抵押车位明细清单!H248</f>
        <v>29.88</v>
      </c>
      <c r="C269" s="621">
        <f t="shared" si="36"/>
        <v>1</v>
      </c>
      <c r="D269" s="630"/>
      <c r="E269" s="621">
        <f t="shared" si="37"/>
        <v>1</v>
      </c>
      <c r="F269" s="630"/>
      <c r="G269" s="621">
        <f t="shared" si="38"/>
        <v>1</v>
      </c>
      <c r="H269" s="630"/>
      <c r="I269" s="621">
        <f t="shared" si="39"/>
        <v>1</v>
      </c>
      <c r="J269" s="630"/>
      <c r="K269" s="621">
        <f t="shared" si="40"/>
        <v>1</v>
      </c>
      <c r="L269" s="630" t="str">
        <f>可抵押车位明细清单!K248</f>
        <v>标准车位</v>
      </c>
      <c r="M269" s="621">
        <f t="shared" si="41"/>
        <v>1</v>
      </c>
      <c r="N269" s="630"/>
      <c r="O269" s="621">
        <f t="shared" si="42"/>
        <v>1</v>
      </c>
      <c r="P269" s="3490" t="str">
        <f>可抵押车位明细清单!L248</f>
        <v>-2层</v>
      </c>
      <c r="Q269" s="621">
        <f t="shared" si="43"/>
        <v>0.95</v>
      </c>
      <c r="R269" s="681">
        <f t="shared" ca="1" si="44"/>
        <v>11.306800000000001</v>
      </c>
      <c r="S269" s="620">
        <f t="shared" ca="1" si="35"/>
        <v>0</v>
      </c>
    </row>
    <row r="270" spans="1:19">
      <c r="A270" s="628" t="str">
        <f>可抵押车位明细清单!D249</f>
        <v>2#地库219</v>
      </c>
      <c r="B270" s="629">
        <f>可抵押车位明细清单!H249</f>
        <v>29.88</v>
      </c>
      <c r="C270" s="621">
        <f t="shared" si="36"/>
        <v>1</v>
      </c>
      <c r="D270" s="630"/>
      <c r="E270" s="621">
        <f t="shared" si="37"/>
        <v>1</v>
      </c>
      <c r="F270" s="630"/>
      <c r="G270" s="621">
        <f t="shared" si="38"/>
        <v>1</v>
      </c>
      <c r="H270" s="630"/>
      <c r="I270" s="621">
        <f t="shared" si="39"/>
        <v>1</v>
      </c>
      <c r="J270" s="630"/>
      <c r="K270" s="621">
        <f t="shared" si="40"/>
        <v>1</v>
      </c>
      <c r="L270" s="630" t="str">
        <f>可抵押车位明细清单!K249</f>
        <v>标准车位</v>
      </c>
      <c r="M270" s="621">
        <f t="shared" si="41"/>
        <v>1</v>
      </c>
      <c r="N270" s="630"/>
      <c r="O270" s="621">
        <f t="shared" si="42"/>
        <v>1</v>
      </c>
      <c r="P270" s="3490" t="str">
        <f>可抵押车位明细清单!L249</f>
        <v>-2层</v>
      </c>
      <c r="Q270" s="621">
        <f t="shared" si="43"/>
        <v>0.95</v>
      </c>
      <c r="R270" s="681">
        <f t="shared" ca="1" si="44"/>
        <v>11.306800000000001</v>
      </c>
      <c r="S270" s="620">
        <f t="shared" ca="1" si="35"/>
        <v>0</v>
      </c>
    </row>
    <row r="271" spans="1:19">
      <c r="A271" s="628" t="str">
        <f>可抵押车位明细清单!D250</f>
        <v>2#地库220</v>
      </c>
      <c r="B271" s="629">
        <f>可抵押车位明细清单!H250</f>
        <v>28.88</v>
      </c>
      <c r="C271" s="621">
        <f t="shared" si="36"/>
        <v>1</v>
      </c>
      <c r="D271" s="630"/>
      <c r="E271" s="621">
        <f t="shared" si="37"/>
        <v>1</v>
      </c>
      <c r="F271" s="630"/>
      <c r="G271" s="621">
        <f t="shared" si="38"/>
        <v>1</v>
      </c>
      <c r="H271" s="630"/>
      <c r="I271" s="621">
        <f t="shared" si="39"/>
        <v>1</v>
      </c>
      <c r="J271" s="630"/>
      <c r="K271" s="621">
        <f t="shared" si="40"/>
        <v>1</v>
      </c>
      <c r="L271" s="630" t="str">
        <f>可抵押车位明细清单!K250</f>
        <v>标准车位</v>
      </c>
      <c r="M271" s="621">
        <f t="shared" si="41"/>
        <v>1</v>
      </c>
      <c r="N271" s="630"/>
      <c r="O271" s="621">
        <f t="shared" si="42"/>
        <v>1</v>
      </c>
      <c r="P271" s="3490" t="str">
        <f>可抵押车位明细清单!L250</f>
        <v>-2层</v>
      </c>
      <c r="Q271" s="621">
        <f t="shared" si="43"/>
        <v>0.95</v>
      </c>
      <c r="R271" s="681">
        <f t="shared" ca="1" si="44"/>
        <v>11.306800000000001</v>
      </c>
      <c r="S271" s="620">
        <f t="shared" ca="1" si="35"/>
        <v>0</v>
      </c>
    </row>
    <row r="272" spans="1:19">
      <c r="A272" s="628" t="str">
        <f>可抵押车位明细清单!D251</f>
        <v>2#地库221</v>
      </c>
      <c r="B272" s="629">
        <f>可抵押车位明细清单!H251</f>
        <v>29.88</v>
      </c>
      <c r="C272" s="621">
        <f t="shared" si="36"/>
        <v>1</v>
      </c>
      <c r="D272" s="630"/>
      <c r="E272" s="621">
        <f t="shared" si="37"/>
        <v>1</v>
      </c>
      <c r="F272" s="630"/>
      <c r="G272" s="621">
        <f t="shared" si="38"/>
        <v>1</v>
      </c>
      <c r="H272" s="630"/>
      <c r="I272" s="621">
        <f t="shared" si="39"/>
        <v>1</v>
      </c>
      <c r="J272" s="630"/>
      <c r="K272" s="621">
        <f t="shared" si="40"/>
        <v>1</v>
      </c>
      <c r="L272" s="630" t="str">
        <f>可抵押车位明细清单!K251</f>
        <v>标准车位</v>
      </c>
      <c r="M272" s="621">
        <f t="shared" si="41"/>
        <v>1</v>
      </c>
      <c r="N272" s="630"/>
      <c r="O272" s="621">
        <f t="shared" si="42"/>
        <v>1</v>
      </c>
      <c r="P272" s="3490" t="str">
        <f>可抵押车位明细清单!L251</f>
        <v>-2层</v>
      </c>
      <c r="Q272" s="621">
        <f t="shared" si="43"/>
        <v>0.95</v>
      </c>
      <c r="R272" s="681">
        <f t="shared" ca="1" si="44"/>
        <v>11.306800000000001</v>
      </c>
      <c r="S272" s="620">
        <f t="shared" ca="1" si="35"/>
        <v>0</v>
      </c>
    </row>
    <row r="273" spans="1:19">
      <c r="A273" s="628" t="str">
        <f>可抵押车位明细清单!D252</f>
        <v>2#地库222</v>
      </c>
      <c r="B273" s="629">
        <f>可抵押车位明细清单!H252</f>
        <v>29.88</v>
      </c>
      <c r="C273" s="621">
        <f t="shared" si="36"/>
        <v>1</v>
      </c>
      <c r="D273" s="630"/>
      <c r="E273" s="621">
        <f t="shared" si="37"/>
        <v>1</v>
      </c>
      <c r="F273" s="630"/>
      <c r="G273" s="621">
        <f t="shared" si="38"/>
        <v>1</v>
      </c>
      <c r="H273" s="630"/>
      <c r="I273" s="621">
        <f t="shared" si="39"/>
        <v>1</v>
      </c>
      <c r="J273" s="630"/>
      <c r="K273" s="621">
        <f t="shared" si="40"/>
        <v>1</v>
      </c>
      <c r="L273" s="630" t="str">
        <f>可抵押车位明细清单!K252</f>
        <v>标准车位</v>
      </c>
      <c r="M273" s="621">
        <f t="shared" si="41"/>
        <v>1</v>
      </c>
      <c r="N273" s="630"/>
      <c r="O273" s="621">
        <f t="shared" si="42"/>
        <v>1</v>
      </c>
      <c r="P273" s="3490" t="str">
        <f>可抵押车位明细清单!L252</f>
        <v>-2层</v>
      </c>
      <c r="Q273" s="621">
        <f t="shared" si="43"/>
        <v>0.95</v>
      </c>
      <c r="R273" s="681">
        <f t="shared" ca="1" si="44"/>
        <v>11.306800000000001</v>
      </c>
      <c r="S273" s="620">
        <f t="shared" ca="1" si="35"/>
        <v>0</v>
      </c>
    </row>
    <row r="274" spans="1:19">
      <c r="A274" s="628" t="str">
        <f>可抵押车位明细清单!D253</f>
        <v>2#地库223</v>
      </c>
      <c r="B274" s="629">
        <f>可抵押车位明细清单!H253</f>
        <v>28.88</v>
      </c>
      <c r="C274" s="621">
        <f t="shared" si="36"/>
        <v>1</v>
      </c>
      <c r="D274" s="630"/>
      <c r="E274" s="621">
        <f t="shared" si="37"/>
        <v>1</v>
      </c>
      <c r="F274" s="630"/>
      <c r="G274" s="621">
        <f t="shared" si="38"/>
        <v>1</v>
      </c>
      <c r="H274" s="630"/>
      <c r="I274" s="621">
        <f t="shared" si="39"/>
        <v>1</v>
      </c>
      <c r="J274" s="630"/>
      <c r="K274" s="621">
        <f t="shared" si="40"/>
        <v>1</v>
      </c>
      <c r="L274" s="630" t="str">
        <f>可抵押车位明细清单!K253</f>
        <v>标准车位</v>
      </c>
      <c r="M274" s="621">
        <f t="shared" si="41"/>
        <v>1</v>
      </c>
      <c r="N274" s="630"/>
      <c r="O274" s="621">
        <f t="shared" si="42"/>
        <v>1</v>
      </c>
      <c r="P274" s="3490" t="str">
        <f>可抵押车位明细清单!L253</f>
        <v>-2层</v>
      </c>
      <c r="Q274" s="621">
        <f t="shared" si="43"/>
        <v>0.95</v>
      </c>
      <c r="R274" s="681">
        <f t="shared" ca="1" si="44"/>
        <v>11.306800000000001</v>
      </c>
      <c r="S274" s="620">
        <f t="shared" ca="1" si="35"/>
        <v>0</v>
      </c>
    </row>
    <row r="275" spans="1:19">
      <c r="A275" s="628" t="str">
        <f>可抵押车位明细清单!D254</f>
        <v>2#地库224</v>
      </c>
      <c r="B275" s="629">
        <f>可抵押车位明细清单!H254</f>
        <v>29.88</v>
      </c>
      <c r="C275" s="621">
        <f t="shared" si="36"/>
        <v>1</v>
      </c>
      <c r="D275" s="630"/>
      <c r="E275" s="621">
        <f t="shared" si="37"/>
        <v>1</v>
      </c>
      <c r="F275" s="630"/>
      <c r="G275" s="621">
        <f t="shared" si="38"/>
        <v>1</v>
      </c>
      <c r="H275" s="630"/>
      <c r="I275" s="621">
        <f t="shared" si="39"/>
        <v>1</v>
      </c>
      <c r="J275" s="630"/>
      <c r="K275" s="621">
        <f t="shared" si="40"/>
        <v>1</v>
      </c>
      <c r="L275" s="630" t="str">
        <f>可抵押车位明细清单!K254</f>
        <v>标准车位</v>
      </c>
      <c r="M275" s="621">
        <f t="shared" si="41"/>
        <v>1</v>
      </c>
      <c r="N275" s="630"/>
      <c r="O275" s="621">
        <f t="shared" si="42"/>
        <v>1</v>
      </c>
      <c r="P275" s="3490" t="str">
        <f>可抵押车位明细清单!L254</f>
        <v>-2层</v>
      </c>
      <c r="Q275" s="621">
        <f t="shared" si="43"/>
        <v>0.95</v>
      </c>
      <c r="R275" s="681">
        <f t="shared" ca="1" si="44"/>
        <v>11.306800000000001</v>
      </c>
      <c r="S275" s="620">
        <f t="shared" ca="1" si="35"/>
        <v>0</v>
      </c>
    </row>
    <row r="276" spans="1:19">
      <c r="A276" s="628" t="str">
        <f>可抵押车位明细清单!D255</f>
        <v>2#地库225</v>
      </c>
      <c r="B276" s="629">
        <f>可抵押车位明细清单!H255</f>
        <v>30.35</v>
      </c>
      <c r="C276" s="621">
        <f t="shared" si="36"/>
        <v>1</v>
      </c>
      <c r="D276" s="630"/>
      <c r="E276" s="621">
        <f t="shared" si="37"/>
        <v>1</v>
      </c>
      <c r="F276" s="630"/>
      <c r="G276" s="621">
        <f t="shared" si="38"/>
        <v>1</v>
      </c>
      <c r="H276" s="630"/>
      <c r="I276" s="621">
        <f t="shared" si="39"/>
        <v>1</v>
      </c>
      <c r="J276" s="630"/>
      <c r="K276" s="621">
        <f t="shared" si="40"/>
        <v>1</v>
      </c>
      <c r="L276" s="630" t="str">
        <f>可抵押车位明细清单!K255</f>
        <v>标准车位</v>
      </c>
      <c r="M276" s="621">
        <f t="shared" si="41"/>
        <v>1</v>
      </c>
      <c r="N276" s="630"/>
      <c r="O276" s="621">
        <f t="shared" si="42"/>
        <v>1</v>
      </c>
      <c r="P276" s="3490" t="str">
        <f>可抵押车位明细清单!L255</f>
        <v>-2层</v>
      </c>
      <c r="Q276" s="621">
        <f t="shared" si="43"/>
        <v>0.95</v>
      </c>
      <c r="R276" s="681">
        <f t="shared" ca="1" si="44"/>
        <v>11.306800000000001</v>
      </c>
      <c r="S276" s="620">
        <f t="shared" ca="1" si="35"/>
        <v>0</v>
      </c>
    </row>
    <row r="277" spans="1:19">
      <c r="A277" s="628" t="str">
        <f>可抵押车位明细清单!D256</f>
        <v>2#地库226</v>
      </c>
      <c r="B277" s="629">
        <f>可抵押车位明细清单!H256</f>
        <v>29.26</v>
      </c>
      <c r="C277" s="621">
        <f t="shared" si="36"/>
        <v>1</v>
      </c>
      <c r="D277" s="630"/>
      <c r="E277" s="621">
        <f t="shared" si="37"/>
        <v>1</v>
      </c>
      <c r="F277" s="630"/>
      <c r="G277" s="621">
        <f t="shared" si="38"/>
        <v>1</v>
      </c>
      <c r="H277" s="630"/>
      <c r="I277" s="621">
        <f t="shared" si="39"/>
        <v>1</v>
      </c>
      <c r="J277" s="630"/>
      <c r="K277" s="621">
        <f t="shared" si="40"/>
        <v>1</v>
      </c>
      <c r="L277" s="630" t="str">
        <f>可抵押车位明细清单!K256</f>
        <v>标准车位</v>
      </c>
      <c r="M277" s="621">
        <f t="shared" si="41"/>
        <v>1</v>
      </c>
      <c r="N277" s="630"/>
      <c r="O277" s="621">
        <f t="shared" si="42"/>
        <v>1</v>
      </c>
      <c r="P277" s="3490" t="str">
        <f>可抵押车位明细清单!L256</f>
        <v>-2层</v>
      </c>
      <c r="Q277" s="621">
        <f t="shared" si="43"/>
        <v>0.95</v>
      </c>
      <c r="R277" s="681">
        <f t="shared" ca="1" si="44"/>
        <v>11.306800000000001</v>
      </c>
      <c r="S277" s="620">
        <f t="shared" ca="1" si="35"/>
        <v>0</v>
      </c>
    </row>
    <row r="278" spans="1:19">
      <c r="A278" s="628" t="str">
        <f>可抵押车位明细清单!D257</f>
        <v>2#地库227</v>
      </c>
      <c r="B278" s="629">
        <f>可抵押车位明细清单!H257</f>
        <v>28.31</v>
      </c>
      <c r="C278" s="621">
        <f t="shared" si="36"/>
        <v>1</v>
      </c>
      <c r="D278" s="630"/>
      <c r="E278" s="621">
        <f t="shared" si="37"/>
        <v>1</v>
      </c>
      <c r="F278" s="630"/>
      <c r="G278" s="621">
        <f t="shared" si="38"/>
        <v>1</v>
      </c>
      <c r="H278" s="630"/>
      <c r="I278" s="621">
        <f t="shared" si="39"/>
        <v>1</v>
      </c>
      <c r="J278" s="630"/>
      <c r="K278" s="621">
        <f t="shared" si="40"/>
        <v>1</v>
      </c>
      <c r="L278" s="630" t="str">
        <f>可抵押车位明细清单!K257</f>
        <v>标准车位</v>
      </c>
      <c r="M278" s="621">
        <f t="shared" si="41"/>
        <v>1</v>
      </c>
      <c r="N278" s="630"/>
      <c r="O278" s="621">
        <f t="shared" si="42"/>
        <v>1</v>
      </c>
      <c r="P278" s="3490" t="str">
        <f>可抵押车位明细清单!L257</f>
        <v>-2层</v>
      </c>
      <c r="Q278" s="621">
        <f t="shared" si="43"/>
        <v>0.95</v>
      </c>
      <c r="R278" s="681">
        <f t="shared" ca="1" si="44"/>
        <v>11.306800000000001</v>
      </c>
      <c r="S278" s="620">
        <f t="shared" ca="1" si="35"/>
        <v>0</v>
      </c>
    </row>
    <row r="279" spans="1:19">
      <c r="A279" s="628" t="str">
        <f>可抵押车位明细清单!D258</f>
        <v>2#地库228</v>
      </c>
      <c r="B279" s="629">
        <f>可抵押车位明细清单!H258</f>
        <v>29.26</v>
      </c>
      <c r="C279" s="621">
        <f t="shared" si="36"/>
        <v>1</v>
      </c>
      <c r="D279" s="630"/>
      <c r="E279" s="621">
        <f t="shared" si="37"/>
        <v>1</v>
      </c>
      <c r="F279" s="630"/>
      <c r="G279" s="621">
        <f t="shared" si="38"/>
        <v>1</v>
      </c>
      <c r="H279" s="630"/>
      <c r="I279" s="621">
        <f t="shared" si="39"/>
        <v>1</v>
      </c>
      <c r="J279" s="630"/>
      <c r="K279" s="621">
        <f t="shared" si="40"/>
        <v>1</v>
      </c>
      <c r="L279" s="630" t="str">
        <f>可抵押车位明细清单!K258</f>
        <v>标准车位</v>
      </c>
      <c r="M279" s="621">
        <f t="shared" si="41"/>
        <v>1</v>
      </c>
      <c r="N279" s="630"/>
      <c r="O279" s="621">
        <f t="shared" si="42"/>
        <v>1</v>
      </c>
      <c r="P279" s="3490" t="str">
        <f>可抵押车位明细清单!L258</f>
        <v>-2层</v>
      </c>
      <c r="Q279" s="621">
        <f t="shared" si="43"/>
        <v>0.95</v>
      </c>
      <c r="R279" s="681">
        <f t="shared" ca="1" si="44"/>
        <v>11.306800000000001</v>
      </c>
      <c r="S279" s="620">
        <f t="shared" ca="1" si="35"/>
        <v>0</v>
      </c>
    </row>
    <row r="280" spans="1:19">
      <c r="A280" s="628" t="str">
        <f>可抵押车位明细清单!D259</f>
        <v>2#地库229</v>
      </c>
      <c r="B280" s="629">
        <f>可抵押车位明细清单!H259</f>
        <v>29.26</v>
      </c>
      <c r="C280" s="621">
        <f t="shared" si="36"/>
        <v>1</v>
      </c>
      <c r="D280" s="630"/>
      <c r="E280" s="621">
        <f t="shared" si="37"/>
        <v>1</v>
      </c>
      <c r="F280" s="630"/>
      <c r="G280" s="621">
        <f t="shared" si="38"/>
        <v>1</v>
      </c>
      <c r="H280" s="630"/>
      <c r="I280" s="621">
        <f t="shared" si="39"/>
        <v>1</v>
      </c>
      <c r="J280" s="630"/>
      <c r="K280" s="621">
        <f t="shared" si="40"/>
        <v>1</v>
      </c>
      <c r="L280" s="630" t="str">
        <f>可抵押车位明细清单!K259</f>
        <v>标准车位</v>
      </c>
      <c r="M280" s="621">
        <f t="shared" si="41"/>
        <v>1</v>
      </c>
      <c r="N280" s="630"/>
      <c r="O280" s="621">
        <f t="shared" si="42"/>
        <v>1</v>
      </c>
      <c r="P280" s="3490" t="str">
        <f>可抵押车位明细清单!L259</f>
        <v>-2层</v>
      </c>
      <c r="Q280" s="621">
        <f t="shared" si="43"/>
        <v>0.95</v>
      </c>
      <c r="R280" s="681">
        <f t="shared" ca="1" si="44"/>
        <v>11.306800000000001</v>
      </c>
      <c r="S280" s="620">
        <f t="shared" ref="S280:S343" ca="1" si="45">ROUND(R280*B280/10000,0)</f>
        <v>0</v>
      </c>
    </row>
    <row r="281" spans="1:19">
      <c r="A281" s="628" t="str">
        <f>可抵押车位明细清单!D260</f>
        <v>2#地库230</v>
      </c>
      <c r="B281" s="629">
        <f>可抵押车位明细清单!H260</f>
        <v>28.31</v>
      </c>
      <c r="C281" s="621">
        <f t="shared" ref="C281:C344" si="46">IF(B281="",1,(LOOKUP(B281,$3:$3,$4:$4)-LOOKUP($B$24,$3:$3,$4:$4)+100)/100)</f>
        <v>1</v>
      </c>
      <c r="D281" s="630"/>
      <c r="E281" s="621">
        <f t="shared" ref="E281:E344" si="47">(SUMIF($5:$5,D281,$6:$6)-SUMIF($5:$5,$D$24,$6:$6)+100)/100</f>
        <v>1</v>
      </c>
      <c r="F281" s="630"/>
      <c r="G281" s="621">
        <f t="shared" ref="G281:G344" si="48">(SUMIF($7:$7,F281,$8:$8)-SUMIF($7:$7,$F$24,$8:$8)+100)/100</f>
        <v>1</v>
      </c>
      <c r="H281" s="630"/>
      <c r="I281" s="621">
        <f t="shared" ref="I281:I344" si="49">(SUMIF($9:$9,H281,$10:$10)-SUMIF($9:$9,$H$24,$10:$10)+100)/100</f>
        <v>1</v>
      </c>
      <c r="J281" s="630"/>
      <c r="K281" s="621">
        <f t="shared" ref="K281:K344" si="50">(SUMIF($11:$11,J281,$12:$12)-SUMIF($11:$11,$J$24,$12:$12)+100)/100</f>
        <v>1</v>
      </c>
      <c r="L281" s="630" t="str">
        <f>可抵押车位明细清单!K260</f>
        <v>标准车位</v>
      </c>
      <c r="M281" s="621">
        <f t="shared" ref="M281:M344" si="51">(SUMIF($13:$13,L281,$14:$14)-SUMIF($13:$13,$L$24,$14:$14)+100)/100</f>
        <v>1</v>
      </c>
      <c r="N281" s="630"/>
      <c r="O281" s="621">
        <f t="shared" ref="O281:O344" si="52">(SUMIF($15:$15,N281,$16:$16)-SUMIF($15:$15,$N$24,$16:$16)+100)/100</f>
        <v>1</v>
      </c>
      <c r="P281" s="3490" t="str">
        <f>可抵押车位明细清单!L260</f>
        <v>-2层</v>
      </c>
      <c r="Q281" s="621">
        <f t="shared" ref="Q281:Q344" si="53">(SUMIF($17:$17,P281,$18:$18)-SUMIF($17:$17,$P$24,$18:$18)+100)/100</f>
        <v>0.95</v>
      </c>
      <c r="R281" s="681">
        <f t="shared" ref="R281:R344" ca="1" si="54">IF(B281="",0,ROUND($R$24*C281*E281*G281*I281*K281*M281*O281*Q281,4))</f>
        <v>11.306800000000001</v>
      </c>
      <c r="S281" s="620">
        <f t="shared" ca="1" si="45"/>
        <v>0</v>
      </c>
    </row>
    <row r="282" spans="1:19">
      <c r="A282" s="628" t="str">
        <f>可抵押车位明细清单!D261</f>
        <v>2#地库231</v>
      </c>
      <c r="B282" s="629">
        <f>可抵押车位明细清单!H261</f>
        <v>29.26</v>
      </c>
      <c r="C282" s="621">
        <f t="shared" si="46"/>
        <v>1</v>
      </c>
      <c r="D282" s="630"/>
      <c r="E282" s="621">
        <f t="shared" si="47"/>
        <v>1</v>
      </c>
      <c r="F282" s="630"/>
      <c r="G282" s="621">
        <f t="shared" si="48"/>
        <v>1</v>
      </c>
      <c r="H282" s="630"/>
      <c r="I282" s="621">
        <f t="shared" si="49"/>
        <v>1</v>
      </c>
      <c r="J282" s="630"/>
      <c r="K282" s="621">
        <f t="shared" si="50"/>
        <v>1</v>
      </c>
      <c r="L282" s="630" t="str">
        <f>可抵押车位明细清单!K261</f>
        <v>标准车位</v>
      </c>
      <c r="M282" s="621">
        <f t="shared" si="51"/>
        <v>1</v>
      </c>
      <c r="N282" s="630"/>
      <c r="O282" s="621">
        <f t="shared" si="52"/>
        <v>1</v>
      </c>
      <c r="P282" s="3490" t="str">
        <f>可抵押车位明细清单!L261</f>
        <v>-2层</v>
      </c>
      <c r="Q282" s="621">
        <f t="shared" si="53"/>
        <v>0.95</v>
      </c>
      <c r="R282" s="681">
        <f t="shared" ca="1" si="54"/>
        <v>11.306800000000001</v>
      </c>
      <c r="S282" s="620">
        <f t="shared" ca="1" si="45"/>
        <v>0</v>
      </c>
    </row>
    <row r="283" spans="1:19">
      <c r="A283" s="628" t="str">
        <f>可抵押车位明细清单!D262</f>
        <v>2#地库232</v>
      </c>
      <c r="B283" s="629">
        <f>可抵押车位明细清单!H262</f>
        <v>29.26</v>
      </c>
      <c r="C283" s="621">
        <f t="shared" si="46"/>
        <v>1</v>
      </c>
      <c r="D283" s="630"/>
      <c r="E283" s="621">
        <f t="shared" si="47"/>
        <v>1</v>
      </c>
      <c r="F283" s="630"/>
      <c r="G283" s="621">
        <f t="shared" si="48"/>
        <v>1</v>
      </c>
      <c r="H283" s="630"/>
      <c r="I283" s="621">
        <f t="shared" si="49"/>
        <v>1</v>
      </c>
      <c r="J283" s="630"/>
      <c r="K283" s="621">
        <f t="shared" si="50"/>
        <v>1</v>
      </c>
      <c r="L283" s="630" t="str">
        <f>可抵押车位明细清单!K262</f>
        <v>标准车位</v>
      </c>
      <c r="M283" s="621">
        <f t="shared" si="51"/>
        <v>1</v>
      </c>
      <c r="N283" s="630"/>
      <c r="O283" s="621">
        <f t="shared" si="52"/>
        <v>1</v>
      </c>
      <c r="P283" s="3490" t="str">
        <f>可抵押车位明细清单!L262</f>
        <v>-2层</v>
      </c>
      <c r="Q283" s="621">
        <f t="shared" si="53"/>
        <v>0.95</v>
      </c>
      <c r="R283" s="681">
        <f t="shared" ca="1" si="54"/>
        <v>11.306800000000001</v>
      </c>
      <c r="S283" s="620">
        <f t="shared" ca="1" si="45"/>
        <v>0</v>
      </c>
    </row>
    <row r="284" spans="1:19">
      <c r="A284" s="628" t="str">
        <f>可抵押车位明细清单!D263</f>
        <v>2#地库233</v>
      </c>
      <c r="B284" s="629">
        <f>可抵押车位明细清单!H263</f>
        <v>28.31</v>
      </c>
      <c r="C284" s="621">
        <f t="shared" si="46"/>
        <v>1</v>
      </c>
      <c r="D284" s="630"/>
      <c r="E284" s="621">
        <f t="shared" si="47"/>
        <v>1</v>
      </c>
      <c r="F284" s="630"/>
      <c r="G284" s="621">
        <f t="shared" si="48"/>
        <v>1</v>
      </c>
      <c r="H284" s="630"/>
      <c r="I284" s="621">
        <f t="shared" si="49"/>
        <v>1</v>
      </c>
      <c r="J284" s="630"/>
      <c r="K284" s="621">
        <f t="shared" si="50"/>
        <v>1</v>
      </c>
      <c r="L284" s="630" t="str">
        <f>可抵押车位明细清单!K263</f>
        <v>标准车位</v>
      </c>
      <c r="M284" s="621">
        <f t="shared" si="51"/>
        <v>1</v>
      </c>
      <c r="N284" s="630"/>
      <c r="O284" s="621">
        <f t="shared" si="52"/>
        <v>1</v>
      </c>
      <c r="P284" s="3490" t="str">
        <f>可抵押车位明细清单!L263</f>
        <v>-2层</v>
      </c>
      <c r="Q284" s="621">
        <f t="shared" si="53"/>
        <v>0.95</v>
      </c>
      <c r="R284" s="681">
        <f t="shared" ca="1" si="54"/>
        <v>11.306800000000001</v>
      </c>
      <c r="S284" s="620">
        <f t="shared" ca="1" si="45"/>
        <v>0</v>
      </c>
    </row>
    <row r="285" spans="1:19">
      <c r="A285" s="628" t="str">
        <f>可抵押车位明细清单!D264</f>
        <v>2#地库234</v>
      </c>
      <c r="B285" s="629">
        <f>可抵押车位明细清单!H264</f>
        <v>29.26</v>
      </c>
      <c r="C285" s="621">
        <f t="shared" si="46"/>
        <v>1</v>
      </c>
      <c r="D285" s="630"/>
      <c r="E285" s="621">
        <f t="shared" si="47"/>
        <v>1</v>
      </c>
      <c r="F285" s="630"/>
      <c r="G285" s="621">
        <f t="shared" si="48"/>
        <v>1</v>
      </c>
      <c r="H285" s="630"/>
      <c r="I285" s="621">
        <f t="shared" si="49"/>
        <v>1</v>
      </c>
      <c r="J285" s="630"/>
      <c r="K285" s="621">
        <f t="shared" si="50"/>
        <v>1</v>
      </c>
      <c r="L285" s="630" t="str">
        <f>可抵押车位明细清单!K264</f>
        <v>标准车位</v>
      </c>
      <c r="M285" s="621">
        <f t="shared" si="51"/>
        <v>1</v>
      </c>
      <c r="N285" s="630"/>
      <c r="O285" s="621">
        <f t="shared" si="52"/>
        <v>1</v>
      </c>
      <c r="P285" s="3490" t="str">
        <f>可抵押车位明细清单!L264</f>
        <v>-2层</v>
      </c>
      <c r="Q285" s="621">
        <f t="shared" si="53"/>
        <v>0.95</v>
      </c>
      <c r="R285" s="681">
        <f t="shared" ca="1" si="54"/>
        <v>11.306800000000001</v>
      </c>
      <c r="S285" s="620">
        <f t="shared" ca="1" si="45"/>
        <v>0</v>
      </c>
    </row>
    <row r="286" spans="1:19">
      <c r="A286" s="628" t="str">
        <f>可抵押车位明细清单!D265</f>
        <v>2#地库235</v>
      </c>
      <c r="B286" s="629">
        <f>可抵押车位明细清单!H265</f>
        <v>29.26</v>
      </c>
      <c r="C286" s="621">
        <f t="shared" si="46"/>
        <v>1</v>
      </c>
      <c r="D286" s="630"/>
      <c r="E286" s="621">
        <f t="shared" si="47"/>
        <v>1</v>
      </c>
      <c r="F286" s="630"/>
      <c r="G286" s="621">
        <f t="shared" si="48"/>
        <v>1</v>
      </c>
      <c r="H286" s="630"/>
      <c r="I286" s="621">
        <f t="shared" si="49"/>
        <v>1</v>
      </c>
      <c r="J286" s="630"/>
      <c r="K286" s="621">
        <f t="shared" si="50"/>
        <v>1</v>
      </c>
      <c r="L286" s="630" t="str">
        <f>可抵押车位明细清单!K265</f>
        <v>标准车位</v>
      </c>
      <c r="M286" s="621">
        <f t="shared" si="51"/>
        <v>1</v>
      </c>
      <c r="N286" s="630"/>
      <c r="O286" s="621">
        <f t="shared" si="52"/>
        <v>1</v>
      </c>
      <c r="P286" s="3490" t="str">
        <f>可抵押车位明细清单!L265</f>
        <v>-2层</v>
      </c>
      <c r="Q286" s="621">
        <f t="shared" si="53"/>
        <v>0.95</v>
      </c>
      <c r="R286" s="681">
        <f t="shared" ca="1" si="54"/>
        <v>11.306800000000001</v>
      </c>
      <c r="S286" s="620">
        <f t="shared" ca="1" si="45"/>
        <v>0</v>
      </c>
    </row>
    <row r="287" spans="1:19">
      <c r="A287" s="628" t="str">
        <f>可抵押车位明细清单!D266</f>
        <v>2#地库236</v>
      </c>
      <c r="B287" s="629">
        <f>可抵押车位明细清单!H266</f>
        <v>28.31</v>
      </c>
      <c r="C287" s="621">
        <f t="shared" si="46"/>
        <v>1</v>
      </c>
      <c r="D287" s="630"/>
      <c r="E287" s="621">
        <f t="shared" si="47"/>
        <v>1</v>
      </c>
      <c r="F287" s="630"/>
      <c r="G287" s="621">
        <f t="shared" si="48"/>
        <v>1</v>
      </c>
      <c r="H287" s="630"/>
      <c r="I287" s="621">
        <f t="shared" si="49"/>
        <v>1</v>
      </c>
      <c r="J287" s="630"/>
      <c r="K287" s="621">
        <f t="shared" si="50"/>
        <v>1</v>
      </c>
      <c r="L287" s="630" t="str">
        <f>可抵押车位明细清单!K266</f>
        <v>标准车位</v>
      </c>
      <c r="M287" s="621">
        <f t="shared" si="51"/>
        <v>1</v>
      </c>
      <c r="N287" s="630"/>
      <c r="O287" s="621">
        <f t="shared" si="52"/>
        <v>1</v>
      </c>
      <c r="P287" s="3490" t="str">
        <f>可抵押车位明细清单!L266</f>
        <v>-2层</v>
      </c>
      <c r="Q287" s="621">
        <f t="shared" si="53"/>
        <v>0.95</v>
      </c>
      <c r="R287" s="681">
        <f t="shared" ca="1" si="54"/>
        <v>11.306800000000001</v>
      </c>
      <c r="S287" s="620">
        <f t="shared" ca="1" si="45"/>
        <v>0</v>
      </c>
    </row>
    <row r="288" spans="1:19">
      <c r="A288" s="628" t="str">
        <f>可抵押车位明细清单!D267</f>
        <v>2#地库237</v>
      </c>
      <c r="B288" s="629">
        <f>可抵押车位明细清单!H267</f>
        <v>29.26</v>
      </c>
      <c r="C288" s="621">
        <f t="shared" si="46"/>
        <v>1</v>
      </c>
      <c r="D288" s="630"/>
      <c r="E288" s="621">
        <f t="shared" si="47"/>
        <v>1</v>
      </c>
      <c r="F288" s="630"/>
      <c r="G288" s="621">
        <f t="shared" si="48"/>
        <v>1</v>
      </c>
      <c r="H288" s="630"/>
      <c r="I288" s="621">
        <f t="shared" si="49"/>
        <v>1</v>
      </c>
      <c r="J288" s="630"/>
      <c r="K288" s="621">
        <f t="shared" si="50"/>
        <v>1</v>
      </c>
      <c r="L288" s="630" t="str">
        <f>可抵押车位明细清单!K267</f>
        <v>标准车位</v>
      </c>
      <c r="M288" s="621">
        <f t="shared" si="51"/>
        <v>1</v>
      </c>
      <c r="N288" s="630"/>
      <c r="O288" s="621">
        <f t="shared" si="52"/>
        <v>1</v>
      </c>
      <c r="P288" s="3490" t="str">
        <f>可抵押车位明细清单!L267</f>
        <v>-2层</v>
      </c>
      <c r="Q288" s="621">
        <f t="shared" si="53"/>
        <v>0.95</v>
      </c>
      <c r="R288" s="681">
        <f t="shared" ca="1" si="54"/>
        <v>11.306800000000001</v>
      </c>
      <c r="S288" s="620">
        <f t="shared" ca="1" si="45"/>
        <v>0</v>
      </c>
    </row>
    <row r="289" spans="1:19">
      <c r="A289" s="628" t="str">
        <f>可抵押车位明细清单!D268</f>
        <v>2#地库238</v>
      </c>
      <c r="B289" s="629">
        <f>可抵押车位明细清单!H268</f>
        <v>29.26</v>
      </c>
      <c r="C289" s="621">
        <f t="shared" si="46"/>
        <v>1</v>
      </c>
      <c r="D289" s="630"/>
      <c r="E289" s="621">
        <f t="shared" si="47"/>
        <v>1</v>
      </c>
      <c r="F289" s="630"/>
      <c r="G289" s="621">
        <f t="shared" si="48"/>
        <v>1</v>
      </c>
      <c r="H289" s="630"/>
      <c r="I289" s="621">
        <f t="shared" si="49"/>
        <v>1</v>
      </c>
      <c r="J289" s="630"/>
      <c r="K289" s="621">
        <f t="shared" si="50"/>
        <v>1</v>
      </c>
      <c r="L289" s="630" t="str">
        <f>可抵押车位明细清单!K268</f>
        <v>标准车位</v>
      </c>
      <c r="M289" s="621">
        <f t="shared" si="51"/>
        <v>1</v>
      </c>
      <c r="N289" s="630"/>
      <c r="O289" s="621">
        <f t="shared" si="52"/>
        <v>1</v>
      </c>
      <c r="P289" s="3490" t="str">
        <f>可抵押车位明细清单!L268</f>
        <v>-2层</v>
      </c>
      <c r="Q289" s="621">
        <f t="shared" si="53"/>
        <v>0.95</v>
      </c>
      <c r="R289" s="681">
        <f t="shared" ca="1" si="54"/>
        <v>11.306800000000001</v>
      </c>
      <c r="S289" s="620">
        <f t="shared" ca="1" si="45"/>
        <v>0</v>
      </c>
    </row>
    <row r="290" spans="1:19">
      <c r="A290" s="628" t="str">
        <f>可抵押车位明细清单!D269</f>
        <v>2#地库239</v>
      </c>
      <c r="B290" s="629">
        <f>可抵押车位明细清单!H269</f>
        <v>28.31</v>
      </c>
      <c r="C290" s="621">
        <f t="shared" si="46"/>
        <v>1</v>
      </c>
      <c r="D290" s="630"/>
      <c r="E290" s="621">
        <f t="shared" si="47"/>
        <v>1</v>
      </c>
      <c r="F290" s="630"/>
      <c r="G290" s="621">
        <f t="shared" si="48"/>
        <v>1</v>
      </c>
      <c r="H290" s="630"/>
      <c r="I290" s="621">
        <f t="shared" si="49"/>
        <v>1</v>
      </c>
      <c r="J290" s="630"/>
      <c r="K290" s="621">
        <f t="shared" si="50"/>
        <v>1</v>
      </c>
      <c r="L290" s="630" t="str">
        <f>可抵押车位明细清单!K269</f>
        <v>标准车位</v>
      </c>
      <c r="M290" s="621">
        <f t="shared" si="51"/>
        <v>1</v>
      </c>
      <c r="N290" s="630"/>
      <c r="O290" s="621">
        <f t="shared" si="52"/>
        <v>1</v>
      </c>
      <c r="P290" s="3490" t="str">
        <f>可抵押车位明细清单!L269</f>
        <v>-2层</v>
      </c>
      <c r="Q290" s="621">
        <f t="shared" si="53"/>
        <v>0.95</v>
      </c>
      <c r="R290" s="681">
        <f t="shared" ca="1" si="54"/>
        <v>11.306800000000001</v>
      </c>
      <c r="S290" s="620">
        <f t="shared" ca="1" si="45"/>
        <v>0</v>
      </c>
    </row>
    <row r="291" spans="1:19">
      <c r="A291" s="628" t="str">
        <f>可抵押车位明细清单!D270</f>
        <v>2#地库240</v>
      </c>
      <c r="B291" s="629">
        <f>可抵押车位明细清单!H270</f>
        <v>29.26</v>
      </c>
      <c r="C291" s="621">
        <f t="shared" si="46"/>
        <v>1</v>
      </c>
      <c r="D291" s="630"/>
      <c r="E291" s="621">
        <f t="shared" si="47"/>
        <v>1</v>
      </c>
      <c r="F291" s="630"/>
      <c r="G291" s="621">
        <f t="shared" si="48"/>
        <v>1</v>
      </c>
      <c r="H291" s="630"/>
      <c r="I291" s="621">
        <f t="shared" si="49"/>
        <v>1</v>
      </c>
      <c r="J291" s="630"/>
      <c r="K291" s="621">
        <f t="shared" si="50"/>
        <v>1</v>
      </c>
      <c r="L291" s="630" t="str">
        <f>可抵押车位明细清单!K270</f>
        <v>标准车位</v>
      </c>
      <c r="M291" s="621">
        <f t="shared" si="51"/>
        <v>1</v>
      </c>
      <c r="N291" s="630"/>
      <c r="O291" s="621">
        <f t="shared" si="52"/>
        <v>1</v>
      </c>
      <c r="P291" s="3490" t="str">
        <f>可抵押车位明细清单!L270</f>
        <v>-2层</v>
      </c>
      <c r="Q291" s="621">
        <f t="shared" si="53"/>
        <v>0.95</v>
      </c>
      <c r="R291" s="681">
        <f t="shared" ca="1" si="54"/>
        <v>11.306800000000001</v>
      </c>
      <c r="S291" s="620">
        <f t="shared" ca="1" si="45"/>
        <v>0</v>
      </c>
    </row>
    <row r="292" spans="1:19">
      <c r="A292" s="628" t="str">
        <f>可抵押车位明细清单!D271</f>
        <v>2#地库241</v>
      </c>
      <c r="B292" s="629">
        <f>可抵押车位明细清单!H271</f>
        <v>29.26</v>
      </c>
      <c r="C292" s="621">
        <f t="shared" si="46"/>
        <v>1</v>
      </c>
      <c r="D292" s="630"/>
      <c r="E292" s="621">
        <f t="shared" si="47"/>
        <v>1</v>
      </c>
      <c r="F292" s="630"/>
      <c r="G292" s="621">
        <f t="shared" si="48"/>
        <v>1</v>
      </c>
      <c r="H292" s="630"/>
      <c r="I292" s="621">
        <f t="shared" si="49"/>
        <v>1</v>
      </c>
      <c r="J292" s="630"/>
      <c r="K292" s="621">
        <f t="shared" si="50"/>
        <v>1</v>
      </c>
      <c r="L292" s="630" t="str">
        <f>可抵押车位明细清单!K271</f>
        <v>标准车位</v>
      </c>
      <c r="M292" s="621">
        <f t="shared" si="51"/>
        <v>1</v>
      </c>
      <c r="N292" s="630"/>
      <c r="O292" s="621">
        <f t="shared" si="52"/>
        <v>1</v>
      </c>
      <c r="P292" s="3490" t="str">
        <f>可抵押车位明细清单!L271</f>
        <v>-2层</v>
      </c>
      <c r="Q292" s="621">
        <f t="shared" si="53"/>
        <v>0.95</v>
      </c>
      <c r="R292" s="681">
        <f t="shared" ca="1" si="54"/>
        <v>11.306800000000001</v>
      </c>
      <c r="S292" s="620">
        <f t="shared" ca="1" si="45"/>
        <v>0</v>
      </c>
    </row>
    <row r="293" spans="1:19">
      <c r="A293" s="628" t="str">
        <f>可抵押车位明细清单!D272</f>
        <v>2#地库242</v>
      </c>
      <c r="B293" s="629">
        <f>可抵押车位明细清单!H272</f>
        <v>28.31</v>
      </c>
      <c r="C293" s="621">
        <f t="shared" si="46"/>
        <v>1</v>
      </c>
      <c r="D293" s="630"/>
      <c r="E293" s="621">
        <f t="shared" si="47"/>
        <v>1</v>
      </c>
      <c r="F293" s="630"/>
      <c r="G293" s="621">
        <f t="shared" si="48"/>
        <v>1</v>
      </c>
      <c r="H293" s="630"/>
      <c r="I293" s="621">
        <f t="shared" si="49"/>
        <v>1</v>
      </c>
      <c r="J293" s="630"/>
      <c r="K293" s="621">
        <f t="shared" si="50"/>
        <v>1</v>
      </c>
      <c r="L293" s="630" t="str">
        <f>可抵押车位明细清单!K272</f>
        <v>标准车位</v>
      </c>
      <c r="M293" s="621">
        <f t="shared" si="51"/>
        <v>1</v>
      </c>
      <c r="N293" s="630"/>
      <c r="O293" s="621">
        <f t="shared" si="52"/>
        <v>1</v>
      </c>
      <c r="P293" s="3490" t="str">
        <f>可抵押车位明细清单!L272</f>
        <v>-2层</v>
      </c>
      <c r="Q293" s="621">
        <f t="shared" si="53"/>
        <v>0.95</v>
      </c>
      <c r="R293" s="681">
        <f t="shared" ca="1" si="54"/>
        <v>11.306800000000001</v>
      </c>
      <c r="S293" s="620">
        <f t="shared" ca="1" si="45"/>
        <v>0</v>
      </c>
    </row>
    <row r="294" spans="1:19">
      <c r="A294" s="628" t="str">
        <f>可抵押车位明细清单!D273</f>
        <v>2#地库243</v>
      </c>
      <c r="B294" s="629">
        <f>可抵押车位明细清单!H273</f>
        <v>29.26</v>
      </c>
      <c r="C294" s="621">
        <f t="shared" si="46"/>
        <v>1</v>
      </c>
      <c r="D294" s="630"/>
      <c r="E294" s="621">
        <f t="shared" si="47"/>
        <v>1</v>
      </c>
      <c r="F294" s="630"/>
      <c r="G294" s="621">
        <f t="shared" si="48"/>
        <v>1</v>
      </c>
      <c r="H294" s="630"/>
      <c r="I294" s="621">
        <f t="shared" si="49"/>
        <v>1</v>
      </c>
      <c r="J294" s="630"/>
      <c r="K294" s="621">
        <f t="shared" si="50"/>
        <v>1</v>
      </c>
      <c r="L294" s="630" t="str">
        <f>可抵押车位明细清单!K273</f>
        <v>标准车位</v>
      </c>
      <c r="M294" s="621">
        <f t="shared" si="51"/>
        <v>1</v>
      </c>
      <c r="N294" s="630"/>
      <c r="O294" s="621">
        <f t="shared" si="52"/>
        <v>1</v>
      </c>
      <c r="P294" s="3490" t="str">
        <f>可抵押车位明细清单!L273</f>
        <v>-2层</v>
      </c>
      <c r="Q294" s="621">
        <f t="shared" si="53"/>
        <v>0.95</v>
      </c>
      <c r="R294" s="681">
        <f t="shared" ca="1" si="54"/>
        <v>11.306800000000001</v>
      </c>
      <c r="S294" s="620">
        <f t="shared" ca="1" si="45"/>
        <v>0</v>
      </c>
    </row>
    <row r="295" spans="1:19">
      <c r="A295" s="628" t="str">
        <f>可抵押车位明细清单!D274</f>
        <v>2#地库244</v>
      </c>
      <c r="B295" s="629">
        <f>可抵押车位明细清单!H274</f>
        <v>29.26</v>
      </c>
      <c r="C295" s="621">
        <f t="shared" si="46"/>
        <v>1</v>
      </c>
      <c r="D295" s="630"/>
      <c r="E295" s="621">
        <f t="shared" si="47"/>
        <v>1</v>
      </c>
      <c r="F295" s="630"/>
      <c r="G295" s="621">
        <f t="shared" si="48"/>
        <v>1</v>
      </c>
      <c r="H295" s="630"/>
      <c r="I295" s="621">
        <f t="shared" si="49"/>
        <v>1</v>
      </c>
      <c r="J295" s="630"/>
      <c r="K295" s="621">
        <f t="shared" si="50"/>
        <v>1</v>
      </c>
      <c r="L295" s="630" t="str">
        <f>可抵押车位明细清单!K274</f>
        <v>标准车位</v>
      </c>
      <c r="M295" s="621">
        <f t="shared" si="51"/>
        <v>1</v>
      </c>
      <c r="N295" s="630"/>
      <c r="O295" s="621">
        <f t="shared" si="52"/>
        <v>1</v>
      </c>
      <c r="P295" s="3490" t="str">
        <f>可抵押车位明细清单!L274</f>
        <v>-2层</v>
      </c>
      <c r="Q295" s="621">
        <f t="shared" si="53"/>
        <v>0.95</v>
      </c>
      <c r="R295" s="681">
        <f t="shared" ca="1" si="54"/>
        <v>11.306800000000001</v>
      </c>
      <c r="S295" s="620">
        <f t="shared" ca="1" si="45"/>
        <v>0</v>
      </c>
    </row>
    <row r="296" spans="1:19">
      <c r="A296" s="628" t="str">
        <f>可抵押车位明细清单!D275</f>
        <v>2#地库245</v>
      </c>
      <c r="B296" s="629">
        <f>可抵押车位明细清单!H275</f>
        <v>29.26</v>
      </c>
      <c r="C296" s="621">
        <f t="shared" si="46"/>
        <v>1</v>
      </c>
      <c r="D296" s="630"/>
      <c r="E296" s="621">
        <f t="shared" si="47"/>
        <v>1</v>
      </c>
      <c r="F296" s="630"/>
      <c r="G296" s="621">
        <f t="shared" si="48"/>
        <v>1</v>
      </c>
      <c r="H296" s="630"/>
      <c r="I296" s="621">
        <f t="shared" si="49"/>
        <v>1</v>
      </c>
      <c r="J296" s="630"/>
      <c r="K296" s="621">
        <f t="shared" si="50"/>
        <v>1</v>
      </c>
      <c r="L296" s="630" t="str">
        <f>可抵押车位明细清单!K275</f>
        <v>标准车位</v>
      </c>
      <c r="M296" s="621">
        <f t="shared" si="51"/>
        <v>1</v>
      </c>
      <c r="N296" s="630"/>
      <c r="O296" s="621">
        <f t="shared" si="52"/>
        <v>1</v>
      </c>
      <c r="P296" s="3490" t="str">
        <f>可抵押车位明细清单!L275</f>
        <v>-2层</v>
      </c>
      <c r="Q296" s="621">
        <f t="shared" si="53"/>
        <v>0.95</v>
      </c>
      <c r="R296" s="681">
        <f t="shared" ca="1" si="54"/>
        <v>11.306800000000001</v>
      </c>
      <c r="S296" s="620">
        <f t="shared" ca="1" si="45"/>
        <v>0</v>
      </c>
    </row>
    <row r="297" spans="1:19">
      <c r="A297" s="628" t="str">
        <f>可抵押车位明细清单!D276</f>
        <v>2#地库246</v>
      </c>
      <c r="B297" s="629">
        <f>可抵押车位明细清单!H276</f>
        <v>29.26</v>
      </c>
      <c r="C297" s="621">
        <f t="shared" si="46"/>
        <v>1</v>
      </c>
      <c r="D297" s="630"/>
      <c r="E297" s="621">
        <f t="shared" si="47"/>
        <v>1</v>
      </c>
      <c r="F297" s="630"/>
      <c r="G297" s="621">
        <f t="shared" si="48"/>
        <v>1</v>
      </c>
      <c r="H297" s="630"/>
      <c r="I297" s="621">
        <f t="shared" si="49"/>
        <v>1</v>
      </c>
      <c r="J297" s="630"/>
      <c r="K297" s="621">
        <f t="shared" si="50"/>
        <v>1</v>
      </c>
      <c r="L297" s="630" t="str">
        <f>可抵押车位明细清单!K276</f>
        <v>标准车位</v>
      </c>
      <c r="M297" s="621">
        <f t="shared" si="51"/>
        <v>1</v>
      </c>
      <c r="N297" s="630"/>
      <c r="O297" s="621">
        <f t="shared" si="52"/>
        <v>1</v>
      </c>
      <c r="P297" s="3490" t="str">
        <f>可抵押车位明细清单!L276</f>
        <v>-2层</v>
      </c>
      <c r="Q297" s="621">
        <f t="shared" si="53"/>
        <v>0.95</v>
      </c>
      <c r="R297" s="681">
        <f t="shared" ca="1" si="54"/>
        <v>11.306800000000001</v>
      </c>
      <c r="S297" s="620">
        <f t="shared" ca="1" si="45"/>
        <v>0</v>
      </c>
    </row>
    <row r="298" spans="1:19">
      <c r="A298" s="628" t="str">
        <f>可抵押车位明细清单!D277</f>
        <v>2#地库247</v>
      </c>
      <c r="B298" s="629">
        <f>可抵押车位明细清单!H277</f>
        <v>28.31</v>
      </c>
      <c r="C298" s="621">
        <f t="shared" si="46"/>
        <v>1</v>
      </c>
      <c r="D298" s="630"/>
      <c r="E298" s="621">
        <f t="shared" si="47"/>
        <v>1</v>
      </c>
      <c r="F298" s="630"/>
      <c r="G298" s="621">
        <f t="shared" si="48"/>
        <v>1</v>
      </c>
      <c r="H298" s="630"/>
      <c r="I298" s="621">
        <f t="shared" si="49"/>
        <v>1</v>
      </c>
      <c r="J298" s="630"/>
      <c r="K298" s="621">
        <f t="shared" si="50"/>
        <v>1</v>
      </c>
      <c r="L298" s="630" t="str">
        <f>可抵押车位明细清单!K277</f>
        <v>标准车位</v>
      </c>
      <c r="M298" s="621">
        <f t="shared" si="51"/>
        <v>1</v>
      </c>
      <c r="N298" s="630"/>
      <c r="O298" s="621">
        <f t="shared" si="52"/>
        <v>1</v>
      </c>
      <c r="P298" s="3490" t="str">
        <f>可抵押车位明细清单!L277</f>
        <v>-2层</v>
      </c>
      <c r="Q298" s="621">
        <f t="shared" si="53"/>
        <v>0.95</v>
      </c>
      <c r="R298" s="681">
        <f t="shared" ca="1" si="54"/>
        <v>11.306800000000001</v>
      </c>
      <c r="S298" s="620">
        <f t="shared" ca="1" si="45"/>
        <v>0</v>
      </c>
    </row>
    <row r="299" spans="1:19">
      <c r="A299" s="628" t="str">
        <f>可抵押车位明细清单!D278</f>
        <v>2#地库248</v>
      </c>
      <c r="B299" s="629">
        <f>可抵押车位明细清单!H278</f>
        <v>29.26</v>
      </c>
      <c r="C299" s="621">
        <f t="shared" si="46"/>
        <v>1</v>
      </c>
      <c r="D299" s="630"/>
      <c r="E299" s="621">
        <f t="shared" si="47"/>
        <v>1</v>
      </c>
      <c r="F299" s="630"/>
      <c r="G299" s="621">
        <f t="shared" si="48"/>
        <v>1</v>
      </c>
      <c r="H299" s="630"/>
      <c r="I299" s="621">
        <f t="shared" si="49"/>
        <v>1</v>
      </c>
      <c r="J299" s="630"/>
      <c r="K299" s="621">
        <f t="shared" si="50"/>
        <v>1</v>
      </c>
      <c r="L299" s="630" t="str">
        <f>可抵押车位明细清单!K278</f>
        <v>标准车位</v>
      </c>
      <c r="M299" s="621">
        <f t="shared" si="51"/>
        <v>1</v>
      </c>
      <c r="N299" s="630"/>
      <c r="O299" s="621">
        <f t="shared" si="52"/>
        <v>1</v>
      </c>
      <c r="P299" s="3490" t="str">
        <f>可抵押车位明细清单!L278</f>
        <v>-2层</v>
      </c>
      <c r="Q299" s="621">
        <f t="shared" si="53"/>
        <v>0.95</v>
      </c>
      <c r="R299" s="681">
        <f t="shared" ca="1" si="54"/>
        <v>11.306800000000001</v>
      </c>
      <c r="S299" s="620">
        <f t="shared" ca="1" si="45"/>
        <v>0</v>
      </c>
    </row>
    <row r="300" spans="1:19">
      <c r="A300" s="628" t="str">
        <f>可抵押车位明细清单!D279</f>
        <v>2#地库249</v>
      </c>
      <c r="B300" s="629">
        <f>可抵押车位明细清单!H279</f>
        <v>29.26</v>
      </c>
      <c r="C300" s="621">
        <f t="shared" si="46"/>
        <v>1</v>
      </c>
      <c r="D300" s="630"/>
      <c r="E300" s="621">
        <f t="shared" si="47"/>
        <v>1</v>
      </c>
      <c r="F300" s="630"/>
      <c r="G300" s="621">
        <f t="shared" si="48"/>
        <v>1</v>
      </c>
      <c r="H300" s="630"/>
      <c r="I300" s="621">
        <f t="shared" si="49"/>
        <v>1</v>
      </c>
      <c r="J300" s="630"/>
      <c r="K300" s="621">
        <f t="shared" si="50"/>
        <v>1</v>
      </c>
      <c r="L300" s="630" t="str">
        <f>可抵押车位明细清单!K279</f>
        <v>标准车位</v>
      </c>
      <c r="M300" s="621">
        <f t="shared" si="51"/>
        <v>1</v>
      </c>
      <c r="N300" s="630"/>
      <c r="O300" s="621">
        <f t="shared" si="52"/>
        <v>1</v>
      </c>
      <c r="P300" s="3490" t="str">
        <f>可抵押车位明细清单!L279</f>
        <v>-2层</v>
      </c>
      <c r="Q300" s="621">
        <f t="shared" si="53"/>
        <v>0.95</v>
      </c>
      <c r="R300" s="681">
        <f t="shared" ca="1" si="54"/>
        <v>11.306800000000001</v>
      </c>
      <c r="S300" s="620">
        <f t="shared" ca="1" si="45"/>
        <v>0</v>
      </c>
    </row>
    <row r="301" spans="1:19">
      <c r="A301" s="628" t="str">
        <f>可抵押车位明细清单!D280</f>
        <v>2#地库250</v>
      </c>
      <c r="B301" s="629">
        <f>可抵押车位明细清单!H280</f>
        <v>28.31</v>
      </c>
      <c r="C301" s="621">
        <f t="shared" si="46"/>
        <v>1</v>
      </c>
      <c r="D301" s="630"/>
      <c r="E301" s="621">
        <f t="shared" si="47"/>
        <v>1</v>
      </c>
      <c r="F301" s="630"/>
      <c r="G301" s="621">
        <f t="shared" si="48"/>
        <v>1</v>
      </c>
      <c r="H301" s="630"/>
      <c r="I301" s="621">
        <f t="shared" si="49"/>
        <v>1</v>
      </c>
      <c r="J301" s="630"/>
      <c r="K301" s="621">
        <f t="shared" si="50"/>
        <v>1</v>
      </c>
      <c r="L301" s="630" t="str">
        <f>可抵押车位明细清单!K280</f>
        <v>标准车位</v>
      </c>
      <c r="M301" s="621">
        <f t="shared" si="51"/>
        <v>1</v>
      </c>
      <c r="N301" s="630"/>
      <c r="O301" s="621">
        <f t="shared" si="52"/>
        <v>1</v>
      </c>
      <c r="P301" s="3490" t="str">
        <f>可抵押车位明细清单!L280</f>
        <v>-2层</v>
      </c>
      <c r="Q301" s="621">
        <f t="shared" si="53"/>
        <v>0.95</v>
      </c>
      <c r="R301" s="681">
        <f t="shared" ca="1" si="54"/>
        <v>11.306800000000001</v>
      </c>
      <c r="S301" s="620">
        <f t="shared" ca="1" si="45"/>
        <v>0</v>
      </c>
    </row>
    <row r="302" spans="1:19">
      <c r="A302" s="628" t="str">
        <f>可抵押车位明细清单!D281</f>
        <v>2#地库251</v>
      </c>
      <c r="B302" s="629">
        <f>可抵押车位明细清单!H281</f>
        <v>29.26</v>
      </c>
      <c r="C302" s="621">
        <f t="shared" si="46"/>
        <v>1</v>
      </c>
      <c r="D302" s="630"/>
      <c r="E302" s="621">
        <f t="shared" si="47"/>
        <v>1</v>
      </c>
      <c r="F302" s="630"/>
      <c r="G302" s="621">
        <f t="shared" si="48"/>
        <v>1</v>
      </c>
      <c r="H302" s="630"/>
      <c r="I302" s="621">
        <f t="shared" si="49"/>
        <v>1</v>
      </c>
      <c r="J302" s="630"/>
      <c r="K302" s="621">
        <f t="shared" si="50"/>
        <v>1</v>
      </c>
      <c r="L302" s="630" t="str">
        <f>可抵押车位明细清单!K281</f>
        <v>标准车位</v>
      </c>
      <c r="M302" s="621">
        <f t="shared" si="51"/>
        <v>1</v>
      </c>
      <c r="N302" s="630"/>
      <c r="O302" s="621">
        <f t="shared" si="52"/>
        <v>1</v>
      </c>
      <c r="P302" s="3490" t="str">
        <f>可抵押车位明细清单!L281</f>
        <v>-2层</v>
      </c>
      <c r="Q302" s="621">
        <f t="shared" si="53"/>
        <v>0.95</v>
      </c>
      <c r="R302" s="681">
        <f t="shared" ca="1" si="54"/>
        <v>11.306800000000001</v>
      </c>
      <c r="S302" s="620">
        <f t="shared" ca="1" si="45"/>
        <v>0</v>
      </c>
    </row>
    <row r="303" spans="1:19">
      <c r="A303" s="628" t="str">
        <f>可抵押车位明细清单!D282</f>
        <v>2#地库252</v>
      </c>
      <c r="B303" s="629">
        <f>可抵押车位明细清单!H282</f>
        <v>29.26</v>
      </c>
      <c r="C303" s="621">
        <f t="shared" si="46"/>
        <v>1</v>
      </c>
      <c r="D303" s="630"/>
      <c r="E303" s="621">
        <f t="shared" si="47"/>
        <v>1</v>
      </c>
      <c r="F303" s="630"/>
      <c r="G303" s="621">
        <f t="shared" si="48"/>
        <v>1</v>
      </c>
      <c r="H303" s="630"/>
      <c r="I303" s="621">
        <f t="shared" si="49"/>
        <v>1</v>
      </c>
      <c r="J303" s="630"/>
      <c r="K303" s="621">
        <f t="shared" si="50"/>
        <v>1</v>
      </c>
      <c r="L303" s="630" t="str">
        <f>可抵押车位明细清单!K282</f>
        <v>标准车位</v>
      </c>
      <c r="M303" s="621">
        <f t="shared" si="51"/>
        <v>1</v>
      </c>
      <c r="N303" s="630"/>
      <c r="O303" s="621">
        <f t="shared" si="52"/>
        <v>1</v>
      </c>
      <c r="P303" s="3490" t="str">
        <f>可抵押车位明细清单!L282</f>
        <v>-2层</v>
      </c>
      <c r="Q303" s="621">
        <f t="shared" si="53"/>
        <v>0.95</v>
      </c>
      <c r="R303" s="681">
        <f t="shared" ca="1" si="54"/>
        <v>11.306800000000001</v>
      </c>
      <c r="S303" s="620">
        <f t="shared" ca="1" si="45"/>
        <v>0</v>
      </c>
    </row>
    <row r="304" spans="1:19">
      <c r="A304" s="628" t="str">
        <f>可抵押车位明细清单!D283</f>
        <v>2#地库253</v>
      </c>
      <c r="B304" s="629">
        <f>可抵押车位明细清单!H283</f>
        <v>28.31</v>
      </c>
      <c r="C304" s="621">
        <f t="shared" si="46"/>
        <v>1</v>
      </c>
      <c r="D304" s="630"/>
      <c r="E304" s="621">
        <f t="shared" si="47"/>
        <v>1</v>
      </c>
      <c r="F304" s="630"/>
      <c r="G304" s="621">
        <f t="shared" si="48"/>
        <v>1</v>
      </c>
      <c r="H304" s="630"/>
      <c r="I304" s="621">
        <f t="shared" si="49"/>
        <v>1</v>
      </c>
      <c r="J304" s="630"/>
      <c r="K304" s="621">
        <f t="shared" si="50"/>
        <v>1</v>
      </c>
      <c r="L304" s="630" t="str">
        <f>可抵押车位明细清单!K283</f>
        <v>标准车位</v>
      </c>
      <c r="M304" s="621">
        <f t="shared" si="51"/>
        <v>1</v>
      </c>
      <c r="N304" s="630"/>
      <c r="O304" s="621">
        <f t="shared" si="52"/>
        <v>1</v>
      </c>
      <c r="P304" s="3490" t="str">
        <f>可抵押车位明细清单!L283</f>
        <v>-2层</v>
      </c>
      <c r="Q304" s="621">
        <f t="shared" si="53"/>
        <v>0.95</v>
      </c>
      <c r="R304" s="681">
        <f t="shared" ca="1" si="54"/>
        <v>11.306800000000001</v>
      </c>
      <c r="S304" s="620">
        <f t="shared" ca="1" si="45"/>
        <v>0</v>
      </c>
    </row>
    <row r="305" spans="1:19">
      <c r="A305" s="628" t="str">
        <f>可抵押车位明细清单!D284</f>
        <v>2#地库254</v>
      </c>
      <c r="B305" s="629">
        <f>可抵押车位明细清单!H284</f>
        <v>29.26</v>
      </c>
      <c r="C305" s="621">
        <f t="shared" si="46"/>
        <v>1</v>
      </c>
      <c r="D305" s="630"/>
      <c r="E305" s="621">
        <f t="shared" si="47"/>
        <v>1</v>
      </c>
      <c r="F305" s="630"/>
      <c r="G305" s="621">
        <f t="shared" si="48"/>
        <v>1</v>
      </c>
      <c r="H305" s="630"/>
      <c r="I305" s="621">
        <f t="shared" si="49"/>
        <v>1</v>
      </c>
      <c r="J305" s="630"/>
      <c r="K305" s="621">
        <f t="shared" si="50"/>
        <v>1</v>
      </c>
      <c r="L305" s="630" t="str">
        <f>可抵押车位明细清单!K284</f>
        <v>标准车位</v>
      </c>
      <c r="M305" s="621">
        <f t="shared" si="51"/>
        <v>1</v>
      </c>
      <c r="N305" s="630"/>
      <c r="O305" s="621">
        <f t="shared" si="52"/>
        <v>1</v>
      </c>
      <c r="P305" s="3490" t="str">
        <f>可抵押车位明细清单!L284</f>
        <v>-2层</v>
      </c>
      <c r="Q305" s="621">
        <f t="shared" si="53"/>
        <v>0.95</v>
      </c>
      <c r="R305" s="681">
        <f t="shared" ca="1" si="54"/>
        <v>11.306800000000001</v>
      </c>
      <c r="S305" s="620">
        <f t="shared" ca="1" si="45"/>
        <v>0</v>
      </c>
    </row>
    <row r="306" spans="1:19">
      <c r="A306" s="628" t="str">
        <f>可抵押车位明细清单!D285</f>
        <v>2#地库255</v>
      </c>
      <c r="B306" s="629">
        <f>可抵押车位明细清单!H285</f>
        <v>29.26</v>
      </c>
      <c r="C306" s="621">
        <f t="shared" si="46"/>
        <v>1</v>
      </c>
      <c r="D306" s="630"/>
      <c r="E306" s="621">
        <f t="shared" si="47"/>
        <v>1</v>
      </c>
      <c r="F306" s="630"/>
      <c r="G306" s="621">
        <f t="shared" si="48"/>
        <v>1</v>
      </c>
      <c r="H306" s="630"/>
      <c r="I306" s="621">
        <f t="shared" si="49"/>
        <v>1</v>
      </c>
      <c r="J306" s="630"/>
      <c r="K306" s="621">
        <f t="shared" si="50"/>
        <v>1</v>
      </c>
      <c r="L306" s="630" t="str">
        <f>可抵押车位明细清单!K285</f>
        <v>标准车位</v>
      </c>
      <c r="M306" s="621">
        <f t="shared" si="51"/>
        <v>1</v>
      </c>
      <c r="N306" s="630"/>
      <c r="O306" s="621">
        <f t="shared" si="52"/>
        <v>1</v>
      </c>
      <c r="P306" s="3490" t="str">
        <f>可抵押车位明细清单!L285</f>
        <v>-2层</v>
      </c>
      <c r="Q306" s="621">
        <f t="shared" si="53"/>
        <v>0.95</v>
      </c>
      <c r="R306" s="681">
        <f t="shared" ca="1" si="54"/>
        <v>11.306800000000001</v>
      </c>
      <c r="S306" s="620">
        <f t="shared" ca="1" si="45"/>
        <v>0</v>
      </c>
    </row>
    <row r="307" spans="1:19">
      <c r="A307" s="628" t="str">
        <f>可抵押车位明细清单!D286</f>
        <v>2#地库256</v>
      </c>
      <c r="B307" s="629">
        <f>可抵押车位明细清单!H286</f>
        <v>28.31</v>
      </c>
      <c r="C307" s="621">
        <f t="shared" si="46"/>
        <v>1</v>
      </c>
      <c r="D307" s="630"/>
      <c r="E307" s="621">
        <f t="shared" si="47"/>
        <v>1</v>
      </c>
      <c r="F307" s="630"/>
      <c r="G307" s="621">
        <f t="shared" si="48"/>
        <v>1</v>
      </c>
      <c r="H307" s="630"/>
      <c r="I307" s="621">
        <f t="shared" si="49"/>
        <v>1</v>
      </c>
      <c r="J307" s="630"/>
      <c r="K307" s="621">
        <f t="shared" si="50"/>
        <v>1</v>
      </c>
      <c r="L307" s="630" t="str">
        <f>可抵押车位明细清单!K286</f>
        <v>标准车位</v>
      </c>
      <c r="M307" s="621">
        <f t="shared" si="51"/>
        <v>1</v>
      </c>
      <c r="N307" s="630"/>
      <c r="O307" s="621">
        <f t="shared" si="52"/>
        <v>1</v>
      </c>
      <c r="P307" s="3490" t="str">
        <f>可抵押车位明细清单!L286</f>
        <v>-2层</v>
      </c>
      <c r="Q307" s="621">
        <f t="shared" si="53"/>
        <v>0.95</v>
      </c>
      <c r="R307" s="681">
        <f t="shared" ca="1" si="54"/>
        <v>11.306800000000001</v>
      </c>
      <c r="S307" s="620">
        <f t="shared" ca="1" si="45"/>
        <v>0</v>
      </c>
    </row>
    <row r="308" spans="1:19">
      <c r="A308" s="628" t="str">
        <f>可抵押车位明细清单!D287</f>
        <v>2#地库257</v>
      </c>
      <c r="B308" s="629">
        <f>可抵押车位明细清单!H287</f>
        <v>29.26</v>
      </c>
      <c r="C308" s="621">
        <f t="shared" si="46"/>
        <v>1</v>
      </c>
      <c r="D308" s="630"/>
      <c r="E308" s="621">
        <f t="shared" si="47"/>
        <v>1</v>
      </c>
      <c r="F308" s="630"/>
      <c r="G308" s="621">
        <f t="shared" si="48"/>
        <v>1</v>
      </c>
      <c r="H308" s="630"/>
      <c r="I308" s="621">
        <f t="shared" si="49"/>
        <v>1</v>
      </c>
      <c r="J308" s="630"/>
      <c r="K308" s="621">
        <f t="shared" si="50"/>
        <v>1</v>
      </c>
      <c r="L308" s="630" t="str">
        <f>可抵押车位明细清单!K287</f>
        <v>标准车位</v>
      </c>
      <c r="M308" s="621">
        <f t="shared" si="51"/>
        <v>1</v>
      </c>
      <c r="N308" s="630"/>
      <c r="O308" s="621">
        <f t="shared" si="52"/>
        <v>1</v>
      </c>
      <c r="P308" s="3490" t="str">
        <f>可抵押车位明细清单!L287</f>
        <v>-2层</v>
      </c>
      <c r="Q308" s="621">
        <f t="shared" si="53"/>
        <v>0.95</v>
      </c>
      <c r="R308" s="681">
        <f t="shared" ca="1" si="54"/>
        <v>11.306800000000001</v>
      </c>
      <c r="S308" s="620">
        <f t="shared" ca="1" si="45"/>
        <v>0</v>
      </c>
    </row>
    <row r="309" spans="1:19">
      <c r="A309" s="628" t="str">
        <f>可抵押车位明细清单!D288</f>
        <v>2#地库258</v>
      </c>
      <c r="B309" s="629">
        <f>可抵押车位明细清单!H288</f>
        <v>29.26</v>
      </c>
      <c r="C309" s="621">
        <f t="shared" si="46"/>
        <v>1</v>
      </c>
      <c r="D309" s="630"/>
      <c r="E309" s="621">
        <f t="shared" si="47"/>
        <v>1</v>
      </c>
      <c r="F309" s="630"/>
      <c r="G309" s="621">
        <f t="shared" si="48"/>
        <v>1</v>
      </c>
      <c r="H309" s="630"/>
      <c r="I309" s="621">
        <f t="shared" si="49"/>
        <v>1</v>
      </c>
      <c r="J309" s="630"/>
      <c r="K309" s="621">
        <f t="shared" si="50"/>
        <v>1</v>
      </c>
      <c r="L309" s="630" t="str">
        <f>可抵押车位明细清单!K288</f>
        <v>标准车位</v>
      </c>
      <c r="M309" s="621">
        <f t="shared" si="51"/>
        <v>1</v>
      </c>
      <c r="N309" s="630"/>
      <c r="O309" s="621">
        <f t="shared" si="52"/>
        <v>1</v>
      </c>
      <c r="P309" s="3490" t="str">
        <f>可抵押车位明细清单!L288</f>
        <v>-2层</v>
      </c>
      <c r="Q309" s="621">
        <f t="shared" si="53"/>
        <v>0.95</v>
      </c>
      <c r="R309" s="681">
        <f t="shared" ca="1" si="54"/>
        <v>11.306800000000001</v>
      </c>
      <c r="S309" s="620">
        <f t="shared" ca="1" si="45"/>
        <v>0</v>
      </c>
    </row>
    <row r="310" spans="1:19">
      <c r="A310" s="628" t="str">
        <f>可抵押车位明细清单!D289</f>
        <v>2#地库259</v>
      </c>
      <c r="B310" s="629">
        <f>可抵押车位明细清单!H289</f>
        <v>28.31</v>
      </c>
      <c r="C310" s="621">
        <f t="shared" si="46"/>
        <v>1</v>
      </c>
      <c r="D310" s="630"/>
      <c r="E310" s="621">
        <f t="shared" si="47"/>
        <v>1</v>
      </c>
      <c r="F310" s="630"/>
      <c r="G310" s="621">
        <f t="shared" si="48"/>
        <v>1</v>
      </c>
      <c r="H310" s="630"/>
      <c r="I310" s="621">
        <f t="shared" si="49"/>
        <v>1</v>
      </c>
      <c r="J310" s="630"/>
      <c r="K310" s="621">
        <f t="shared" si="50"/>
        <v>1</v>
      </c>
      <c r="L310" s="630" t="str">
        <f>可抵押车位明细清单!K289</f>
        <v>标准车位</v>
      </c>
      <c r="M310" s="621">
        <f t="shared" si="51"/>
        <v>1</v>
      </c>
      <c r="N310" s="630"/>
      <c r="O310" s="621">
        <f t="shared" si="52"/>
        <v>1</v>
      </c>
      <c r="P310" s="3490" t="str">
        <f>可抵押车位明细清单!L289</f>
        <v>-2层</v>
      </c>
      <c r="Q310" s="621">
        <f t="shared" si="53"/>
        <v>0.95</v>
      </c>
      <c r="R310" s="681">
        <f t="shared" ca="1" si="54"/>
        <v>11.306800000000001</v>
      </c>
      <c r="S310" s="620">
        <f t="shared" ca="1" si="45"/>
        <v>0</v>
      </c>
    </row>
    <row r="311" spans="1:19">
      <c r="A311" s="628" t="str">
        <f>可抵押车位明细清单!D290</f>
        <v>2#地库260</v>
      </c>
      <c r="B311" s="629">
        <f>可抵押车位明细清单!H290</f>
        <v>29.26</v>
      </c>
      <c r="C311" s="621">
        <f t="shared" si="46"/>
        <v>1</v>
      </c>
      <c r="D311" s="630"/>
      <c r="E311" s="621">
        <f t="shared" si="47"/>
        <v>1</v>
      </c>
      <c r="F311" s="630"/>
      <c r="G311" s="621">
        <f t="shared" si="48"/>
        <v>1</v>
      </c>
      <c r="H311" s="630"/>
      <c r="I311" s="621">
        <f t="shared" si="49"/>
        <v>1</v>
      </c>
      <c r="J311" s="630"/>
      <c r="K311" s="621">
        <f t="shared" si="50"/>
        <v>1</v>
      </c>
      <c r="L311" s="630" t="str">
        <f>可抵押车位明细清单!K290</f>
        <v>标准车位</v>
      </c>
      <c r="M311" s="621">
        <f t="shared" si="51"/>
        <v>1</v>
      </c>
      <c r="N311" s="630"/>
      <c r="O311" s="621">
        <f t="shared" si="52"/>
        <v>1</v>
      </c>
      <c r="P311" s="3490" t="str">
        <f>可抵押车位明细清单!L290</f>
        <v>-2层</v>
      </c>
      <c r="Q311" s="621">
        <f t="shared" si="53"/>
        <v>0.95</v>
      </c>
      <c r="R311" s="681">
        <f t="shared" ca="1" si="54"/>
        <v>11.306800000000001</v>
      </c>
      <c r="S311" s="620">
        <f t="shared" ca="1" si="45"/>
        <v>0</v>
      </c>
    </row>
    <row r="312" spans="1:19">
      <c r="A312" s="628" t="str">
        <f>可抵押车位明细清单!D291</f>
        <v>2#地库261</v>
      </c>
      <c r="B312" s="629">
        <f>可抵押车位明细清单!H291</f>
        <v>29.26</v>
      </c>
      <c r="C312" s="621">
        <f t="shared" si="46"/>
        <v>1</v>
      </c>
      <c r="D312" s="630"/>
      <c r="E312" s="621">
        <f t="shared" si="47"/>
        <v>1</v>
      </c>
      <c r="F312" s="630"/>
      <c r="G312" s="621">
        <f t="shared" si="48"/>
        <v>1</v>
      </c>
      <c r="H312" s="630"/>
      <c r="I312" s="621">
        <f t="shared" si="49"/>
        <v>1</v>
      </c>
      <c r="J312" s="630"/>
      <c r="K312" s="621">
        <f t="shared" si="50"/>
        <v>1</v>
      </c>
      <c r="L312" s="630" t="str">
        <f>可抵押车位明细清单!K291</f>
        <v>标准车位</v>
      </c>
      <c r="M312" s="621">
        <f t="shared" si="51"/>
        <v>1</v>
      </c>
      <c r="N312" s="630"/>
      <c r="O312" s="621">
        <f t="shared" si="52"/>
        <v>1</v>
      </c>
      <c r="P312" s="3490" t="str">
        <f>可抵押车位明细清单!L291</f>
        <v>-2层</v>
      </c>
      <c r="Q312" s="621">
        <f t="shared" si="53"/>
        <v>0.95</v>
      </c>
      <c r="R312" s="681">
        <f t="shared" ca="1" si="54"/>
        <v>11.306800000000001</v>
      </c>
      <c r="S312" s="620">
        <f t="shared" ca="1" si="45"/>
        <v>0</v>
      </c>
    </row>
    <row r="313" spans="1:19">
      <c r="A313" s="628" t="str">
        <f>可抵押车位明细清单!D292</f>
        <v>2#地库262</v>
      </c>
      <c r="B313" s="629">
        <f>可抵押车位明细清单!H292</f>
        <v>28.31</v>
      </c>
      <c r="C313" s="621">
        <f t="shared" si="46"/>
        <v>1</v>
      </c>
      <c r="D313" s="630"/>
      <c r="E313" s="621">
        <f t="shared" si="47"/>
        <v>1</v>
      </c>
      <c r="F313" s="630"/>
      <c r="G313" s="621">
        <f t="shared" si="48"/>
        <v>1</v>
      </c>
      <c r="H313" s="630"/>
      <c r="I313" s="621">
        <f t="shared" si="49"/>
        <v>1</v>
      </c>
      <c r="J313" s="630"/>
      <c r="K313" s="621">
        <f t="shared" si="50"/>
        <v>1</v>
      </c>
      <c r="L313" s="630" t="str">
        <f>可抵押车位明细清单!K292</f>
        <v>标准车位</v>
      </c>
      <c r="M313" s="621">
        <f t="shared" si="51"/>
        <v>1</v>
      </c>
      <c r="N313" s="630"/>
      <c r="O313" s="621">
        <f t="shared" si="52"/>
        <v>1</v>
      </c>
      <c r="P313" s="3490" t="str">
        <f>可抵押车位明细清单!L292</f>
        <v>-2层</v>
      </c>
      <c r="Q313" s="621">
        <f t="shared" si="53"/>
        <v>0.95</v>
      </c>
      <c r="R313" s="681">
        <f t="shared" ca="1" si="54"/>
        <v>11.306800000000001</v>
      </c>
      <c r="S313" s="620">
        <f t="shared" ca="1" si="45"/>
        <v>0</v>
      </c>
    </row>
    <row r="314" spans="1:19">
      <c r="A314" s="628" t="str">
        <f>可抵押车位明细清单!D293</f>
        <v>2#地库263</v>
      </c>
      <c r="B314" s="629">
        <f>可抵押车位明细清单!H293</f>
        <v>29.26</v>
      </c>
      <c r="C314" s="621">
        <f t="shared" si="46"/>
        <v>1</v>
      </c>
      <c r="D314" s="630"/>
      <c r="E314" s="621">
        <f t="shared" si="47"/>
        <v>1</v>
      </c>
      <c r="F314" s="630"/>
      <c r="G314" s="621">
        <f t="shared" si="48"/>
        <v>1</v>
      </c>
      <c r="H314" s="630"/>
      <c r="I314" s="621">
        <f t="shared" si="49"/>
        <v>1</v>
      </c>
      <c r="J314" s="630"/>
      <c r="K314" s="621">
        <f t="shared" si="50"/>
        <v>1</v>
      </c>
      <c r="L314" s="630" t="str">
        <f>可抵押车位明细清单!K293</f>
        <v>标准车位</v>
      </c>
      <c r="M314" s="621">
        <f t="shared" si="51"/>
        <v>1</v>
      </c>
      <c r="N314" s="630"/>
      <c r="O314" s="621">
        <f t="shared" si="52"/>
        <v>1</v>
      </c>
      <c r="P314" s="3490" t="str">
        <f>可抵押车位明细清单!L293</f>
        <v>-2层</v>
      </c>
      <c r="Q314" s="621">
        <f t="shared" si="53"/>
        <v>0.95</v>
      </c>
      <c r="R314" s="681">
        <f t="shared" ca="1" si="54"/>
        <v>11.306800000000001</v>
      </c>
      <c r="S314" s="620">
        <f t="shared" ca="1" si="45"/>
        <v>0</v>
      </c>
    </row>
    <row r="315" spans="1:19">
      <c r="A315" s="628" t="str">
        <f>可抵押车位明细清单!D294</f>
        <v>2#地库264</v>
      </c>
      <c r="B315" s="629">
        <f>可抵押车位明细清单!H294</f>
        <v>29.26</v>
      </c>
      <c r="C315" s="621">
        <f t="shared" si="46"/>
        <v>1</v>
      </c>
      <c r="D315" s="630"/>
      <c r="E315" s="621">
        <f t="shared" si="47"/>
        <v>1</v>
      </c>
      <c r="F315" s="630"/>
      <c r="G315" s="621">
        <f t="shared" si="48"/>
        <v>1</v>
      </c>
      <c r="H315" s="630"/>
      <c r="I315" s="621">
        <f t="shared" si="49"/>
        <v>1</v>
      </c>
      <c r="J315" s="630"/>
      <c r="K315" s="621">
        <f t="shared" si="50"/>
        <v>1</v>
      </c>
      <c r="L315" s="630" t="str">
        <f>可抵押车位明细清单!K294</f>
        <v>标准车位</v>
      </c>
      <c r="M315" s="621">
        <f t="shared" si="51"/>
        <v>1</v>
      </c>
      <c r="N315" s="630"/>
      <c r="O315" s="621">
        <f t="shared" si="52"/>
        <v>1</v>
      </c>
      <c r="P315" s="3490" t="str">
        <f>可抵押车位明细清单!L294</f>
        <v>-2层</v>
      </c>
      <c r="Q315" s="621">
        <f t="shared" si="53"/>
        <v>0.95</v>
      </c>
      <c r="R315" s="681">
        <f t="shared" ca="1" si="54"/>
        <v>11.306800000000001</v>
      </c>
      <c r="S315" s="620">
        <f t="shared" ca="1" si="45"/>
        <v>0</v>
      </c>
    </row>
    <row r="316" spans="1:19">
      <c r="A316" s="628" t="str">
        <f>可抵押车位明细清单!D295</f>
        <v>2#地库265</v>
      </c>
      <c r="B316" s="629">
        <f>可抵押车位明细清单!H295</f>
        <v>28.31</v>
      </c>
      <c r="C316" s="621">
        <f t="shared" si="46"/>
        <v>1</v>
      </c>
      <c r="D316" s="630"/>
      <c r="E316" s="621">
        <f t="shared" si="47"/>
        <v>1</v>
      </c>
      <c r="F316" s="630"/>
      <c r="G316" s="621">
        <f t="shared" si="48"/>
        <v>1</v>
      </c>
      <c r="H316" s="630"/>
      <c r="I316" s="621">
        <f t="shared" si="49"/>
        <v>1</v>
      </c>
      <c r="J316" s="630"/>
      <c r="K316" s="621">
        <f t="shared" si="50"/>
        <v>1</v>
      </c>
      <c r="L316" s="630" t="str">
        <f>可抵押车位明细清单!K295</f>
        <v>标准车位</v>
      </c>
      <c r="M316" s="621">
        <f t="shared" si="51"/>
        <v>1</v>
      </c>
      <c r="N316" s="630"/>
      <c r="O316" s="621">
        <f t="shared" si="52"/>
        <v>1</v>
      </c>
      <c r="P316" s="3490" t="str">
        <f>可抵押车位明细清单!L295</f>
        <v>-2层</v>
      </c>
      <c r="Q316" s="621">
        <f t="shared" si="53"/>
        <v>0.95</v>
      </c>
      <c r="R316" s="681">
        <f t="shared" ca="1" si="54"/>
        <v>11.306800000000001</v>
      </c>
      <c r="S316" s="620">
        <f t="shared" ca="1" si="45"/>
        <v>0</v>
      </c>
    </row>
    <row r="317" spans="1:19">
      <c r="A317" s="628" t="str">
        <f>可抵押车位明细清单!D296</f>
        <v>2#地库266</v>
      </c>
      <c r="B317" s="629">
        <f>可抵押车位明细清单!H296</f>
        <v>29.26</v>
      </c>
      <c r="C317" s="621">
        <f t="shared" si="46"/>
        <v>1</v>
      </c>
      <c r="D317" s="630"/>
      <c r="E317" s="621">
        <f t="shared" si="47"/>
        <v>1</v>
      </c>
      <c r="F317" s="630"/>
      <c r="G317" s="621">
        <f t="shared" si="48"/>
        <v>1</v>
      </c>
      <c r="H317" s="630"/>
      <c r="I317" s="621">
        <f t="shared" si="49"/>
        <v>1</v>
      </c>
      <c r="J317" s="630"/>
      <c r="K317" s="621">
        <f t="shared" si="50"/>
        <v>1</v>
      </c>
      <c r="L317" s="630" t="str">
        <f>可抵押车位明细清单!K296</f>
        <v>标准车位</v>
      </c>
      <c r="M317" s="621">
        <f t="shared" si="51"/>
        <v>1</v>
      </c>
      <c r="N317" s="630"/>
      <c r="O317" s="621">
        <f t="shared" si="52"/>
        <v>1</v>
      </c>
      <c r="P317" s="3490" t="str">
        <f>可抵押车位明细清单!L296</f>
        <v>-2层</v>
      </c>
      <c r="Q317" s="621">
        <f t="shared" si="53"/>
        <v>0.95</v>
      </c>
      <c r="R317" s="681">
        <f t="shared" ca="1" si="54"/>
        <v>11.306800000000001</v>
      </c>
      <c r="S317" s="620">
        <f t="shared" ca="1" si="45"/>
        <v>0</v>
      </c>
    </row>
    <row r="318" spans="1:19">
      <c r="A318" s="628" t="str">
        <f>可抵押车位明细清单!D297</f>
        <v>2#地库267</v>
      </c>
      <c r="B318" s="629">
        <f>可抵押车位明细清单!H297</f>
        <v>29.26</v>
      </c>
      <c r="C318" s="621">
        <f t="shared" si="46"/>
        <v>1</v>
      </c>
      <c r="D318" s="630"/>
      <c r="E318" s="621">
        <f t="shared" si="47"/>
        <v>1</v>
      </c>
      <c r="F318" s="630"/>
      <c r="G318" s="621">
        <f t="shared" si="48"/>
        <v>1</v>
      </c>
      <c r="H318" s="630"/>
      <c r="I318" s="621">
        <f t="shared" si="49"/>
        <v>1</v>
      </c>
      <c r="J318" s="630"/>
      <c r="K318" s="621">
        <f t="shared" si="50"/>
        <v>1</v>
      </c>
      <c r="L318" s="630" t="str">
        <f>可抵押车位明细清单!K297</f>
        <v>标准车位</v>
      </c>
      <c r="M318" s="621">
        <f t="shared" si="51"/>
        <v>1</v>
      </c>
      <c r="N318" s="630"/>
      <c r="O318" s="621">
        <f t="shared" si="52"/>
        <v>1</v>
      </c>
      <c r="P318" s="3490" t="str">
        <f>可抵押车位明细清单!L297</f>
        <v>-2层</v>
      </c>
      <c r="Q318" s="621">
        <f t="shared" si="53"/>
        <v>0.95</v>
      </c>
      <c r="R318" s="681">
        <f t="shared" ca="1" si="54"/>
        <v>11.306800000000001</v>
      </c>
      <c r="S318" s="620">
        <f t="shared" ca="1" si="45"/>
        <v>0</v>
      </c>
    </row>
    <row r="319" spans="1:19">
      <c r="A319" s="628" t="str">
        <f>可抵押车位明细清单!D298</f>
        <v>2#地库268</v>
      </c>
      <c r="B319" s="629">
        <f>可抵押车位明细清单!H298</f>
        <v>28.31</v>
      </c>
      <c r="C319" s="621">
        <f t="shared" si="46"/>
        <v>1</v>
      </c>
      <c r="D319" s="630"/>
      <c r="E319" s="621">
        <f t="shared" si="47"/>
        <v>1</v>
      </c>
      <c r="F319" s="630"/>
      <c r="G319" s="621">
        <f t="shared" si="48"/>
        <v>1</v>
      </c>
      <c r="H319" s="630"/>
      <c r="I319" s="621">
        <f t="shared" si="49"/>
        <v>1</v>
      </c>
      <c r="J319" s="630"/>
      <c r="K319" s="621">
        <f t="shared" si="50"/>
        <v>1</v>
      </c>
      <c r="L319" s="630" t="str">
        <f>可抵押车位明细清单!K298</f>
        <v>标准车位</v>
      </c>
      <c r="M319" s="621">
        <f t="shared" si="51"/>
        <v>1</v>
      </c>
      <c r="N319" s="630"/>
      <c r="O319" s="621">
        <f t="shared" si="52"/>
        <v>1</v>
      </c>
      <c r="P319" s="3490" t="str">
        <f>可抵押车位明细清单!L298</f>
        <v>-2层</v>
      </c>
      <c r="Q319" s="621">
        <f t="shared" si="53"/>
        <v>0.95</v>
      </c>
      <c r="R319" s="681">
        <f t="shared" ca="1" si="54"/>
        <v>11.306800000000001</v>
      </c>
      <c r="S319" s="620">
        <f t="shared" ca="1" si="45"/>
        <v>0</v>
      </c>
    </row>
    <row r="320" spans="1:19">
      <c r="A320" s="628" t="str">
        <f>可抵押车位明细清单!D299</f>
        <v>2#地库269</v>
      </c>
      <c r="B320" s="629">
        <f>可抵押车位明细清单!H299</f>
        <v>29.26</v>
      </c>
      <c r="C320" s="621">
        <f t="shared" si="46"/>
        <v>1</v>
      </c>
      <c r="D320" s="630"/>
      <c r="E320" s="621">
        <f t="shared" si="47"/>
        <v>1</v>
      </c>
      <c r="F320" s="630"/>
      <c r="G320" s="621">
        <f t="shared" si="48"/>
        <v>1</v>
      </c>
      <c r="H320" s="630"/>
      <c r="I320" s="621">
        <f t="shared" si="49"/>
        <v>1</v>
      </c>
      <c r="J320" s="630"/>
      <c r="K320" s="621">
        <f t="shared" si="50"/>
        <v>1</v>
      </c>
      <c r="L320" s="630" t="str">
        <f>可抵押车位明细清单!K299</f>
        <v>标准车位</v>
      </c>
      <c r="M320" s="621">
        <f t="shared" si="51"/>
        <v>1</v>
      </c>
      <c r="N320" s="630"/>
      <c r="O320" s="621">
        <f t="shared" si="52"/>
        <v>1</v>
      </c>
      <c r="P320" s="3490" t="str">
        <f>可抵押车位明细清单!L299</f>
        <v>-2层</v>
      </c>
      <c r="Q320" s="621">
        <f t="shared" si="53"/>
        <v>0.95</v>
      </c>
      <c r="R320" s="681">
        <f t="shared" ca="1" si="54"/>
        <v>11.306800000000001</v>
      </c>
      <c r="S320" s="620">
        <f t="shared" ca="1" si="45"/>
        <v>0</v>
      </c>
    </row>
    <row r="321" spans="1:19">
      <c r="A321" s="628" t="str">
        <f>可抵押车位明细清单!D300</f>
        <v>2#地库270</v>
      </c>
      <c r="B321" s="629">
        <f>可抵押车位明细清单!H300</f>
        <v>29.26</v>
      </c>
      <c r="C321" s="621">
        <f t="shared" si="46"/>
        <v>1</v>
      </c>
      <c r="D321" s="630"/>
      <c r="E321" s="621">
        <f t="shared" si="47"/>
        <v>1</v>
      </c>
      <c r="F321" s="630"/>
      <c r="G321" s="621">
        <f t="shared" si="48"/>
        <v>1</v>
      </c>
      <c r="H321" s="630"/>
      <c r="I321" s="621">
        <f t="shared" si="49"/>
        <v>1</v>
      </c>
      <c r="J321" s="630"/>
      <c r="K321" s="621">
        <f t="shared" si="50"/>
        <v>1</v>
      </c>
      <c r="L321" s="630" t="str">
        <f>可抵押车位明细清单!K300</f>
        <v>标准车位</v>
      </c>
      <c r="M321" s="621">
        <f t="shared" si="51"/>
        <v>1</v>
      </c>
      <c r="N321" s="630"/>
      <c r="O321" s="621">
        <f t="shared" si="52"/>
        <v>1</v>
      </c>
      <c r="P321" s="3490" t="str">
        <f>可抵押车位明细清单!L300</f>
        <v>-2层</v>
      </c>
      <c r="Q321" s="621">
        <f t="shared" si="53"/>
        <v>0.95</v>
      </c>
      <c r="R321" s="681">
        <f t="shared" ca="1" si="54"/>
        <v>11.306800000000001</v>
      </c>
      <c r="S321" s="620">
        <f t="shared" ca="1" si="45"/>
        <v>0</v>
      </c>
    </row>
    <row r="322" spans="1:19">
      <c r="A322" s="628" t="str">
        <f>可抵押车位明细清单!D301</f>
        <v>2#地库271</v>
      </c>
      <c r="B322" s="629">
        <f>可抵押车位明细清单!H301</f>
        <v>28.31</v>
      </c>
      <c r="C322" s="621">
        <f t="shared" si="46"/>
        <v>1</v>
      </c>
      <c r="D322" s="630"/>
      <c r="E322" s="621">
        <f t="shared" si="47"/>
        <v>1</v>
      </c>
      <c r="F322" s="630"/>
      <c r="G322" s="621">
        <f t="shared" si="48"/>
        <v>1</v>
      </c>
      <c r="H322" s="630"/>
      <c r="I322" s="621">
        <f t="shared" si="49"/>
        <v>1</v>
      </c>
      <c r="J322" s="630"/>
      <c r="K322" s="621">
        <f t="shared" si="50"/>
        <v>1</v>
      </c>
      <c r="L322" s="630" t="str">
        <f>可抵押车位明细清单!K301</f>
        <v>标准车位</v>
      </c>
      <c r="M322" s="621">
        <f t="shared" si="51"/>
        <v>1</v>
      </c>
      <c r="N322" s="630"/>
      <c r="O322" s="621">
        <f t="shared" si="52"/>
        <v>1</v>
      </c>
      <c r="P322" s="3490" t="str">
        <f>可抵押车位明细清单!L301</f>
        <v>-2层</v>
      </c>
      <c r="Q322" s="621">
        <f t="shared" si="53"/>
        <v>0.95</v>
      </c>
      <c r="R322" s="681">
        <f t="shared" ca="1" si="54"/>
        <v>11.306800000000001</v>
      </c>
      <c r="S322" s="620">
        <f t="shared" ca="1" si="45"/>
        <v>0</v>
      </c>
    </row>
    <row r="323" spans="1:19">
      <c r="A323" s="628" t="str">
        <f>可抵押车位明细清单!D302</f>
        <v>2#地库272</v>
      </c>
      <c r="B323" s="629">
        <f>可抵押车位明细清单!H302</f>
        <v>29.26</v>
      </c>
      <c r="C323" s="621">
        <f t="shared" si="46"/>
        <v>1</v>
      </c>
      <c r="D323" s="630"/>
      <c r="E323" s="621">
        <f t="shared" si="47"/>
        <v>1</v>
      </c>
      <c r="F323" s="630"/>
      <c r="G323" s="621">
        <f t="shared" si="48"/>
        <v>1</v>
      </c>
      <c r="H323" s="630"/>
      <c r="I323" s="621">
        <f t="shared" si="49"/>
        <v>1</v>
      </c>
      <c r="J323" s="630"/>
      <c r="K323" s="621">
        <f t="shared" si="50"/>
        <v>1</v>
      </c>
      <c r="L323" s="630" t="str">
        <f>可抵押车位明细清单!K302</f>
        <v>标准车位</v>
      </c>
      <c r="M323" s="621">
        <f t="shared" si="51"/>
        <v>1</v>
      </c>
      <c r="N323" s="630"/>
      <c r="O323" s="621">
        <f t="shared" si="52"/>
        <v>1</v>
      </c>
      <c r="P323" s="3490" t="str">
        <f>可抵押车位明细清单!L302</f>
        <v>-2层</v>
      </c>
      <c r="Q323" s="621">
        <f t="shared" si="53"/>
        <v>0.95</v>
      </c>
      <c r="R323" s="681">
        <f t="shared" ca="1" si="54"/>
        <v>11.306800000000001</v>
      </c>
      <c r="S323" s="620">
        <f t="shared" ca="1" si="45"/>
        <v>0</v>
      </c>
    </row>
    <row r="324" spans="1:19">
      <c r="A324" s="628" t="str">
        <f>可抵押车位明细清单!D303</f>
        <v>2#地库273</v>
      </c>
      <c r="B324" s="629">
        <f>可抵押车位明细清单!H303</f>
        <v>29.26</v>
      </c>
      <c r="C324" s="621">
        <f t="shared" si="46"/>
        <v>1</v>
      </c>
      <c r="D324" s="630"/>
      <c r="E324" s="621">
        <f t="shared" si="47"/>
        <v>1</v>
      </c>
      <c r="F324" s="630"/>
      <c r="G324" s="621">
        <f t="shared" si="48"/>
        <v>1</v>
      </c>
      <c r="H324" s="630"/>
      <c r="I324" s="621">
        <f t="shared" si="49"/>
        <v>1</v>
      </c>
      <c r="J324" s="630"/>
      <c r="K324" s="621">
        <f t="shared" si="50"/>
        <v>1</v>
      </c>
      <c r="L324" s="630" t="str">
        <f>可抵押车位明细清单!K303</f>
        <v>标准车位</v>
      </c>
      <c r="M324" s="621">
        <f t="shared" si="51"/>
        <v>1</v>
      </c>
      <c r="N324" s="630"/>
      <c r="O324" s="621">
        <f t="shared" si="52"/>
        <v>1</v>
      </c>
      <c r="P324" s="3490" t="str">
        <f>可抵押车位明细清单!L303</f>
        <v>-2层</v>
      </c>
      <c r="Q324" s="621">
        <f t="shared" si="53"/>
        <v>0.95</v>
      </c>
      <c r="R324" s="681">
        <f t="shared" ca="1" si="54"/>
        <v>11.306800000000001</v>
      </c>
      <c r="S324" s="620">
        <f t="shared" ca="1" si="45"/>
        <v>0</v>
      </c>
    </row>
    <row r="325" spans="1:19">
      <c r="A325" s="628" t="str">
        <f>可抵押车位明细清单!D304</f>
        <v>2#地库274</v>
      </c>
      <c r="B325" s="629">
        <f>可抵押车位明细清单!H304</f>
        <v>28.31</v>
      </c>
      <c r="C325" s="621">
        <f t="shared" si="46"/>
        <v>1</v>
      </c>
      <c r="D325" s="630"/>
      <c r="E325" s="621">
        <f t="shared" si="47"/>
        <v>1</v>
      </c>
      <c r="F325" s="630"/>
      <c r="G325" s="621">
        <f t="shared" si="48"/>
        <v>1</v>
      </c>
      <c r="H325" s="630"/>
      <c r="I325" s="621">
        <f t="shared" si="49"/>
        <v>1</v>
      </c>
      <c r="J325" s="630"/>
      <c r="K325" s="621">
        <f t="shared" si="50"/>
        <v>1</v>
      </c>
      <c r="L325" s="630" t="str">
        <f>可抵押车位明细清单!K304</f>
        <v>标准车位</v>
      </c>
      <c r="M325" s="621">
        <f t="shared" si="51"/>
        <v>1</v>
      </c>
      <c r="N325" s="630"/>
      <c r="O325" s="621">
        <f t="shared" si="52"/>
        <v>1</v>
      </c>
      <c r="P325" s="3490" t="str">
        <f>可抵押车位明细清单!L304</f>
        <v>-2层</v>
      </c>
      <c r="Q325" s="621">
        <f t="shared" si="53"/>
        <v>0.95</v>
      </c>
      <c r="R325" s="681">
        <f t="shared" ca="1" si="54"/>
        <v>11.306800000000001</v>
      </c>
      <c r="S325" s="620">
        <f t="shared" ca="1" si="45"/>
        <v>0</v>
      </c>
    </row>
    <row r="326" spans="1:19">
      <c r="A326" s="628" t="str">
        <f>可抵押车位明细清单!D305</f>
        <v>2#地库275</v>
      </c>
      <c r="B326" s="629">
        <f>可抵押车位明细清单!H305</f>
        <v>29.26</v>
      </c>
      <c r="C326" s="621">
        <f t="shared" si="46"/>
        <v>1</v>
      </c>
      <c r="D326" s="630"/>
      <c r="E326" s="621">
        <f t="shared" si="47"/>
        <v>1</v>
      </c>
      <c r="F326" s="630"/>
      <c r="G326" s="621">
        <f t="shared" si="48"/>
        <v>1</v>
      </c>
      <c r="H326" s="630"/>
      <c r="I326" s="621">
        <f t="shared" si="49"/>
        <v>1</v>
      </c>
      <c r="J326" s="630"/>
      <c r="K326" s="621">
        <f t="shared" si="50"/>
        <v>1</v>
      </c>
      <c r="L326" s="630" t="str">
        <f>可抵押车位明细清单!K305</f>
        <v>标准车位</v>
      </c>
      <c r="M326" s="621">
        <f t="shared" si="51"/>
        <v>1</v>
      </c>
      <c r="N326" s="630"/>
      <c r="O326" s="621">
        <f t="shared" si="52"/>
        <v>1</v>
      </c>
      <c r="P326" s="3490" t="str">
        <f>可抵押车位明细清单!L305</f>
        <v>-2层</v>
      </c>
      <c r="Q326" s="621">
        <f t="shared" si="53"/>
        <v>0.95</v>
      </c>
      <c r="R326" s="681">
        <f t="shared" ca="1" si="54"/>
        <v>11.306800000000001</v>
      </c>
      <c r="S326" s="620">
        <f t="shared" ca="1" si="45"/>
        <v>0</v>
      </c>
    </row>
    <row r="327" spans="1:19">
      <c r="A327" s="628" t="str">
        <f>可抵押车位明细清单!D306</f>
        <v>2#地库276</v>
      </c>
      <c r="B327" s="629">
        <f>可抵押车位明细清单!H306</f>
        <v>29.26</v>
      </c>
      <c r="C327" s="621">
        <f t="shared" si="46"/>
        <v>1</v>
      </c>
      <c r="D327" s="630"/>
      <c r="E327" s="621">
        <f t="shared" si="47"/>
        <v>1</v>
      </c>
      <c r="F327" s="630"/>
      <c r="G327" s="621">
        <f t="shared" si="48"/>
        <v>1</v>
      </c>
      <c r="H327" s="630"/>
      <c r="I327" s="621">
        <f t="shared" si="49"/>
        <v>1</v>
      </c>
      <c r="J327" s="630"/>
      <c r="K327" s="621">
        <f t="shared" si="50"/>
        <v>1</v>
      </c>
      <c r="L327" s="630" t="str">
        <f>可抵押车位明细清单!K306</f>
        <v>标准车位</v>
      </c>
      <c r="M327" s="621">
        <f t="shared" si="51"/>
        <v>1</v>
      </c>
      <c r="N327" s="630"/>
      <c r="O327" s="621">
        <f t="shared" si="52"/>
        <v>1</v>
      </c>
      <c r="P327" s="3490" t="str">
        <f>可抵押车位明细清单!L306</f>
        <v>-2层</v>
      </c>
      <c r="Q327" s="621">
        <f t="shared" si="53"/>
        <v>0.95</v>
      </c>
      <c r="R327" s="681">
        <f t="shared" ca="1" si="54"/>
        <v>11.306800000000001</v>
      </c>
      <c r="S327" s="620">
        <f t="shared" ca="1" si="45"/>
        <v>0</v>
      </c>
    </row>
    <row r="328" spans="1:19">
      <c r="A328" s="628" t="str">
        <f>可抵押车位明细清单!D307</f>
        <v>2#地库277</v>
      </c>
      <c r="B328" s="629">
        <f>可抵押车位明细清单!H307</f>
        <v>28.31</v>
      </c>
      <c r="C328" s="621">
        <f t="shared" si="46"/>
        <v>1</v>
      </c>
      <c r="D328" s="630"/>
      <c r="E328" s="621">
        <f t="shared" si="47"/>
        <v>1</v>
      </c>
      <c r="F328" s="630"/>
      <c r="G328" s="621">
        <f t="shared" si="48"/>
        <v>1</v>
      </c>
      <c r="H328" s="630"/>
      <c r="I328" s="621">
        <f t="shared" si="49"/>
        <v>1</v>
      </c>
      <c r="J328" s="630"/>
      <c r="K328" s="621">
        <f t="shared" si="50"/>
        <v>1</v>
      </c>
      <c r="L328" s="630" t="str">
        <f>可抵押车位明细清单!K307</f>
        <v>标准车位</v>
      </c>
      <c r="M328" s="621">
        <f t="shared" si="51"/>
        <v>1</v>
      </c>
      <c r="N328" s="630"/>
      <c r="O328" s="621">
        <f t="shared" si="52"/>
        <v>1</v>
      </c>
      <c r="P328" s="3490" t="str">
        <f>可抵押车位明细清单!L307</f>
        <v>-2层</v>
      </c>
      <c r="Q328" s="621">
        <f t="shared" si="53"/>
        <v>0.95</v>
      </c>
      <c r="R328" s="681">
        <f t="shared" ca="1" si="54"/>
        <v>11.306800000000001</v>
      </c>
      <c r="S328" s="620">
        <f t="shared" ca="1" si="45"/>
        <v>0</v>
      </c>
    </row>
    <row r="329" spans="1:19">
      <c r="A329" s="628" t="str">
        <f>可抵押车位明细清单!D308</f>
        <v>2#地库278</v>
      </c>
      <c r="B329" s="629">
        <f>可抵押车位明细清单!H308</f>
        <v>29.26</v>
      </c>
      <c r="C329" s="621">
        <f t="shared" si="46"/>
        <v>1</v>
      </c>
      <c r="D329" s="630"/>
      <c r="E329" s="621">
        <f t="shared" si="47"/>
        <v>1</v>
      </c>
      <c r="F329" s="630"/>
      <c r="G329" s="621">
        <f t="shared" si="48"/>
        <v>1</v>
      </c>
      <c r="H329" s="630"/>
      <c r="I329" s="621">
        <f t="shared" si="49"/>
        <v>1</v>
      </c>
      <c r="J329" s="630"/>
      <c r="K329" s="621">
        <f t="shared" si="50"/>
        <v>1</v>
      </c>
      <c r="L329" s="630" t="str">
        <f>可抵押车位明细清单!K308</f>
        <v>标准车位</v>
      </c>
      <c r="M329" s="621">
        <f t="shared" si="51"/>
        <v>1</v>
      </c>
      <c r="N329" s="630"/>
      <c r="O329" s="621">
        <f t="shared" si="52"/>
        <v>1</v>
      </c>
      <c r="P329" s="3490" t="str">
        <f>可抵押车位明细清单!L308</f>
        <v>-2层</v>
      </c>
      <c r="Q329" s="621">
        <f t="shared" si="53"/>
        <v>0.95</v>
      </c>
      <c r="R329" s="681">
        <f t="shared" ca="1" si="54"/>
        <v>11.306800000000001</v>
      </c>
      <c r="S329" s="620">
        <f t="shared" ca="1" si="45"/>
        <v>0</v>
      </c>
    </row>
    <row r="330" spans="1:19">
      <c r="A330" s="628" t="str">
        <f>可抵押车位明细清单!D309</f>
        <v>2#地库279</v>
      </c>
      <c r="B330" s="629">
        <f>可抵押车位明细清单!H309</f>
        <v>29.26</v>
      </c>
      <c r="C330" s="621">
        <f t="shared" si="46"/>
        <v>1</v>
      </c>
      <c r="D330" s="630"/>
      <c r="E330" s="621">
        <f t="shared" si="47"/>
        <v>1</v>
      </c>
      <c r="F330" s="630"/>
      <c r="G330" s="621">
        <f t="shared" si="48"/>
        <v>1</v>
      </c>
      <c r="H330" s="630"/>
      <c r="I330" s="621">
        <f t="shared" si="49"/>
        <v>1</v>
      </c>
      <c r="J330" s="630"/>
      <c r="K330" s="621">
        <f t="shared" si="50"/>
        <v>1</v>
      </c>
      <c r="L330" s="630" t="str">
        <f>可抵押车位明细清单!K309</f>
        <v>标准车位</v>
      </c>
      <c r="M330" s="621">
        <f t="shared" si="51"/>
        <v>1</v>
      </c>
      <c r="N330" s="630"/>
      <c r="O330" s="621">
        <f t="shared" si="52"/>
        <v>1</v>
      </c>
      <c r="P330" s="3490" t="str">
        <f>可抵押车位明细清单!L309</f>
        <v>-2层</v>
      </c>
      <c r="Q330" s="621">
        <f t="shared" si="53"/>
        <v>0.95</v>
      </c>
      <c r="R330" s="681">
        <f t="shared" ca="1" si="54"/>
        <v>11.306800000000001</v>
      </c>
      <c r="S330" s="620">
        <f t="shared" ca="1" si="45"/>
        <v>0</v>
      </c>
    </row>
    <row r="331" spans="1:19">
      <c r="A331" s="628" t="str">
        <f>可抵押车位明细清单!D310</f>
        <v>2#地库280</v>
      </c>
      <c r="B331" s="629">
        <f>可抵押车位明细清单!H310</f>
        <v>28.31</v>
      </c>
      <c r="C331" s="621">
        <f t="shared" si="46"/>
        <v>1</v>
      </c>
      <c r="D331" s="630"/>
      <c r="E331" s="621">
        <f t="shared" si="47"/>
        <v>1</v>
      </c>
      <c r="F331" s="630"/>
      <c r="G331" s="621">
        <f t="shared" si="48"/>
        <v>1</v>
      </c>
      <c r="H331" s="630"/>
      <c r="I331" s="621">
        <f t="shared" si="49"/>
        <v>1</v>
      </c>
      <c r="J331" s="630"/>
      <c r="K331" s="621">
        <f t="shared" si="50"/>
        <v>1</v>
      </c>
      <c r="L331" s="630" t="str">
        <f>可抵押车位明细清单!K310</f>
        <v>标准车位</v>
      </c>
      <c r="M331" s="621">
        <f t="shared" si="51"/>
        <v>1</v>
      </c>
      <c r="N331" s="630"/>
      <c r="O331" s="621">
        <f t="shared" si="52"/>
        <v>1</v>
      </c>
      <c r="P331" s="3490" t="str">
        <f>可抵押车位明细清单!L310</f>
        <v>-2层</v>
      </c>
      <c r="Q331" s="621">
        <f t="shared" si="53"/>
        <v>0.95</v>
      </c>
      <c r="R331" s="681">
        <f t="shared" ca="1" si="54"/>
        <v>11.306800000000001</v>
      </c>
      <c r="S331" s="620">
        <f t="shared" ca="1" si="45"/>
        <v>0</v>
      </c>
    </row>
    <row r="332" spans="1:19">
      <c r="A332" s="628" t="str">
        <f>可抵押车位明细清单!D311</f>
        <v>2#地库281</v>
      </c>
      <c r="B332" s="629">
        <f>可抵押车位明细清单!H311</f>
        <v>29.26</v>
      </c>
      <c r="C332" s="621">
        <f t="shared" si="46"/>
        <v>1</v>
      </c>
      <c r="D332" s="630"/>
      <c r="E332" s="621">
        <f t="shared" si="47"/>
        <v>1</v>
      </c>
      <c r="F332" s="630"/>
      <c r="G332" s="621">
        <f t="shared" si="48"/>
        <v>1</v>
      </c>
      <c r="H332" s="630"/>
      <c r="I332" s="621">
        <f t="shared" si="49"/>
        <v>1</v>
      </c>
      <c r="J332" s="630"/>
      <c r="K332" s="621">
        <f t="shared" si="50"/>
        <v>1</v>
      </c>
      <c r="L332" s="630" t="str">
        <f>可抵押车位明细清单!K311</f>
        <v>标准车位</v>
      </c>
      <c r="M332" s="621">
        <f t="shared" si="51"/>
        <v>1</v>
      </c>
      <c r="N332" s="630"/>
      <c r="O332" s="621">
        <f t="shared" si="52"/>
        <v>1</v>
      </c>
      <c r="P332" s="3490" t="str">
        <f>可抵押车位明细清单!L311</f>
        <v>-2层</v>
      </c>
      <c r="Q332" s="621">
        <f t="shared" si="53"/>
        <v>0.95</v>
      </c>
      <c r="R332" s="681">
        <f t="shared" ca="1" si="54"/>
        <v>11.306800000000001</v>
      </c>
      <c r="S332" s="620">
        <f t="shared" ca="1" si="45"/>
        <v>0</v>
      </c>
    </row>
    <row r="333" spans="1:19">
      <c r="A333" s="628" t="str">
        <f>可抵押车位明细清单!D312</f>
        <v>2#地库282</v>
      </c>
      <c r="B333" s="629">
        <f>可抵押车位明细清单!H312</f>
        <v>29.26</v>
      </c>
      <c r="C333" s="621">
        <f t="shared" si="46"/>
        <v>1</v>
      </c>
      <c r="D333" s="630"/>
      <c r="E333" s="621">
        <f t="shared" si="47"/>
        <v>1</v>
      </c>
      <c r="F333" s="630"/>
      <c r="G333" s="621">
        <f t="shared" si="48"/>
        <v>1</v>
      </c>
      <c r="H333" s="630"/>
      <c r="I333" s="621">
        <f t="shared" si="49"/>
        <v>1</v>
      </c>
      <c r="J333" s="630"/>
      <c r="K333" s="621">
        <f t="shared" si="50"/>
        <v>1</v>
      </c>
      <c r="L333" s="630" t="str">
        <f>可抵押车位明细清单!K312</f>
        <v>标准车位</v>
      </c>
      <c r="M333" s="621">
        <f t="shared" si="51"/>
        <v>1</v>
      </c>
      <c r="N333" s="630"/>
      <c r="O333" s="621">
        <f t="shared" si="52"/>
        <v>1</v>
      </c>
      <c r="P333" s="3490" t="str">
        <f>可抵押车位明细清单!L312</f>
        <v>-2层</v>
      </c>
      <c r="Q333" s="621">
        <f t="shared" si="53"/>
        <v>0.95</v>
      </c>
      <c r="R333" s="681">
        <f t="shared" ca="1" si="54"/>
        <v>11.306800000000001</v>
      </c>
      <c r="S333" s="620">
        <f t="shared" ca="1" si="45"/>
        <v>0</v>
      </c>
    </row>
    <row r="334" spans="1:19">
      <c r="A334" s="628" t="str">
        <f>可抵押车位明细清单!D313</f>
        <v>2#地库283</v>
      </c>
      <c r="B334" s="629">
        <f>可抵押车位明细清单!H313</f>
        <v>28.31</v>
      </c>
      <c r="C334" s="621">
        <f t="shared" si="46"/>
        <v>1</v>
      </c>
      <c r="D334" s="630"/>
      <c r="E334" s="621">
        <f t="shared" si="47"/>
        <v>1</v>
      </c>
      <c r="F334" s="630"/>
      <c r="G334" s="621">
        <f t="shared" si="48"/>
        <v>1</v>
      </c>
      <c r="H334" s="630"/>
      <c r="I334" s="621">
        <f t="shared" si="49"/>
        <v>1</v>
      </c>
      <c r="J334" s="630"/>
      <c r="K334" s="621">
        <f t="shared" si="50"/>
        <v>1</v>
      </c>
      <c r="L334" s="630" t="str">
        <f>可抵押车位明细清单!K313</f>
        <v>标准车位</v>
      </c>
      <c r="M334" s="621">
        <f t="shared" si="51"/>
        <v>1</v>
      </c>
      <c r="N334" s="630"/>
      <c r="O334" s="621">
        <f t="shared" si="52"/>
        <v>1</v>
      </c>
      <c r="P334" s="3490" t="str">
        <f>可抵押车位明细清单!L313</f>
        <v>-2层</v>
      </c>
      <c r="Q334" s="621">
        <f t="shared" si="53"/>
        <v>0.95</v>
      </c>
      <c r="R334" s="681">
        <f t="shared" ca="1" si="54"/>
        <v>11.306800000000001</v>
      </c>
      <c r="S334" s="620">
        <f t="shared" ca="1" si="45"/>
        <v>0</v>
      </c>
    </row>
    <row r="335" spans="1:19">
      <c r="A335" s="628" t="str">
        <f>可抵押车位明细清单!D314</f>
        <v>2#地库284</v>
      </c>
      <c r="B335" s="629">
        <f>可抵押车位明细清单!H314</f>
        <v>29.26</v>
      </c>
      <c r="C335" s="621">
        <f t="shared" si="46"/>
        <v>1</v>
      </c>
      <c r="D335" s="630"/>
      <c r="E335" s="621">
        <f t="shared" si="47"/>
        <v>1</v>
      </c>
      <c r="F335" s="630"/>
      <c r="G335" s="621">
        <f t="shared" si="48"/>
        <v>1</v>
      </c>
      <c r="H335" s="630"/>
      <c r="I335" s="621">
        <f t="shared" si="49"/>
        <v>1</v>
      </c>
      <c r="J335" s="630"/>
      <c r="K335" s="621">
        <f t="shared" si="50"/>
        <v>1</v>
      </c>
      <c r="L335" s="630" t="str">
        <f>可抵押车位明细清单!K314</f>
        <v>标准车位</v>
      </c>
      <c r="M335" s="621">
        <f t="shared" si="51"/>
        <v>1</v>
      </c>
      <c r="N335" s="630"/>
      <c r="O335" s="621">
        <f t="shared" si="52"/>
        <v>1</v>
      </c>
      <c r="P335" s="3490" t="str">
        <f>可抵押车位明细清单!L314</f>
        <v>-2层</v>
      </c>
      <c r="Q335" s="621">
        <f t="shared" si="53"/>
        <v>0.95</v>
      </c>
      <c r="R335" s="681">
        <f t="shared" ca="1" si="54"/>
        <v>11.306800000000001</v>
      </c>
      <c r="S335" s="620">
        <f t="shared" ca="1" si="45"/>
        <v>0</v>
      </c>
    </row>
    <row r="336" spans="1:19">
      <c r="A336" s="628" t="str">
        <f>可抵押车位明细清单!D315</f>
        <v>2#地库285</v>
      </c>
      <c r="B336" s="629">
        <f>可抵押车位明细清单!H315</f>
        <v>29.26</v>
      </c>
      <c r="C336" s="621">
        <f t="shared" si="46"/>
        <v>1</v>
      </c>
      <c r="D336" s="630"/>
      <c r="E336" s="621">
        <f t="shared" si="47"/>
        <v>1</v>
      </c>
      <c r="F336" s="630"/>
      <c r="G336" s="621">
        <f t="shared" si="48"/>
        <v>1</v>
      </c>
      <c r="H336" s="630"/>
      <c r="I336" s="621">
        <f t="shared" si="49"/>
        <v>1</v>
      </c>
      <c r="J336" s="630"/>
      <c r="K336" s="621">
        <f t="shared" si="50"/>
        <v>1</v>
      </c>
      <c r="L336" s="630" t="str">
        <f>可抵押车位明细清单!K315</f>
        <v>标准车位</v>
      </c>
      <c r="M336" s="621">
        <f t="shared" si="51"/>
        <v>1</v>
      </c>
      <c r="N336" s="630"/>
      <c r="O336" s="621">
        <f t="shared" si="52"/>
        <v>1</v>
      </c>
      <c r="P336" s="3490" t="str">
        <f>可抵押车位明细清单!L315</f>
        <v>-2层</v>
      </c>
      <c r="Q336" s="621">
        <f t="shared" si="53"/>
        <v>0.95</v>
      </c>
      <c r="R336" s="681">
        <f t="shared" ca="1" si="54"/>
        <v>11.306800000000001</v>
      </c>
      <c r="S336" s="620">
        <f t="shared" ca="1" si="45"/>
        <v>0</v>
      </c>
    </row>
    <row r="337" spans="1:19">
      <c r="A337" s="628" t="str">
        <f>可抵押车位明细清单!D316</f>
        <v>2#地库286</v>
      </c>
      <c r="B337" s="629">
        <f>可抵押车位明细清单!H316</f>
        <v>28.31</v>
      </c>
      <c r="C337" s="621">
        <f t="shared" si="46"/>
        <v>1</v>
      </c>
      <c r="D337" s="630"/>
      <c r="E337" s="621">
        <f t="shared" si="47"/>
        <v>1</v>
      </c>
      <c r="F337" s="630"/>
      <c r="G337" s="621">
        <f t="shared" si="48"/>
        <v>1</v>
      </c>
      <c r="H337" s="630"/>
      <c r="I337" s="621">
        <f t="shared" si="49"/>
        <v>1</v>
      </c>
      <c r="J337" s="630"/>
      <c r="K337" s="621">
        <f t="shared" si="50"/>
        <v>1</v>
      </c>
      <c r="L337" s="630" t="str">
        <f>可抵押车位明细清单!K316</f>
        <v>标准车位</v>
      </c>
      <c r="M337" s="621">
        <f t="shared" si="51"/>
        <v>1</v>
      </c>
      <c r="N337" s="630"/>
      <c r="O337" s="621">
        <f t="shared" si="52"/>
        <v>1</v>
      </c>
      <c r="P337" s="3490" t="str">
        <f>可抵押车位明细清单!L316</f>
        <v>-2层</v>
      </c>
      <c r="Q337" s="621">
        <f t="shared" si="53"/>
        <v>0.95</v>
      </c>
      <c r="R337" s="681">
        <f t="shared" ca="1" si="54"/>
        <v>11.306800000000001</v>
      </c>
      <c r="S337" s="620">
        <f t="shared" ca="1" si="45"/>
        <v>0</v>
      </c>
    </row>
    <row r="338" spans="1:19">
      <c r="A338" s="628" t="str">
        <f>可抵押车位明细清单!D317</f>
        <v>2#地库287</v>
      </c>
      <c r="B338" s="629">
        <f>可抵押车位明细清单!H317</f>
        <v>29.26</v>
      </c>
      <c r="C338" s="621">
        <f t="shared" si="46"/>
        <v>1</v>
      </c>
      <c r="D338" s="630"/>
      <c r="E338" s="621">
        <f t="shared" si="47"/>
        <v>1</v>
      </c>
      <c r="F338" s="630"/>
      <c r="G338" s="621">
        <f t="shared" si="48"/>
        <v>1</v>
      </c>
      <c r="H338" s="630"/>
      <c r="I338" s="621">
        <f t="shared" si="49"/>
        <v>1</v>
      </c>
      <c r="J338" s="630"/>
      <c r="K338" s="621">
        <f t="shared" si="50"/>
        <v>1</v>
      </c>
      <c r="L338" s="630" t="str">
        <f>可抵押车位明细清单!K317</f>
        <v>标准车位</v>
      </c>
      <c r="M338" s="621">
        <f t="shared" si="51"/>
        <v>1</v>
      </c>
      <c r="N338" s="630"/>
      <c r="O338" s="621">
        <f t="shared" si="52"/>
        <v>1</v>
      </c>
      <c r="P338" s="3490" t="str">
        <f>可抵押车位明细清单!L317</f>
        <v>-2层</v>
      </c>
      <c r="Q338" s="621">
        <f t="shared" si="53"/>
        <v>0.95</v>
      </c>
      <c r="R338" s="681">
        <f t="shared" ca="1" si="54"/>
        <v>11.306800000000001</v>
      </c>
      <c r="S338" s="620">
        <f t="shared" ca="1" si="45"/>
        <v>0</v>
      </c>
    </row>
    <row r="339" spans="1:19">
      <c r="A339" s="628" t="str">
        <f>可抵押车位明细清单!D318</f>
        <v>2#地库288</v>
      </c>
      <c r="B339" s="629">
        <f>可抵押车位明细清单!H318</f>
        <v>29.26</v>
      </c>
      <c r="C339" s="621">
        <f t="shared" si="46"/>
        <v>1</v>
      </c>
      <c r="D339" s="630"/>
      <c r="E339" s="621">
        <f t="shared" si="47"/>
        <v>1</v>
      </c>
      <c r="F339" s="630"/>
      <c r="G339" s="621">
        <f t="shared" si="48"/>
        <v>1</v>
      </c>
      <c r="H339" s="630"/>
      <c r="I339" s="621">
        <f t="shared" si="49"/>
        <v>1</v>
      </c>
      <c r="J339" s="630"/>
      <c r="K339" s="621">
        <f t="shared" si="50"/>
        <v>1</v>
      </c>
      <c r="L339" s="630" t="str">
        <f>可抵押车位明细清单!K318</f>
        <v>标准车位</v>
      </c>
      <c r="M339" s="621">
        <f t="shared" si="51"/>
        <v>1</v>
      </c>
      <c r="N339" s="630"/>
      <c r="O339" s="621">
        <f t="shared" si="52"/>
        <v>1</v>
      </c>
      <c r="P339" s="3490" t="str">
        <f>可抵押车位明细清单!L318</f>
        <v>-2层</v>
      </c>
      <c r="Q339" s="621">
        <f t="shared" si="53"/>
        <v>0.95</v>
      </c>
      <c r="R339" s="681">
        <f t="shared" ca="1" si="54"/>
        <v>11.306800000000001</v>
      </c>
      <c r="S339" s="620">
        <f t="shared" ca="1" si="45"/>
        <v>0</v>
      </c>
    </row>
    <row r="340" spans="1:19">
      <c r="A340" s="628" t="str">
        <f>可抵押车位明细清单!D319</f>
        <v>2#地库289</v>
      </c>
      <c r="B340" s="629">
        <f>可抵押车位明细清单!H319</f>
        <v>28.31</v>
      </c>
      <c r="C340" s="621">
        <f t="shared" si="46"/>
        <v>1</v>
      </c>
      <c r="D340" s="630"/>
      <c r="E340" s="621">
        <f t="shared" si="47"/>
        <v>1</v>
      </c>
      <c r="F340" s="630"/>
      <c r="G340" s="621">
        <f t="shared" si="48"/>
        <v>1</v>
      </c>
      <c r="H340" s="630"/>
      <c r="I340" s="621">
        <f t="shared" si="49"/>
        <v>1</v>
      </c>
      <c r="J340" s="630"/>
      <c r="K340" s="621">
        <f t="shared" si="50"/>
        <v>1</v>
      </c>
      <c r="L340" s="630" t="str">
        <f>可抵押车位明细清单!K319</f>
        <v>标准车位</v>
      </c>
      <c r="M340" s="621">
        <f t="shared" si="51"/>
        <v>1</v>
      </c>
      <c r="N340" s="630"/>
      <c r="O340" s="621">
        <f t="shared" si="52"/>
        <v>1</v>
      </c>
      <c r="P340" s="3490" t="str">
        <f>可抵押车位明细清单!L319</f>
        <v>-2层</v>
      </c>
      <c r="Q340" s="621">
        <f t="shared" si="53"/>
        <v>0.95</v>
      </c>
      <c r="R340" s="681">
        <f t="shared" ca="1" si="54"/>
        <v>11.306800000000001</v>
      </c>
      <c r="S340" s="620">
        <f t="shared" ca="1" si="45"/>
        <v>0</v>
      </c>
    </row>
    <row r="341" spans="1:19">
      <c r="A341" s="628" t="str">
        <f>可抵押车位明细清单!D320</f>
        <v>2#地库290</v>
      </c>
      <c r="B341" s="629">
        <f>可抵押车位明细清单!H320</f>
        <v>29.26</v>
      </c>
      <c r="C341" s="621">
        <f t="shared" si="46"/>
        <v>1</v>
      </c>
      <c r="D341" s="630"/>
      <c r="E341" s="621">
        <f t="shared" si="47"/>
        <v>1</v>
      </c>
      <c r="F341" s="630"/>
      <c r="G341" s="621">
        <f t="shared" si="48"/>
        <v>1</v>
      </c>
      <c r="H341" s="630"/>
      <c r="I341" s="621">
        <f t="shared" si="49"/>
        <v>1</v>
      </c>
      <c r="J341" s="630"/>
      <c r="K341" s="621">
        <f t="shared" si="50"/>
        <v>1</v>
      </c>
      <c r="L341" s="630" t="str">
        <f>可抵押车位明细清单!K320</f>
        <v>标准车位</v>
      </c>
      <c r="M341" s="621">
        <f t="shared" si="51"/>
        <v>1</v>
      </c>
      <c r="N341" s="630"/>
      <c r="O341" s="621">
        <f t="shared" si="52"/>
        <v>1</v>
      </c>
      <c r="P341" s="3490" t="str">
        <f>可抵押车位明细清单!L320</f>
        <v>-2层</v>
      </c>
      <c r="Q341" s="621">
        <f t="shared" si="53"/>
        <v>0.95</v>
      </c>
      <c r="R341" s="681">
        <f t="shared" ca="1" si="54"/>
        <v>11.306800000000001</v>
      </c>
      <c r="S341" s="620">
        <f t="shared" ca="1" si="45"/>
        <v>0</v>
      </c>
    </row>
    <row r="342" spans="1:19">
      <c r="A342" s="628" t="str">
        <f>可抵押车位明细清单!D321</f>
        <v>2#地库291</v>
      </c>
      <c r="B342" s="629">
        <f>可抵押车位明细清单!H321</f>
        <v>29.26</v>
      </c>
      <c r="C342" s="621">
        <f t="shared" si="46"/>
        <v>1</v>
      </c>
      <c r="D342" s="630"/>
      <c r="E342" s="621">
        <f t="shared" si="47"/>
        <v>1</v>
      </c>
      <c r="F342" s="630"/>
      <c r="G342" s="621">
        <f t="shared" si="48"/>
        <v>1</v>
      </c>
      <c r="H342" s="630"/>
      <c r="I342" s="621">
        <f t="shared" si="49"/>
        <v>1</v>
      </c>
      <c r="J342" s="630"/>
      <c r="K342" s="621">
        <f t="shared" si="50"/>
        <v>1</v>
      </c>
      <c r="L342" s="630" t="str">
        <f>可抵押车位明细清单!K321</f>
        <v>标准车位</v>
      </c>
      <c r="M342" s="621">
        <f t="shared" si="51"/>
        <v>1</v>
      </c>
      <c r="N342" s="630"/>
      <c r="O342" s="621">
        <f t="shared" si="52"/>
        <v>1</v>
      </c>
      <c r="P342" s="3490" t="str">
        <f>可抵押车位明细清单!L321</f>
        <v>-2层</v>
      </c>
      <c r="Q342" s="621">
        <f t="shared" si="53"/>
        <v>0.95</v>
      </c>
      <c r="R342" s="681">
        <f t="shared" ca="1" si="54"/>
        <v>11.306800000000001</v>
      </c>
      <c r="S342" s="620">
        <f t="shared" ca="1" si="45"/>
        <v>0</v>
      </c>
    </row>
    <row r="343" spans="1:19">
      <c r="A343" s="628" t="str">
        <f>可抵押车位明细清单!D322</f>
        <v>2#地库292</v>
      </c>
      <c r="B343" s="629">
        <f>可抵押车位明细清单!H322</f>
        <v>29.26</v>
      </c>
      <c r="C343" s="621">
        <f t="shared" si="46"/>
        <v>1</v>
      </c>
      <c r="D343" s="630"/>
      <c r="E343" s="621">
        <f t="shared" si="47"/>
        <v>1</v>
      </c>
      <c r="F343" s="630"/>
      <c r="G343" s="621">
        <f t="shared" si="48"/>
        <v>1</v>
      </c>
      <c r="H343" s="630"/>
      <c r="I343" s="621">
        <f t="shared" si="49"/>
        <v>1</v>
      </c>
      <c r="J343" s="630"/>
      <c r="K343" s="621">
        <f t="shared" si="50"/>
        <v>1</v>
      </c>
      <c r="L343" s="630" t="str">
        <f>可抵押车位明细清单!K322</f>
        <v>标准车位</v>
      </c>
      <c r="M343" s="621">
        <f t="shared" si="51"/>
        <v>1</v>
      </c>
      <c r="N343" s="630"/>
      <c r="O343" s="621">
        <f t="shared" si="52"/>
        <v>1</v>
      </c>
      <c r="P343" s="3490" t="str">
        <f>可抵押车位明细清单!L322</f>
        <v>-2层</v>
      </c>
      <c r="Q343" s="621">
        <f t="shared" si="53"/>
        <v>0.95</v>
      </c>
      <c r="R343" s="681">
        <f t="shared" ca="1" si="54"/>
        <v>11.306800000000001</v>
      </c>
      <c r="S343" s="620">
        <f t="shared" ca="1" si="45"/>
        <v>0</v>
      </c>
    </row>
    <row r="344" spans="1:19">
      <c r="A344" s="628" t="str">
        <f>可抵押车位明细清单!D323</f>
        <v>2#地库293</v>
      </c>
      <c r="B344" s="629">
        <f>可抵押车位明细清单!H323</f>
        <v>29.26</v>
      </c>
      <c r="C344" s="621">
        <f t="shared" si="46"/>
        <v>1</v>
      </c>
      <c r="D344" s="630"/>
      <c r="E344" s="621">
        <f t="shared" si="47"/>
        <v>1</v>
      </c>
      <c r="F344" s="630"/>
      <c r="G344" s="621">
        <f t="shared" si="48"/>
        <v>1</v>
      </c>
      <c r="H344" s="630"/>
      <c r="I344" s="621">
        <f t="shared" si="49"/>
        <v>1</v>
      </c>
      <c r="J344" s="630"/>
      <c r="K344" s="621">
        <f t="shared" si="50"/>
        <v>1</v>
      </c>
      <c r="L344" s="630" t="str">
        <f>可抵押车位明细清单!K323</f>
        <v>标准车位</v>
      </c>
      <c r="M344" s="621">
        <f t="shared" si="51"/>
        <v>1</v>
      </c>
      <c r="N344" s="630"/>
      <c r="O344" s="621">
        <f t="shared" si="52"/>
        <v>1</v>
      </c>
      <c r="P344" s="3490" t="str">
        <f>可抵押车位明细清单!L323</f>
        <v>-2层</v>
      </c>
      <c r="Q344" s="621">
        <f t="shared" si="53"/>
        <v>0.95</v>
      </c>
      <c r="R344" s="681">
        <f t="shared" ca="1" si="54"/>
        <v>11.306800000000001</v>
      </c>
      <c r="S344" s="620">
        <f t="shared" ref="S344:S407" ca="1" si="55">ROUND(R344*B344/10000,0)</f>
        <v>0</v>
      </c>
    </row>
    <row r="345" spans="1:19">
      <c r="A345" s="628" t="str">
        <f>可抵押车位明细清单!D324</f>
        <v>2#地库294</v>
      </c>
      <c r="B345" s="629">
        <f>可抵押车位明细清单!H324</f>
        <v>29.26</v>
      </c>
      <c r="C345" s="621">
        <f t="shared" ref="C345:C408" si="56">IF(B345="",1,(LOOKUP(B345,$3:$3,$4:$4)-LOOKUP($B$24,$3:$3,$4:$4)+100)/100)</f>
        <v>1</v>
      </c>
      <c r="D345" s="630"/>
      <c r="E345" s="621">
        <f t="shared" ref="E345:E408" si="57">(SUMIF($5:$5,D345,$6:$6)-SUMIF($5:$5,$D$24,$6:$6)+100)/100</f>
        <v>1</v>
      </c>
      <c r="F345" s="630"/>
      <c r="G345" s="621">
        <f t="shared" ref="G345:G408" si="58">(SUMIF($7:$7,F345,$8:$8)-SUMIF($7:$7,$F$24,$8:$8)+100)/100</f>
        <v>1</v>
      </c>
      <c r="H345" s="630"/>
      <c r="I345" s="621">
        <f t="shared" ref="I345:I408" si="59">(SUMIF($9:$9,H345,$10:$10)-SUMIF($9:$9,$H$24,$10:$10)+100)/100</f>
        <v>1</v>
      </c>
      <c r="J345" s="630"/>
      <c r="K345" s="621">
        <f t="shared" ref="K345:K408" si="60">(SUMIF($11:$11,J345,$12:$12)-SUMIF($11:$11,$J$24,$12:$12)+100)/100</f>
        <v>1</v>
      </c>
      <c r="L345" s="630" t="str">
        <f>可抵押车位明细清单!K324</f>
        <v>标准车位</v>
      </c>
      <c r="M345" s="621">
        <f t="shared" ref="M345:M408" si="61">(SUMIF($13:$13,L345,$14:$14)-SUMIF($13:$13,$L$24,$14:$14)+100)/100</f>
        <v>1</v>
      </c>
      <c r="N345" s="630"/>
      <c r="O345" s="621">
        <f t="shared" ref="O345:O408" si="62">(SUMIF($15:$15,N345,$16:$16)-SUMIF($15:$15,$N$24,$16:$16)+100)/100</f>
        <v>1</v>
      </c>
      <c r="P345" s="3490" t="str">
        <f>可抵押车位明细清单!L324</f>
        <v>-2层</v>
      </c>
      <c r="Q345" s="621">
        <f t="shared" ref="Q345:Q408" si="63">(SUMIF($17:$17,P345,$18:$18)-SUMIF($17:$17,$P$24,$18:$18)+100)/100</f>
        <v>0.95</v>
      </c>
      <c r="R345" s="681">
        <f t="shared" ref="R345:R408" ca="1" si="64">IF(B345="",0,ROUND($R$24*C345*E345*G345*I345*K345*M345*O345*Q345,4))</f>
        <v>11.306800000000001</v>
      </c>
      <c r="S345" s="620">
        <f t="shared" ca="1" si="55"/>
        <v>0</v>
      </c>
    </row>
    <row r="346" spans="1:19">
      <c r="A346" s="628" t="str">
        <f>可抵押车位明细清单!D325</f>
        <v>2#地库295</v>
      </c>
      <c r="B346" s="629">
        <f>可抵押车位明细清单!H325</f>
        <v>29.74</v>
      </c>
      <c r="C346" s="621">
        <f t="shared" si="56"/>
        <v>1</v>
      </c>
      <c r="D346" s="630"/>
      <c r="E346" s="621">
        <f t="shared" si="57"/>
        <v>1</v>
      </c>
      <c r="F346" s="630"/>
      <c r="G346" s="621">
        <f t="shared" si="58"/>
        <v>1</v>
      </c>
      <c r="H346" s="630"/>
      <c r="I346" s="621">
        <f t="shared" si="59"/>
        <v>1</v>
      </c>
      <c r="J346" s="630"/>
      <c r="K346" s="621">
        <f t="shared" si="60"/>
        <v>1</v>
      </c>
      <c r="L346" s="630" t="str">
        <f>可抵押车位明细清单!K325</f>
        <v>标准车位</v>
      </c>
      <c r="M346" s="621">
        <f t="shared" si="61"/>
        <v>1</v>
      </c>
      <c r="N346" s="630"/>
      <c r="O346" s="621">
        <f t="shared" si="62"/>
        <v>1</v>
      </c>
      <c r="P346" s="3490" t="str">
        <f>可抵押车位明细清单!L325</f>
        <v>-2层</v>
      </c>
      <c r="Q346" s="621">
        <f t="shared" si="63"/>
        <v>0.95</v>
      </c>
      <c r="R346" s="681">
        <f t="shared" ca="1" si="64"/>
        <v>11.306800000000001</v>
      </c>
      <c r="S346" s="620">
        <f t="shared" ca="1" si="55"/>
        <v>0</v>
      </c>
    </row>
    <row r="347" spans="1:19">
      <c r="A347" s="628" t="str">
        <f>可抵押车位明细清单!D326</f>
        <v>2#地库296</v>
      </c>
      <c r="B347" s="629">
        <f>可抵押车位明细清单!H326</f>
        <v>29.74</v>
      </c>
      <c r="C347" s="621">
        <f t="shared" si="56"/>
        <v>1</v>
      </c>
      <c r="D347" s="630"/>
      <c r="E347" s="621">
        <f t="shared" si="57"/>
        <v>1</v>
      </c>
      <c r="F347" s="630"/>
      <c r="G347" s="621">
        <f t="shared" si="58"/>
        <v>1</v>
      </c>
      <c r="H347" s="630"/>
      <c r="I347" s="621">
        <f t="shared" si="59"/>
        <v>1</v>
      </c>
      <c r="J347" s="630"/>
      <c r="K347" s="621">
        <f t="shared" si="60"/>
        <v>1</v>
      </c>
      <c r="L347" s="630" t="str">
        <f>可抵押车位明细清单!K326</f>
        <v>标准车位</v>
      </c>
      <c r="M347" s="621">
        <f t="shared" si="61"/>
        <v>1</v>
      </c>
      <c r="N347" s="630"/>
      <c r="O347" s="621">
        <f t="shared" si="62"/>
        <v>1</v>
      </c>
      <c r="P347" s="3490" t="str">
        <f>可抵押车位明细清单!L326</f>
        <v>-2层</v>
      </c>
      <c r="Q347" s="621">
        <f t="shared" si="63"/>
        <v>0.95</v>
      </c>
      <c r="R347" s="681">
        <f t="shared" ca="1" si="64"/>
        <v>11.306800000000001</v>
      </c>
      <c r="S347" s="620">
        <f t="shared" ca="1" si="55"/>
        <v>0</v>
      </c>
    </row>
    <row r="348" spans="1:19">
      <c r="A348" s="628" t="str">
        <f>可抵押车位明细清单!D327</f>
        <v>2#地库297</v>
      </c>
      <c r="B348" s="629">
        <f>可抵押车位明细清单!H327</f>
        <v>29.74</v>
      </c>
      <c r="C348" s="621">
        <f t="shared" si="56"/>
        <v>1</v>
      </c>
      <c r="D348" s="630"/>
      <c r="E348" s="621">
        <f t="shared" si="57"/>
        <v>1</v>
      </c>
      <c r="F348" s="630"/>
      <c r="G348" s="621">
        <f t="shared" si="58"/>
        <v>1</v>
      </c>
      <c r="H348" s="630"/>
      <c r="I348" s="621">
        <f t="shared" si="59"/>
        <v>1</v>
      </c>
      <c r="J348" s="630"/>
      <c r="K348" s="621">
        <f t="shared" si="60"/>
        <v>1</v>
      </c>
      <c r="L348" s="630" t="str">
        <f>可抵押车位明细清单!K327</f>
        <v>标准车位</v>
      </c>
      <c r="M348" s="621">
        <f t="shared" si="61"/>
        <v>1</v>
      </c>
      <c r="N348" s="630"/>
      <c r="O348" s="621">
        <f t="shared" si="62"/>
        <v>1</v>
      </c>
      <c r="P348" s="3490" t="str">
        <f>可抵押车位明细清单!L327</f>
        <v>-2层</v>
      </c>
      <c r="Q348" s="621">
        <f t="shared" si="63"/>
        <v>0.95</v>
      </c>
      <c r="R348" s="681">
        <f t="shared" ca="1" si="64"/>
        <v>11.306800000000001</v>
      </c>
      <c r="S348" s="620">
        <f t="shared" ca="1" si="55"/>
        <v>0</v>
      </c>
    </row>
    <row r="349" spans="1:19">
      <c r="A349" s="628" t="str">
        <f>可抵押车位明细清单!D328</f>
        <v>2#地库298</v>
      </c>
      <c r="B349" s="629">
        <f>可抵押车位明细清单!H328</f>
        <v>29.74</v>
      </c>
      <c r="C349" s="621">
        <f t="shared" si="56"/>
        <v>1</v>
      </c>
      <c r="D349" s="630"/>
      <c r="E349" s="621">
        <f t="shared" si="57"/>
        <v>1</v>
      </c>
      <c r="F349" s="630"/>
      <c r="G349" s="621">
        <f t="shared" si="58"/>
        <v>1</v>
      </c>
      <c r="H349" s="630"/>
      <c r="I349" s="621">
        <f t="shared" si="59"/>
        <v>1</v>
      </c>
      <c r="J349" s="630"/>
      <c r="K349" s="621">
        <f t="shared" si="60"/>
        <v>1</v>
      </c>
      <c r="L349" s="630" t="str">
        <f>可抵押车位明细清单!K328</f>
        <v>标准车位</v>
      </c>
      <c r="M349" s="621">
        <f t="shared" si="61"/>
        <v>1</v>
      </c>
      <c r="N349" s="630"/>
      <c r="O349" s="621">
        <f t="shared" si="62"/>
        <v>1</v>
      </c>
      <c r="P349" s="3490" t="str">
        <f>可抵押车位明细清单!L328</f>
        <v>-2层</v>
      </c>
      <c r="Q349" s="621">
        <f t="shared" si="63"/>
        <v>0.95</v>
      </c>
      <c r="R349" s="681">
        <f t="shared" ca="1" si="64"/>
        <v>11.306800000000001</v>
      </c>
      <c r="S349" s="620">
        <f t="shared" ca="1" si="55"/>
        <v>0</v>
      </c>
    </row>
    <row r="350" spans="1:19">
      <c r="A350" s="628" t="str">
        <f>可抵押车位明细清单!D329</f>
        <v>2#地库299</v>
      </c>
      <c r="B350" s="629">
        <f>可抵押车位明细清单!H329</f>
        <v>29.26</v>
      </c>
      <c r="C350" s="621">
        <f t="shared" si="56"/>
        <v>1</v>
      </c>
      <c r="D350" s="630"/>
      <c r="E350" s="621">
        <f t="shared" si="57"/>
        <v>1</v>
      </c>
      <c r="F350" s="630"/>
      <c r="G350" s="621">
        <f t="shared" si="58"/>
        <v>1</v>
      </c>
      <c r="H350" s="630"/>
      <c r="I350" s="621">
        <f t="shared" si="59"/>
        <v>1</v>
      </c>
      <c r="J350" s="630"/>
      <c r="K350" s="621">
        <f t="shared" si="60"/>
        <v>1</v>
      </c>
      <c r="L350" s="630" t="str">
        <f>可抵押车位明细清单!K329</f>
        <v>标准车位</v>
      </c>
      <c r="M350" s="621">
        <f t="shared" si="61"/>
        <v>1</v>
      </c>
      <c r="N350" s="630"/>
      <c r="O350" s="621">
        <f t="shared" si="62"/>
        <v>1</v>
      </c>
      <c r="P350" s="3490" t="str">
        <f>可抵押车位明细清单!L329</f>
        <v>-2层</v>
      </c>
      <c r="Q350" s="621">
        <f t="shared" si="63"/>
        <v>0.95</v>
      </c>
      <c r="R350" s="681">
        <f t="shared" ca="1" si="64"/>
        <v>11.306800000000001</v>
      </c>
      <c r="S350" s="620">
        <f t="shared" ca="1" si="55"/>
        <v>0</v>
      </c>
    </row>
    <row r="351" spans="1:19">
      <c r="A351" s="628" t="str">
        <f>可抵押车位明细清单!D330</f>
        <v>2#地库300</v>
      </c>
      <c r="B351" s="629">
        <f>可抵押车位明细清单!H330</f>
        <v>28.31</v>
      </c>
      <c r="C351" s="621">
        <f t="shared" si="56"/>
        <v>1</v>
      </c>
      <c r="D351" s="630"/>
      <c r="E351" s="621">
        <f t="shared" si="57"/>
        <v>1</v>
      </c>
      <c r="F351" s="630"/>
      <c r="G351" s="621">
        <f t="shared" si="58"/>
        <v>1</v>
      </c>
      <c r="H351" s="630"/>
      <c r="I351" s="621">
        <f t="shared" si="59"/>
        <v>1</v>
      </c>
      <c r="J351" s="630"/>
      <c r="K351" s="621">
        <f t="shared" si="60"/>
        <v>1</v>
      </c>
      <c r="L351" s="630" t="str">
        <f>可抵押车位明细清单!K330</f>
        <v>标准车位</v>
      </c>
      <c r="M351" s="621">
        <f t="shared" si="61"/>
        <v>1</v>
      </c>
      <c r="N351" s="630"/>
      <c r="O351" s="621">
        <f t="shared" si="62"/>
        <v>1</v>
      </c>
      <c r="P351" s="3490" t="str">
        <f>可抵押车位明细清单!L330</f>
        <v>-2层</v>
      </c>
      <c r="Q351" s="621">
        <f t="shared" si="63"/>
        <v>0.95</v>
      </c>
      <c r="R351" s="681">
        <f t="shared" ca="1" si="64"/>
        <v>11.306800000000001</v>
      </c>
      <c r="S351" s="620">
        <f t="shared" ca="1" si="55"/>
        <v>0</v>
      </c>
    </row>
    <row r="352" spans="1:19">
      <c r="A352" s="628" t="str">
        <f>可抵押车位明细清单!D331</f>
        <v>2#地库301</v>
      </c>
      <c r="B352" s="629">
        <f>可抵押车位明细清单!H331</f>
        <v>29.26</v>
      </c>
      <c r="C352" s="621">
        <f t="shared" si="56"/>
        <v>1</v>
      </c>
      <c r="D352" s="630"/>
      <c r="E352" s="621">
        <f t="shared" si="57"/>
        <v>1</v>
      </c>
      <c r="F352" s="630"/>
      <c r="G352" s="621">
        <f t="shared" si="58"/>
        <v>1</v>
      </c>
      <c r="H352" s="630"/>
      <c r="I352" s="621">
        <f t="shared" si="59"/>
        <v>1</v>
      </c>
      <c r="J352" s="630"/>
      <c r="K352" s="621">
        <f t="shared" si="60"/>
        <v>1</v>
      </c>
      <c r="L352" s="630" t="str">
        <f>可抵押车位明细清单!K331</f>
        <v>标准车位</v>
      </c>
      <c r="M352" s="621">
        <f t="shared" si="61"/>
        <v>1</v>
      </c>
      <c r="N352" s="630"/>
      <c r="O352" s="621">
        <f t="shared" si="62"/>
        <v>1</v>
      </c>
      <c r="P352" s="3490" t="str">
        <f>可抵押车位明细清单!L331</f>
        <v>-2层</v>
      </c>
      <c r="Q352" s="621">
        <f t="shared" si="63"/>
        <v>0.95</v>
      </c>
      <c r="R352" s="681">
        <f t="shared" ca="1" si="64"/>
        <v>11.306800000000001</v>
      </c>
      <c r="S352" s="620">
        <f t="shared" ca="1" si="55"/>
        <v>0</v>
      </c>
    </row>
    <row r="353" spans="1:19">
      <c r="A353" s="628" t="str">
        <f>可抵押车位明细清单!D332</f>
        <v>2#地库302</v>
      </c>
      <c r="B353" s="629">
        <f>可抵押车位明细清单!H332</f>
        <v>28.31</v>
      </c>
      <c r="C353" s="621">
        <f t="shared" si="56"/>
        <v>1</v>
      </c>
      <c r="D353" s="630"/>
      <c r="E353" s="621">
        <f t="shared" si="57"/>
        <v>1</v>
      </c>
      <c r="F353" s="630"/>
      <c r="G353" s="621">
        <f t="shared" si="58"/>
        <v>1</v>
      </c>
      <c r="H353" s="630"/>
      <c r="I353" s="621">
        <f t="shared" si="59"/>
        <v>1</v>
      </c>
      <c r="J353" s="630"/>
      <c r="K353" s="621">
        <f t="shared" si="60"/>
        <v>1</v>
      </c>
      <c r="L353" s="630" t="str">
        <f>可抵押车位明细清单!K332</f>
        <v>标准车位</v>
      </c>
      <c r="M353" s="621">
        <f t="shared" si="61"/>
        <v>1</v>
      </c>
      <c r="N353" s="630"/>
      <c r="O353" s="621">
        <f t="shared" si="62"/>
        <v>1</v>
      </c>
      <c r="P353" s="3490" t="str">
        <f>可抵押车位明细清单!L332</f>
        <v>-2层</v>
      </c>
      <c r="Q353" s="621">
        <f t="shared" si="63"/>
        <v>0.95</v>
      </c>
      <c r="R353" s="681">
        <f t="shared" ca="1" si="64"/>
        <v>11.306800000000001</v>
      </c>
      <c r="S353" s="620">
        <f t="shared" ca="1" si="55"/>
        <v>0</v>
      </c>
    </row>
    <row r="354" spans="1:19">
      <c r="A354" s="628" t="str">
        <f>可抵押车位明细清单!D333</f>
        <v>2#地库303</v>
      </c>
      <c r="B354" s="629">
        <f>可抵押车位明细清单!H333</f>
        <v>29.26</v>
      </c>
      <c r="C354" s="621">
        <f t="shared" si="56"/>
        <v>1</v>
      </c>
      <c r="D354" s="630"/>
      <c r="E354" s="621">
        <f t="shared" si="57"/>
        <v>1</v>
      </c>
      <c r="F354" s="630"/>
      <c r="G354" s="621">
        <f t="shared" si="58"/>
        <v>1</v>
      </c>
      <c r="H354" s="630"/>
      <c r="I354" s="621">
        <f t="shared" si="59"/>
        <v>1</v>
      </c>
      <c r="J354" s="630"/>
      <c r="K354" s="621">
        <f t="shared" si="60"/>
        <v>1</v>
      </c>
      <c r="L354" s="630" t="str">
        <f>可抵押车位明细清单!K333</f>
        <v>标准车位</v>
      </c>
      <c r="M354" s="621">
        <f t="shared" si="61"/>
        <v>1</v>
      </c>
      <c r="N354" s="630"/>
      <c r="O354" s="621">
        <f t="shared" si="62"/>
        <v>1</v>
      </c>
      <c r="P354" s="3490" t="str">
        <f>可抵押车位明细清单!L333</f>
        <v>-2层</v>
      </c>
      <c r="Q354" s="621">
        <f t="shared" si="63"/>
        <v>0.95</v>
      </c>
      <c r="R354" s="681">
        <f t="shared" ca="1" si="64"/>
        <v>11.306800000000001</v>
      </c>
      <c r="S354" s="620">
        <f t="shared" ca="1" si="55"/>
        <v>0</v>
      </c>
    </row>
    <row r="355" spans="1:19">
      <c r="A355" s="628" t="str">
        <f>可抵押车位明细清单!D334</f>
        <v>2#地库304</v>
      </c>
      <c r="B355" s="629">
        <f>可抵押车位明细清单!H334</f>
        <v>29.26</v>
      </c>
      <c r="C355" s="621">
        <f t="shared" si="56"/>
        <v>1</v>
      </c>
      <c r="D355" s="630"/>
      <c r="E355" s="621">
        <f t="shared" si="57"/>
        <v>1</v>
      </c>
      <c r="F355" s="630"/>
      <c r="G355" s="621">
        <f t="shared" si="58"/>
        <v>1</v>
      </c>
      <c r="H355" s="630"/>
      <c r="I355" s="621">
        <f t="shared" si="59"/>
        <v>1</v>
      </c>
      <c r="J355" s="630"/>
      <c r="K355" s="621">
        <f t="shared" si="60"/>
        <v>1</v>
      </c>
      <c r="L355" s="630" t="str">
        <f>可抵押车位明细清单!K334</f>
        <v>标准车位</v>
      </c>
      <c r="M355" s="621">
        <f t="shared" si="61"/>
        <v>1</v>
      </c>
      <c r="N355" s="630"/>
      <c r="O355" s="621">
        <f t="shared" si="62"/>
        <v>1</v>
      </c>
      <c r="P355" s="3490" t="str">
        <f>可抵押车位明细清单!L334</f>
        <v>-2层</v>
      </c>
      <c r="Q355" s="621">
        <f t="shared" si="63"/>
        <v>0.95</v>
      </c>
      <c r="R355" s="681">
        <f t="shared" ca="1" si="64"/>
        <v>11.306800000000001</v>
      </c>
      <c r="S355" s="620">
        <f t="shared" ca="1" si="55"/>
        <v>0</v>
      </c>
    </row>
    <row r="356" spans="1:19">
      <c r="A356" s="628" t="str">
        <f>可抵押车位明细清单!D335</f>
        <v>2#地库305</v>
      </c>
      <c r="B356" s="629">
        <f>可抵押车位明细清单!H335</f>
        <v>28.31</v>
      </c>
      <c r="C356" s="621">
        <f t="shared" si="56"/>
        <v>1</v>
      </c>
      <c r="D356" s="630"/>
      <c r="E356" s="621">
        <f t="shared" si="57"/>
        <v>1</v>
      </c>
      <c r="F356" s="630"/>
      <c r="G356" s="621">
        <f t="shared" si="58"/>
        <v>1</v>
      </c>
      <c r="H356" s="630"/>
      <c r="I356" s="621">
        <f t="shared" si="59"/>
        <v>1</v>
      </c>
      <c r="J356" s="630"/>
      <c r="K356" s="621">
        <f t="shared" si="60"/>
        <v>1</v>
      </c>
      <c r="L356" s="630" t="str">
        <f>可抵押车位明细清单!K335</f>
        <v>标准车位</v>
      </c>
      <c r="M356" s="621">
        <f t="shared" si="61"/>
        <v>1</v>
      </c>
      <c r="N356" s="630"/>
      <c r="O356" s="621">
        <f t="shared" si="62"/>
        <v>1</v>
      </c>
      <c r="P356" s="3490" t="str">
        <f>可抵押车位明细清单!L335</f>
        <v>-2层</v>
      </c>
      <c r="Q356" s="621">
        <f t="shared" si="63"/>
        <v>0.95</v>
      </c>
      <c r="R356" s="681">
        <f t="shared" ca="1" si="64"/>
        <v>11.306800000000001</v>
      </c>
      <c r="S356" s="620">
        <f t="shared" ca="1" si="55"/>
        <v>0</v>
      </c>
    </row>
    <row r="357" spans="1:19">
      <c r="A357" s="628" t="str">
        <f>可抵押车位明细清单!D336</f>
        <v>2#地库306</v>
      </c>
      <c r="B357" s="629">
        <f>可抵押车位明细清单!H336</f>
        <v>29.26</v>
      </c>
      <c r="C357" s="621">
        <f t="shared" si="56"/>
        <v>1</v>
      </c>
      <c r="D357" s="630"/>
      <c r="E357" s="621">
        <f t="shared" si="57"/>
        <v>1</v>
      </c>
      <c r="F357" s="630"/>
      <c r="G357" s="621">
        <f t="shared" si="58"/>
        <v>1</v>
      </c>
      <c r="H357" s="630"/>
      <c r="I357" s="621">
        <f t="shared" si="59"/>
        <v>1</v>
      </c>
      <c r="J357" s="630"/>
      <c r="K357" s="621">
        <f t="shared" si="60"/>
        <v>1</v>
      </c>
      <c r="L357" s="630" t="str">
        <f>可抵押车位明细清单!K336</f>
        <v>标准车位</v>
      </c>
      <c r="M357" s="621">
        <f t="shared" si="61"/>
        <v>1</v>
      </c>
      <c r="N357" s="630"/>
      <c r="O357" s="621">
        <f t="shared" si="62"/>
        <v>1</v>
      </c>
      <c r="P357" s="3490" t="str">
        <f>可抵押车位明细清单!L336</f>
        <v>-2层</v>
      </c>
      <c r="Q357" s="621">
        <f t="shared" si="63"/>
        <v>0.95</v>
      </c>
      <c r="R357" s="681">
        <f t="shared" ca="1" si="64"/>
        <v>11.306800000000001</v>
      </c>
      <c r="S357" s="620">
        <f t="shared" ca="1" si="55"/>
        <v>0</v>
      </c>
    </row>
    <row r="358" spans="1:19">
      <c r="A358" s="628" t="str">
        <f>可抵押车位明细清单!D337</f>
        <v>2#地库307</v>
      </c>
      <c r="B358" s="629">
        <f>可抵押车位明细清单!H337</f>
        <v>29.26</v>
      </c>
      <c r="C358" s="621">
        <f t="shared" si="56"/>
        <v>1</v>
      </c>
      <c r="D358" s="630"/>
      <c r="E358" s="621">
        <f t="shared" si="57"/>
        <v>1</v>
      </c>
      <c r="F358" s="630"/>
      <c r="G358" s="621">
        <f t="shared" si="58"/>
        <v>1</v>
      </c>
      <c r="H358" s="630"/>
      <c r="I358" s="621">
        <f t="shared" si="59"/>
        <v>1</v>
      </c>
      <c r="J358" s="630"/>
      <c r="K358" s="621">
        <f t="shared" si="60"/>
        <v>1</v>
      </c>
      <c r="L358" s="630" t="str">
        <f>可抵押车位明细清单!K337</f>
        <v>标准车位</v>
      </c>
      <c r="M358" s="621">
        <f t="shared" si="61"/>
        <v>1</v>
      </c>
      <c r="N358" s="630"/>
      <c r="O358" s="621">
        <f t="shared" si="62"/>
        <v>1</v>
      </c>
      <c r="P358" s="3490" t="str">
        <f>可抵押车位明细清单!L337</f>
        <v>-2层</v>
      </c>
      <c r="Q358" s="621">
        <f t="shared" si="63"/>
        <v>0.95</v>
      </c>
      <c r="R358" s="681">
        <f t="shared" ca="1" si="64"/>
        <v>11.306800000000001</v>
      </c>
      <c r="S358" s="620">
        <f t="shared" ca="1" si="55"/>
        <v>0</v>
      </c>
    </row>
    <row r="359" spans="1:19">
      <c r="A359" s="628" t="str">
        <f>可抵押车位明细清单!D338</f>
        <v>2#地库308</v>
      </c>
      <c r="B359" s="629">
        <f>可抵押车位明细清单!H338</f>
        <v>28.31</v>
      </c>
      <c r="C359" s="621">
        <f t="shared" si="56"/>
        <v>1</v>
      </c>
      <c r="D359" s="630"/>
      <c r="E359" s="621">
        <f t="shared" si="57"/>
        <v>1</v>
      </c>
      <c r="F359" s="630"/>
      <c r="G359" s="621">
        <f t="shared" si="58"/>
        <v>1</v>
      </c>
      <c r="H359" s="630"/>
      <c r="I359" s="621">
        <f t="shared" si="59"/>
        <v>1</v>
      </c>
      <c r="J359" s="630"/>
      <c r="K359" s="621">
        <f t="shared" si="60"/>
        <v>1</v>
      </c>
      <c r="L359" s="630" t="str">
        <f>可抵押车位明细清单!K338</f>
        <v>标准车位</v>
      </c>
      <c r="M359" s="621">
        <f t="shared" si="61"/>
        <v>1</v>
      </c>
      <c r="N359" s="630"/>
      <c r="O359" s="621">
        <f t="shared" si="62"/>
        <v>1</v>
      </c>
      <c r="P359" s="3490" t="str">
        <f>可抵押车位明细清单!L338</f>
        <v>-2层</v>
      </c>
      <c r="Q359" s="621">
        <f t="shared" si="63"/>
        <v>0.95</v>
      </c>
      <c r="R359" s="681">
        <f t="shared" ca="1" si="64"/>
        <v>11.306800000000001</v>
      </c>
      <c r="S359" s="620">
        <f t="shared" ca="1" si="55"/>
        <v>0</v>
      </c>
    </row>
    <row r="360" spans="1:19">
      <c r="A360" s="628" t="str">
        <f>可抵押车位明细清单!D339</f>
        <v>2#地库309</v>
      </c>
      <c r="B360" s="629">
        <f>可抵押车位明细清单!H339</f>
        <v>29.26</v>
      </c>
      <c r="C360" s="621">
        <f t="shared" si="56"/>
        <v>1</v>
      </c>
      <c r="D360" s="630"/>
      <c r="E360" s="621">
        <f t="shared" si="57"/>
        <v>1</v>
      </c>
      <c r="F360" s="630"/>
      <c r="G360" s="621">
        <f t="shared" si="58"/>
        <v>1</v>
      </c>
      <c r="H360" s="630"/>
      <c r="I360" s="621">
        <f t="shared" si="59"/>
        <v>1</v>
      </c>
      <c r="J360" s="630"/>
      <c r="K360" s="621">
        <f t="shared" si="60"/>
        <v>1</v>
      </c>
      <c r="L360" s="630" t="str">
        <f>可抵押车位明细清单!K339</f>
        <v>标准车位</v>
      </c>
      <c r="M360" s="621">
        <f t="shared" si="61"/>
        <v>1</v>
      </c>
      <c r="N360" s="630"/>
      <c r="O360" s="621">
        <f t="shared" si="62"/>
        <v>1</v>
      </c>
      <c r="P360" s="3490" t="str">
        <f>可抵押车位明细清单!L339</f>
        <v>-2层</v>
      </c>
      <c r="Q360" s="621">
        <f t="shared" si="63"/>
        <v>0.95</v>
      </c>
      <c r="R360" s="681">
        <f t="shared" ca="1" si="64"/>
        <v>11.306800000000001</v>
      </c>
      <c r="S360" s="620">
        <f t="shared" ca="1" si="55"/>
        <v>0</v>
      </c>
    </row>
    <row r="361" spans="1:19">
      <c r="A361" s="628" t="str">
        <f>可抵押车位明细清单!D340</f>
        <v>2#地库310</v>
      </c>
      <c r="B361" s="629">
        <f>可抵押车位明细清单!H340</f>
        <v>29.26</v>
      </c>
      <c r="C361" s="621">
        <f t="shared" si="56"/>
        <v>1</v>
      </c>
      <c r="D361" s="630"/>
      <c r="E361" s="621">
        <f t="shared" si="57"/>
        <v>1</v>
      </c>
      <c r="F361" s="630"/>
      <c r="G361" s="621">
        <f t="shared" si="58"/>
        <v>1</v>
      </c>
      <c r="H361" s="630"/>
      <c r="I361" s="621">
        <f t="shared" si="59"/>
        <v>1</v>
      </c>
      <c r="J361" s="630"/>
      <c r="K361" s="621">
        <f t="shared" si="60"/>
        <v>1</v>
      </c>
      <c r="L361" s="630" t="str">
        <f>可抵押车位明细清单!K340</f>
        <v>标准车位</v>
      </c>
      <c r="M361" s="621">
        <f t="shared" si="61"/>
        <v>1</v>
      </c>
      <c r="N361" s="630"/>
      <c r="O361" s="621">
        <f t="shared" si="62"/>
        <v>1</v>
      </c>
      <c r="P361" s="3490" t="str">
        <f>可抵押车位明细清单!L340</f>
        <v>-2层</v>
      </c>
      <c r="Q361" s="621">
        <f t="shared" si="63"/>
        <v>0.95</v>
      </c>
      <c r="R361" s="681">
        <f t="shared" ca="1" si="64"/>
        <v>11.306800000000001</v>
      </c>
      <c r="S361" s="620">
        <f t="shared" ca="1" si="55"/>
        <v>0</v>
      </c>
    </row>
    <row r="362" spans="1:19">
      <c r="A362" s="628" t="str">
        <f>可抵押车位明细清单!D341</f>
        <v>2#地库311</v>
      </c>
      <c r="B362" s="629">
        <f>可抵押车位明细清单!H341</f>
        <v>28.31</v>
      </c>
      <c r="C362" s="621">
        <f t="shared" si="56"/>
        <v>1</v>
      </c>
      <c r="D362" s="630"/>
      <c r="E362" s="621">
        <f t="shared" si="57"/>
        <v>1</v>
      </c>
      <c r="F362" s="630"/>
      <c r="G362" s="621">
        <f t="shared" si="58"/>
        <v>1</v>
      </c>
      <c r="H362" s="630"/>
      <c r="I362" s="621">
        <f t="shared" si="59"/>
        <v>1</v>
      </c>
      <c r="J362" s="630"/>
      <c r="K362" s="621">
        <f t="shared" si="60"/>
        <v>1</v>
      </c>
      <c r="L362" s="630" t="str">
        <f>可抵押车位明细清单!K341</f>
        <v>标准车位</v>
      </c>
      <c r="M362" s="621">
        <f t="shared" si="61"/>
        <v>1</v>
      </c>
      <c r="N362" s="630"/>
      <c r="O362" s="621">
        <f t="shared" si="62"/>
        <v>1</v>
      </c>
      <c r="P362" s="3490" t="str">
        <f>可抵押车位明细清单!L341</f>
        <v>-2层</v>
      </c>
      <c r="Q362" s="621">
        <f t="shared" si="63"/>
        <v>0.95</v>
      </c>
      <c r="R362" s="681">
        <f t="shared" ca="1" si="64"/>
        <v>11.306800000000001</v>
      </c>
      <c r="S362" s="620">
        <f t="shared" ca="1" si="55"/>
        <v>0</v>
      </c>
    </row>
    <row r="363" spans="1:19">
      <c r="A363" s="628" t="str">
        <f>可抵押车位明细清单!D342</f>
        <v>2#地库312</v>
      </c>
      <c r="B363" s="629">
        <f>可抵押车位明细清单!H342</f>
        <v>29.26</v>
      </c>
      <c r="C363" s="621">
        <f t="shared" si="56"/>
        <v>1</v>
      </c>
      <c r="D363" s="630"/>
      <c r="E363" s="621">
        <f t="shared" si="57"/>
        <v>1</v>
      </c>
      <c r="F363" s="630"/>
      <c r="G363" s="621">
        <f t="shared" si="58"/>
        <v>1</v>
      </c>
      <c r="H363" s="630"/>
      <c r="I363" s="621">
        <f t="shared" si="59"/>
        <v>1</v>
      </c>
      <c r="J363" s="630"/>
      <c r="K363" s="621">
        <f t="shared" si="60"/>
        <v>1</v>
      </c>
      <c r="L363" s="630" t="str">
        <f>可抵押车位明细清单!K342</f>
        <v>标准车位</v>
      </c>
      <c r="M363" s="621">
        <f t="shared" si="61"/>
        <v>1</v>
      </c>
      <c r="N363" s="630"/>
      <c r="O363" s="621">
        <f t="shared" si="62"/>
        <v>1</v>
      </c>
      <c r="P363" s="3490" t="str">
        <f>可抵押车位明细清单!L342</f>
        <v>-2层</v>
      </c>
      <c r="Q363" s="621">
        <f t="shared" si="63"/>
        <v>0.95</v>
      </c>
      <c r="R363" s="681">
        <f t="shared" ca="1" si="64"/>
        <v>11.306800000000001</v>
      </c>
      <c r="S363" s="620">
        <f t="shared" ca="1" si="55"/>
        <v>0</v>
      </c>
    </row>
    <row r="364" spans="1:19">
      <c r="A364" s="628" t="str">
        <f>可抵押车位明细清单!D343</f>
        <v>2#地库313</v>
      </c>
      <c r="B364" s="629">
        <f>可抵押车位明细清单!H343</f>
        <v>29.26</v>
      </c>
      <c r="C364" s="621">
        <f t="shared" si="56"/>
        <v>1</v>
      </c>
      <c r="D364" s="630"/>
      <c r="E364" s="621">
        <f t="shared" si="57"/>
        <v>1</v>
      </c>
      <c r="F364" s="630"/>
      <c r="G364" s="621">
        <f t="shared" si="58"/>
        <v>1</v>
      </c>
      <c r="H364" s="630"/>
      <c r="I364" s="621">
        <f t="shared" si="59"/>
        <v>1</v>
      </c>
      <c r="J364" s="630"/>
      <c r="K364" s="621">
        <f t="shared" si="60"/>
        <v>1</v>
      </c>
      <c r="L364" s="630" t="str">
        <f>可抵押车位明细清单!K343</f>
        <v>标准车位</v>
      </c>
      <c r="M364" s="621">
        <f t="shared" si="61"/>
        <v>1</v>
      </c>
      <c r="N364" s="630"/>
      <c r="O364" s="621">
        <f t="shared" si="62"/>
        <v>1</v>
      </c>
      <c r="P364" s="3490" t="str">
        <f>可抵押车位明细清单!L343</f>
        <v>-2层</v>
      </c>
      <c r="Q364" s="621">
        <f t="shared" si="63"/>
        <v>0.95</v>
      </c>
      <c r="R364" s="681">
        <f t="shared" ca="1" si="64"/>
        <v>11.306800000000001</v>
      </c>
      <c r="S364" s="620">
        <f t="shared" ca="1" si="55"/>
        <v>0</v>
      </c>
    </row>
    <row r="365" spans="1:19">
      <c r="A365" s="628" t="str">
        <f>可抵押车位明细清单!D344</f>
        <v>2#地库314</v>
      </c>
      <c r="B365" s="629">
        <f>可抵押车位明细清单!H344</f>
        <v>28.31</v>
      </c>
      <c r="C365" s="621">
        <f t="shared" si="56"/>
        <v>1</v>
      </c>
      <c r="D365" s="630"/>
      <c r="E365" s="621">
        <f t="shared" si="57"/>
        <v>1</v>
      </c>
      <c r="F365" s="630"/>
      <c r="G365" s="621">
        <f t="shared" si="58"/>
        <v>1</v>
      </c>
      <c r="H365" s="630"/>
      <c r="I365" s="621">
        <f t="shared" si="59"/>
        <v>1</v>
      </c>
      <c r="J365" s="630"/>
      <c r="K365" s="621">
        <f t="shared" si="60"/>
        <v>1</v>
      </c>
      <c r="L365" s="630" t="str">
        <f>可抵押车位明细清单!K344</f>
        <v>标准车位</v>
      </c>
      <c r="M365" s="621">
        <f t="shared" si="61"/>
        <v>1</v>
      </c>
      <c r="N365" s="630"/>
      <c r="O365" s="621">
        <f t="shared" si="62"/>
        <v>1</v>
      </c>
      <c r="P365" s="3490" t="str">
        <f>可抵押车位明细清单!L344</f>
        <v>-2层</v>
      </c>
      <c r="Q365" s="621">
        <f t="shared" si="63"/>
        <v>0.95</v>
      </c>
      <c r="R365" s="681">
        <f t="shared" ca="1" si="64"/>
        <v>11.306800000000001</v>
      </c>
      <c r="S365" s="620">
        <f t="shared" ca="1" si="55"/>
        <v>0</v>
      </c>
    </row>
    <row r="366" spans="1:19">
      <c r="A366" s="628" t="str">
        <f>可抵押车位明细清单!D345</f>
        <v>2#地库315</v>
      </c>
      <c r="B366" s="629">
        <f>可抵押车位明细清单!H345</f>
        <v>29.26</v>
      </c>
      <c r="C366" s="621">
        <f t="shared" si="56"/>
        <v>1</v>
      </c>
      <c r="D366" s="630"/>
      <c r="E366" s="621">
        <f t="shared" si="57"/>
        <v>1</v>
      </c>
      <c r="F366" s="630"/>
      <c r="G366" s="621">
        <f t="shared" si="58"/>
        <v>1</v>
      </c>
      <c r="H366" s="630"/>
      <c r="I366" s="621">
        <f t="shared" si="59"/>
        <v>1</v>
      </c>
      <c r="J366" s="630"/>
      <c r="K366" s="621">
        <f t="shared" si="60"/>
        <v>1</v>
      </c>
      <c r="L366" s="630" t="str">
        <f>可抵押车位明细清单!K345</f>
        <v>标准车位</v>
      </c>
      <c r="M366" s="621">
        <f t="shared" si="61"/>
        <v>1</v>
      </c>
      <c r="N366" s="630"/>
      <c r="O366" s="621">
        <f t="shared" si="62"/>
        <v>1</v>
      </c>
      <c r="P366" s="3490" t="str">
        <f>可抵押车位明细清单!L345</f>
        <v>-2层</v>
      </c>
      <c r="Q366" s="621">
        <f t="shared" si="63"/>
        <v>0.95</v>
      </c>
      <c r="R366" s="681">
        <f t="shared" ca="1" si="64"/>
        <v>11.306800000000001</v>
      </c>
      <c r="S366" s="620">
        <f t="shared" ca="1" si="55"/>
        <v>0</v>
      </c>
    </row>
    <row r="367" spans="1:19">
      <c r="A367" s="628" t="str">
        <f>可抵押车位明细清单!D346</f>
        <v>2#地库316</v>
      </c>
      <c r="B367" s="629">
        <f>可抵押车位明细清单!H346</f>
        <v>29.26</v>
      </c>
      <c r="C367" s="621">
        <f t="shared" si="56"/>
        <v>1</v>
      </c>
      <c r="D367" s="630"/>
      <c r="E367" s="621">
        <f t="shared" si="57"/>
        <v>1</v>
      </c>
      <c r="F367" s="630"/>
      <c r="G367" s="621">
        <f t="shared" si="58"/>
        <v>1</v>
      </c>
      <c r="H367" s="630"/>
      <c r="I367" s="621">
        <f t="shared" si="59"/>
        <v>1</v>
      </c>
      <c r="J367" s="630"/>
      <c r="K367" s="621">
        <f t="shared" si="60"/>
        <v>1</v>
      </c>
      <c r="L367" s="630" t="str">
        <f>可抵押车位明细清单!K346</f>
        <v>标准车位</v>
      </c>
      <c r="M367" s="621">
        <f t="shared" si="61"/>
        <v>1</v>
      </c>
      <c r="N367" s="630"/>
      <c r="O367" s="621">
        <f t="shared" si="62"/>
        <v>1</v>
      </c>
      <c r="P367" s="3490" t="str">
        <f>可抵押车位明细清单!L346</f>
        <v>-2层</v>
      </c>
      <c r="Q367" s="621">
        <f t="shared" si="63"/>
        <v>0.95</v>
      </c>
      <c r="R367" s="681">
        <f t="shared" ca="1" si="64"/>
        <v>11.306800000000001</v>
      </c>
      <c r="S367" s="620">
        <f t="shared" ca="1" si="55"/>
        <v>0</v>
      </c>
    </row>
    <row r="368" spans="1:19">
      <c r="A368" s="628" t="str">
        <f>可抵押车位明细清单!D347</f>
        <v>2#地库317</v>
      </c>
      <c r="B368" s="629">
        <f>可抵押车位明细清单!H347</f>
        <v>28.31</v>
      </c>
      <c r="C368" s="621">
        <f t="shared" si="56"/>
        <v>1</v>
      </c>
      <c r="D368" s="630"/>
      <c r="E368" s="621">
        <f t="shared" si="57"/>
        <v>1</v>
      </c>
      <c r="F368" s="630"/>
      <c r="G368" s="621">
        <f t="shared" si="58"/>
        <v>1</v>
      </c>
      <c r="H368" s="630"/>
      <c r="I368" s="621">
        <f t="shared" si="59"/>
        <v>1</v>
      </c>
      <c r="J368" s="630"/>
      <c r="K368" s="621">
        <f t="shared" si="60"/>
        <v>1</v>
      </c>
      <c r="L368" s="630" t="str">
        <f>可抵押车位明细清单!K347</f>
        <v>标准车位</v>
      </c>
      <c r="M368" s="621">
        <f t="shared" si="61"/>
        <v>1</v>
      </c>
      <c r="N368" s="630"/>
      <c r="O368" s="621">
        <f t="shared" si="62"/>
        <v>1</v>
      </c>
      <c r="P368" s="3490" t="str">
        <f>可抵押车位明细清单!L347</f>
        <v>-2层</v>
      </c>
      <c r="Q368" s="621">
        <f t="shared" si="63"/>
        <v>0.95</v>
      </c>
      <c r="R368" s="681">
        <f t="shared" ca="1" si="64"/>
        <v>11.306800000000001</v>
      </c>
      <c r="S368" s="620">
        <f t="shared" ca="1" si="55"/>
        <v>0</v>
      </c>
    </row>
    <row r="369" spans="1:19">
      <c r="A369" s="628" t="str">
        <f>可抵押车位明细清单!D348</f>
        <v>2#地库318</v>
      </c>
      <c r="B369" s="629">
        <f>可抵押车位明细清单!H348</f>
        <v>29.26</v>
      </c>
      <c r="C369" s="621">
        <f t="shared" si="56"/>
        <v>1</v>
      </c>
      <c r="D369" s="630"/>
      <c r="E369" s="621">
        <f t="shared" si="57"/>
        <v>1</v>
      </c>
      <c r="F369" s="630"/>
      <c r="G369" s="621">
        <f t="shared" si="58"/>
        <v>1</v>
      </c>
      <c r="H369" s="630"/>
      <c r="I369" s="621">
        <f t="shared" si="59"/>
        <v>1</v>
      </c>
      <c r="J369" s="630"/>
      <c r="K369" s="621">
        <f t="shared" si="60"/>
        <v>1</v>
      </c>
      <c r="L369" s="630" t="str">
        <f>可抵押车位明细清单!K348</f>
        <v>标准车位</v>
      </c>
      <c r="M369" s="621">
        <f t="shared" si="61"/>
        <v>1</v>
      </c>
      <c r="N369" s="630"/>
      <c r="O369" s="621">
        <f t="shared" si="62"/>
        <v>1</v>
      </c>
      <c r="P369" s="3490" t="str">
        <f>可抵押车位明细清单!L348</f>
        <v>-2层</v>
      </c>
      <c r="Q369" s="621">
        <f t="shared" si="63"/>
        <v>0.95</v>
      </c>
      <c r="R369" s="681">
        <f t="shared" ca="1" si="64"/>
        <v>11.306800000000001</v>
      </c>
      <c r="S369" s="620">
        <f t="shared" ca="1" si="55"/>
        <v>0</v>
      </c>
    </row>
    <row r="370" spans="1:19">
      <c r="A370" s="628" t="str">
        <f>可抵押车位明细清单!D349</f>
        <v>2#地库319</v>
      </c>
      <c r="B370" s="629">
        <f>可抵押车位明细清单!H349</f>
        <v>29.26</v>
      </c>
      <c r="C370" s="621">
        <f t="shared" si="56"/>
        <v>1</v>
      </c>
      <c r="D370" s="630"/>
      <c r="E370" s="621">
        <f t="shared" si="57"/>
        <v>1</v>
      </c>
      <c r="F370" s="630"/>
      <c r="G370" s="621">
        <f t="shared" si="58"/>
        <v>1</v>
      </c>
      <c r="H370" s="630"/>
      <c r="I370" s="621">
        <f t="shared" si="59"/>
        <v>1</v>
      </c>
      <c r="J370" s="630"/>
      <c r="K370" s="621">
        <f t="shared" si="60"/>
        <v>1</v>
      </c>
      <c r="L370" s="630" t="str">
        <f>可抵押车位明细清单!K349</f>
        <v>标准车位</v>
      </c>
      <c r="M370" s="621">
        <f t="shared" si="61"/>
        <v>1</v>
      </c>
      <c r="N370" s="630"/>
      <c r="O370" s="621">
        <f t="shared" si="62"/>
        <v>1</v>
      </c>
      <c r="P370" s="3490" t="str">
        <f>可抵押车位明细清单!L349</f>
        <v>-2层</v>
      </c>
      <c r="Q370" s="621">
        <f t="shared" si="63"/>
        <v>0.95</v>
      </c>
      <c r="R370" s="681">
        <f t="shared" ca="1" si="64"/>
        <v>11.306800000000001</v>
      </c>
      <c r="S370" s="620">
        <f t="shared" ca="1" si="55"/>
        <v>0</v>
      </c>
    </row>
    <row r="371" spans="1:19">
      <c r="A371" s="628" t="str">
        <f>可抵押车位明细清单!D350</f>
        <v>2#地库320</v>
      </c>
      <c r="B371" s="629">
        <f>可抵押车位明细清单!H350</f>
        <v>28.31</v>
      </c>
      <c r="C371" s="621">
        <f t="shared" si="56"/>
        <v>1</v>
      </c>
      <c r="D371" s="630"/>
      <c r="E371" s="621">
        <f t="shared" si="57"/>
        <v>1</v>
      </c>
      <c r="F371" s="630"/>
      <c r="G371" s="621">
        <f t="shared" si="58"/>
        <v>1</v>
      </c>
      <c r="H371" s="630"/>
      <c r="I371" s="621">
        <f t="shared" si="59"/>
        <v>1</v>
      </c>
      <c r="J371" s="630"/>
      <c r="K371" s="621">
        <f t="shared" si="60"/>
        <v>1</v>
      </c>
      <c r="L371" s="630" t="str">
        <f>可抵押车位明细清单!K350</f>
        <v>标准车位</v>
      </c>
      <c r="M371" s="621">
        <f t="shared" si="61"/>
        <v>1</v>
      </c>
      <c r="N371" s="630"/>
      <c r="O371" s="621">
        <f t="shared" si="62"/>
        <v>1</v>
      </c>
      <c r="P371" s="3490" t="str">
        <f>可抵押车位明细清单!L350</f>
        <v>-2层</v>
      </c>
      <c r="Q371" s="621">
        <f t="shared" si="63"/>
        <v>0.95</v>
      </c>
      <c r="R371" s="681">
        <f t="shared" ca="1" si="64"/>
        <v>11.306800000000001</v>
      </c>
      <c r="S371" s="620">
        <f t="shared" ca="1" si="55"/>
        <v>0</v>
      </c>
    </row>
    <row r="372" spans="1:19">
      <c r="A372" s="628" t="str">
        <f>可抵押车位明细清单!D351</f>
        <v>2#地库321</v>
      </c>
      <c r="B372" s="629">
        <f>可抵押车位明细清单!H351</f>
        <v>29.26</v>
      </c>
      <c r="C372" s="621">
        <f t="shared" si="56"/>
        <v>1</v>
      </c>
      <c r="D372" s="630"/>
      <c r="E372" s="621">
        <f t="shared" si="57"/>
        <v>1</v>
      </c>
      <c r="F372" s="630"/>
      <c r="G372" s="621">
        <f t="shared" si="58"/>
        <v>1</v>
      </c>
      <c r="H372" s="630"/>
      <c r="I372" s="621">
        <f t="shared" si="59"/>
        <v>1</v>
      </c>
      <c r="J372" s="630"/>
      <c r="K372" s="621">
        <f t="shared" si="60"/>
        <v>1</v>
      </c>
      <c r="L372" s="630" t="str">
        <f>可抵押车位明细清单!K351</f>
        <v>标准车位</v>
      </c>
      <c r="M372" s="621">
        <f t="shared" si="61"/>
        <v>1</v>
      </c>
      <c r="N372" s="630"/>
      <c r="O372" s="621">
        <f t="shared" si="62"/>
        <v>1</v>
      </c>
      <c r="P372" s="3490" t="str">
        <f>可抵押车位明细清单!L351</f>
        <v>-2层</v>
      </c>
      <c r="Q372" s="621">
        <f t="shared" si="63"/>
        <v>0.95</v>
      </c>
      <c r="R372" s="681">
        <f t="shared" ca="1" si="64"/>
        <v>11.306800000000001</v>
      </c>
      <c r="S372" s="620">
        <f t="shared" ca="1" si="55"/>
        <v>0</v>
      </c>
    </row>
    <row r="373" spans="1:19">
      <c r="A373" s="628" t="str">
        <f>可抵押车位明细清单!D352</f>
        <v>2#地库322</v>
      </c>
      <c r="B373" s="629">
        <f>可抵押车位明细清单!H352</f>
        <v>29.26</v>
      </c>
      <c r="C373" s="621">
        <f t="shared" si="56"/>
        <v>1</v>
      </c>
      <c r="D373" s="630"/>
      <c r="E373" s="621">
        <f t="shared" si="57"/>
        <v>1</v>
      </c>
      <c r="F373" s="630"/>
      <c r="G373" s="621">
        <f t="shared" si="58"/>
        <v>1</v>
      </c>
      <c r="H373" s="630"/>
      <c r="I373" s="621">
        <f t="shared" si="59"/>
        <v>1</v>
      </c>
      <c r="J373" s="630"/>
      <c r="K373" s="621">
        <f t="shared" si="60"/>
        <v>1</v>
      </c>
      <c r="L373" s="630" t="str">
        <f>可抵押车位明细清单!K352</f>
        <v>标准车位</v>
      </c>
      <c r="M373" s="621">
        <f t="shared" si="61"/>
        <v>1</v>
      </c>
      <c r="N373" s="630"/>
      <c r="O373" s="621">
        <f t="shared" si="62"/>
        <v>1</v>
      </c>
      <c r="P373" s="3490" t="str">
        <f>可抵押车位明细清单!L352</f>
        <v>-2层</v>
      </c>
      <c r="Q373" s="621">
        <f t="shared" si="63"/>
        <v>0.95</v>
      </c>
      <c r="R373" s="681">
        <f t="shared" ca="1" si="64"/>
        <v>11.306800000000001</v>
      </c>
      <c r="S373" s="620">
        <f t="shared" ca="1" si="55"/>
        <v>0</v>
      </c>
    </row>
    <row r="374" spans="1:19">
      <c r="A374" s="628" t="str">
        <f>可抵押车位明细清单!D353</f>
        <v>2#地库323</v>
      </c>
      <c r="B374" s="629">
        <f>可抵押车位明细清单!H353</f>
        <v>28.31</v>
      </c>
      <c r="C374" s="621">
        <f t="shared" si="56"/>
        <v>1</v>
      </c>
      <c r="D374" s="630"/>
      <c r="E374" s="621">
        <f t="shared" si="57"/>
        <v>1</v>
      </c>
      <c r="F374" s="630"/>
      <c r="G374" s="621">
        <f t="shared" si="58"/>
        <v>1</v>
      </c>
      <c r="H374" s="630"/>
      <c r="I374" s="621">
        <f t="shared" si="59"/>
        <v>1</v>
      </c>
      <c r="J374" s="630"/>
      <c r="K374" s="621">
        <f t="shared" si="60"/>
        <v>1</v>
      </c>
      <c r="L374" s="630" t="str">
        <f>可抵押车位明细清单!K353</f>
        <v>标准车位</v>
      </c>
      <c r="M374" s="621">
        <f t="shared" si="61"/>
        <v>1</v>
      </c>
      <c r="N374" s="630"/>
      <c r="O374" s="621">
        <f t="shared" si="62"/>
        <v>1</v>
      </c>
      <c r="P374" s="3490" t="str">
        <f>可抵押车位明细清单!L353</f>
        <v>-2层</v>
      </c>
      <c r="Q374" s="621">
        <f t="shared" si="63"/>
        <v>0.95</v>
      </c>
      <c r="R374" s="681">
        <f t="shared" ca="1" si="64"/>
        <v>11.306800000000001</v>
      </c>
      <c r="S374" s="620">
        <f t="shared" ca="1" si="55"/>
        <v>0</v>
      </c>
    </row>
    <row r="375" spans="1:19">
      <c r="A375" s="628" t="str">
        <f>可抵押车位明细清单!D354</f>
        <v>2#地库324</v>
      </c>
      <c r="B375" s="629">
        <f>可抵押车位明细清单!H354</f>
        <v>29.26</v>
      </c>
      <c r="C375" s="621">
        <f t="shared" si="56"/>
        <v>1</v>
      </c>
      <c r="D375" s="630"/>
      <c r="E375" s="621">
        <f t="shared" si="57"/>
        <v>1</v>
      </c>
      <c r="F375" s="630"/>
      <c r="G375" s="621">
        <f t="shared" si="58"/>
        <v>1</v>
      </c>
      <c r="H375" s="630"/>
      <c r="I375" s="621">
        <f t="shared" si="59"/>
        <v>1</v>
      </c>
      <c r="J375" s="630"/>
      <c r="K375" s="621">
        <f t="shared" si="60"/>
        <v>1</v>
      </c>
      <c r="L375" s="630" t="str">
        <f>可抵押车位明细清单!K354</f>
        <v>标准车位</v>
      </c>
      <c r="M375" s="621">
        <f t="shared" si="61"/>
        <v>1</v>
      </c>
      <c r="N375" s="630"/>
      <c r="O375" s="621">
        <f t="shared" si="62"/>
        <v>1</v>
      </c>
      <c r="P375" s="3490" t="str">
        <f>可抵押车位明细清单!L354</f>
        <v>-2层</v>
      </c>
      <c r="Q375" s="621">
        <f t="shared" si="63"/>
        <v>0.95</v>
      </c>
      <c r="R375" s="681">
        <f t="shared" ca="1" si="64"/>
        <v>11.306800000000001</v>
      </c>
      <c r="S375" s="620">
        <f t="shared" ca="1" si="55"/>
        <v>0</v>
      </c>
    </row>
    <row r="376" spans="1:19">
      <c r="A376" s="628" t="str">
        <f>可抵押车位明细清单!D355</f>
        <v>2#地库325</v>
      </c>
      <c r="B376" s="629">
        <f>可抵押车位明细清单!H355</f>
        <v>29.26</v>
      </c>
      <c r="C376" s="621">
        <f t="shared" si="56"/>
        <v>1</v>
      </c>
      <c r="D376" s="630"/>
      <c r="E376" s="621">
        <f t="shared" si="57"/>
        <v>1</v>
      </c>
      <c r="F376" s="630"/>
      <c r="G376" s="621">
        <f t="shared" si="58"/>
        <v>1</v>
      </c>
      <c r="H376" s="630"/>
      <c r="I376" s="621">
        <f t="shared" si="59"/>
        <v>1</v>
      </c>
      <c r="J376" s="630"/>
      <c r="K376" s="621">
        <f t="shared" si="60"/>
        <v>1</v>
      </c>
      <c r="L376" s="630" t="str">
        <f>可抵押车位明细清单!K355</f>
        <v>标准车位</v>
      </c>
      <c r="M376" s="621">
        <f t="shared" si="61"/>
        <v>1</v>
      </c>
      <c r="N376" s="630"/>
      <c r="O376" s="621">
        <f t="shared" si="62"/>
        <v>1</v>
      </c>
      <c r="P376" s="3490" t="str">
        <f>可抵押车位明细清单!L355</f>
        <v>-2层</v>
      </c>
      <c r="Q376" s="621">
        <f t="shared" si="63"/>
        <v>0.95</v>
      </c>
      <c r="R376" s="681">
        <f t="shared" ca="1" si="64"/>
        <v>11.306800000000001</v>
      </c>
      <c r="S376" s="620">
        <f t="shared" ca="1" si="55"/>
        <v>0</v>
      </c>
    </row>
    <row r="377" spans="1:19">
      <c r="A377" s="628" t="str">
        <f>可抵押车位明细清单!D356</f>
        <v>2#地库326</v>
      </c>
      <c r="B377" s="629">
        <f>可抵押车位明细清单!H356</f>
        <v>29.26</v>
      </c>
      <c r="C377" s="621">
        <f t="shared" si="56"/>
        <v>1</v>
      </c>
      <c r="D377" s="630"/>
      <c r="E377" s="621">
        <f t="shared" si="57"/>
        <v>1</v>
      </c>
      <c r="F377" s="630"/>
      <c r="G377" s="621">
        <f t="shared" si="58"/>
        <v>1</v>
      </c>
      <c r="H377" s="630"/>
      <c r="I377" s="621">
        <f t="shared" si="59"/>
        <v>1</v>
      </c>
      <c r="J377" s="630"/>
      <c r="K377" s="621">
        <f t="shared" si="60"/>
        <v>1</v>
      </c>
      <c r="L377" s="630" t="str">
        <f>可抵押车位明细清单!K356</f>
        <v>标准车位</v>
      </c>
      <c r="M377" s="621">
        <f t="shared" si="61"/>
        <v>1</v>
      </c>
      <c r="N377" s="630"/>
      <c r="O377" s="621">
        <f t="shared" si="62"/>
        <v>1</v>
      </c>
      <c r="P377" s="3490" t="str">
        <f>可抵押车位明细清单!L356</f>
        <v>-2层</v>
      </c>
      <c r="Q377" s="621">
        <f t="shared" si="63"/>
        <v>0.95</v>
      </c>
      <c r="R377" s="681">
        <f t="shared" ca="1" si="64"/>
        <v>11.306800000000001</v>
      </c>
      <c r="S377" s="620">
        <f t="shared" ca="1" si="55"/>
        <v>0</v>
      </c>
    </row>
    <row r="378" spans="1:19">
      <c r="A378" s="628" t="str">
        <f>可抵押车位明细清单!D357</f>
        <v>2#地库327</v>
      </c>
      <c r="B378" s="629">
        <f>可抵押车位明细清单!H357</f>
        <v>29.26</v>
      </c>
      <c r="C378" s="621">
        <f t="shared" si="56"/>
        <v>1</v>
      </c>
      <c r="D378" s="630"/>
      <c r="E378" s="621">
        <f t="shared" si="57"/>
        <v>1</v>
      </c>
      <c r="F378" s="630"/>
      <c r="G378" s="621">
        <f t="shared" si="58"/>
        <v>1</v>
      </c>
      <c r="H378" s="630"/>
      <c r="I378" s="621">
        <f t="shared" si="59"/>
        <v>1</v>
      </c>
      <c r="J378" s="630"/>
      <c r="K378" s="621">
        <f t="shared" si="60"/>
        <v>1</v>
      </c>
      <c r="L378" s="630" t="str">
        <f>可抵押车位明细清单!K357</f>
        <v>标准车位</v>
      </c>
      <c r="M378" s="621">
        <f t="shared" si="61"/>
        <v>1</v>
      </c>
      <c r="N378" s="630"/>
      <c r="O378" s="621">
        <f t="shared" si="62"/>
        <v>1</v>
      </c>
      <c r="P378" s="3490" t="str">
        <f>可抵押车位明细清单!L357</f>
        <v>-2层</v>
      </c>
      <c r="Q378" s="621">
        <f t="shared" si="63"/>
        <v>0.95</v>
      </c>
      <c r="R378" s="681">
        <f t="shared" ca="1" si="64"/>
        <v>11.306800000000001</v>
      </c>
      <c r="S378" s="620">
        <f t="shared" ca="1" si="55"/>
        <v>0</v>
      </c>
    </row>
    <row r="379" spans="1:19">
      <c r="A379" s="628" t="str">
        <f>可抵押车位明细清单!D358</f>
        <v>2#地库328</v>
      </c>
      <c r="B379" s="629">
        <f>可抵押车位明细清单!H358</f>
        <v>28.31</v>
      </c>
      <c r="C379" s="621">
        <f t="shared" si="56"/>
        <v>1</v>
      </c>
      <c r="D379" s="630"/>
      <c r="E379" s="621">
        <f t="shared" si="57"/>
        <v>1</v>
      </c>
      <c r="F379" s="630"/>
      <c r="G379" s="621">
        <f t="shared" si="58"/>
        <v>1</v>
      </c>
      <c r="H379" s="630"/>
      <c r="I379" s="621">
        <f t="shared" si="59"/>
        <v>1</v>
      </c>
      <c r="J379" s="630"/>
      <c r="K379" s="621">
        <f t="shared" si="60"/>
        <v>1</v>
      </c>
      <c r="L379" s="630" t="str">
        <f>可抵押车位明细清单!K358</f>
        <v>标准车位</v>
      </c>
      <c r="M379" s="621">
        <f t="shared" si="61"/>
        <v>1</v>
      </c>
      <c r="N379" s="630"/>
      <c r="O379" s="621">
        <f t="shared" si="62"/>
        <v>1</v>
      </c>
      <c r="P379" s="3490" t="str">
        <f>可抵押车位明细清单!L358</f>
        <v>-2层</v>
      </c>
      <c r="Q379" s="621">
        <f t="shared" si="63"/>
        <v>0.95</v>
      </c>
      <c r="R379" s="681">
        <f t="shared" ca="1" si="64"/>
        <v>11.306800000000001</v>
      </c>
      <c r="S379" s="620">
        <f t="shared" ca="1" si="55"/>
        <v>0</v>
      </c>
    </row>
    <row r="380" spans="1:19">
      <c r="A380" s="628" t="str">
        <f>可抵押车位明细清单!D359</f>
        <v>2#地库329</v>
      </c>
      <c r="B380" s="629">
        <f>可抵押车位明细清单!H359</f>
        <v>29.26</v>
      </c>
      <c r="C380" s="621">
        <f t="shared" si="56"/>
        <v>1</v>
      </c>
      <c r="D380" s="630"/>
      <c r="E380" s="621">
        <f t="shared" si="57"/>
        <v>1</v>
      </c>
      <c r="F380" s="630"/>
      <c r="G380" s="621">
        <f t="shared" si="58"/>
        <v>1</v>
      </c>
      <c r="H380" s="630"/>
      <c r="I380" s="621">
        <f t="shared" si="59"/>
        <v>1</v>
      </c>
      <c r="J380" s="630"/>
      <c r="K380" s="621">
        <f t="shared" si="60"/>
        <v>1</v>
      </c>
      <c r="L380" s="630" t="str">
        <f>可抵押车位明细清单!K359</f>
        <v>标准车位</v>
      </c>
      <c r="M380" s="621">
        <f t="shared" si="61"/>
        <v>1</v>
      </c>
      <c r="N380" s="630"/>
      <c r="O380" s="621">
        <f t="shared" si="62"/>
        <v>1</v>
      </c>
      <c r="P380" s="3490" t="str">
        <f>可抵押车位明细清单!L359</f>
        <v>-2层</v>
      </c>
      <c r="Q380" s="621">
        <f t="shared" si="63"/>
        <v>0.95</v>
      </c>
      <c r="R380" s="681">
        <f t="shared" ca="1" si="64"/>
        <v>11.306800000000001</v>
      </c>
      <c r="S380" s="620">
        <f t="shared" ca="1" si="55"/>
        <v>0</v>
      </c>
    </row>
    <row r="381" spans="1:19">
      <c r="A381" s="628" t="str">
        <f>可抵押车位明细清单!D360</f>
        <v>2#地库330</v>
      </c>
      <c r="B381" s="629">
        <f>可抵押车位明细清单!H360</f>
        <v>29.26</v>
      </c>
      <c r="C381" s="621">
        <f t="shared" si="56"/>
        <v>1</v>
      </c>
      <c r="D381" s="630"/>
      <c r="E381" s="621">
        <f t="shared" si="57"/>
        <v>1</v>
      </c>
      <c r="F381" s="630"/>
      <c r="G381" s="621">
        <f t="shared" si="58"/>
        <v>1</v>
      </c>
      <c r="H381" s="630"/>
      <c r="I381" s="621">
        <f t="shared" si="59"/>
        <v>1</v>
      </c>
      <c r="J381" s="630"/>
      <c r="K381" s="621">
        <f t="shared" si="60"/>
        <v>1</v>
      </c>
      <c r="L381" s="630" t="str">
        <f>可抵押车位明细清单!K360</f>
        <v>标准车位</v>
      </c>
      <c r="M381" s="621">
        <f t="shared" si="61"/>
        <v>1</v>
      </c>
      <c r="N381" s="630"/>
      <c r="O381" s="621">
        <f t="shared" si="62"/>
        <v>1</v>
      </c>
      <c r="P381" s="3490" t="str">
        <f>可抵押车位明细清单!L360</f>
        <v>-2层</v>
      </c>
      <c r="Q381" s="621">
        <f t="shared" si="63"/>
        <v>0.95</v>
      </c>
      <c r="R381" s="681">
        <f t="shared" ca="1" si="64"/>
        <v>11.306800000000001</v>
      </c>
      <c r="S381" s="620">
        <f t="shared" ca="1" si="55"/>
        <v>0</v>
      </c>
    </row>
    <row r="382" spans="1:19">
      <c r="A382" s="628" t="str">
        <f>可抵押车位明细清单!D361</f>
        <v>2#地库331</v>
      </c>
      <c r="B382" s="629">
        <f>可抵押车位明细清单!H361</f>
        <v>28.31</v>
      </c>
      <c r="C382" s="621">
        <f t="shared" si="56"/>
        <v>1</v>
      </c>
      <c r="D382" s="630"/>
      <c r="E382" s="621">
        <f t="shared" si="57"/>
        <v>1</v>
      </c>
      <c r="F382" s="630"/>
      <c r="G382" s="621">
        <f t="shared" si="58"/>
        <v>1</v>
      </c>
      <c r="H382" s="630"/>
      <c r="I382" s="621">
        <f t="shared" si="59"/>
        <v>1</v>
      </c>
      <c r="J382" s="630"/>
      <c r="K382" s="621">
        <f t="shared" si="60"/>
        <v>1</v>
      </c>
      <c r="L382" s="630" t="str">
        <f>可抵押车位明细清单!K361</f>
        <v>标准车位</v>
      </c>
      <c r="M382" s="621">
        <f t="shared" si="61"/>
        <v>1</v>
      </c>
      <c r="N382" s="630"/>
      <c r="O382" s="621">
        <f t="shared" si="62"/>
        <v>1</v>
      </c>
      <c r="P382" s="3490" t="str">
        <f>可抵押车位明细清单!L361</f>
        <v>-2层</v>
      </c>
      <c r="Q382" s="621">
        <f t="shared" si="63"/>
        <v>0.95</v>
      </c>
      <c r="R382" s="681">
        <f t="shared" ca="1" si="64"/>
        <v>11.306800000000001</v>
      </c>
      <c r="S382" s="620">
        <f t="shared" ca="1" si="55"/>
        <v>0</v>
      </c>
    </row>
    <row r="383" spans="1:19">
      <c r="A383" s="628" t="str">
        <f>可抵押车位明细清单!D362</f>
        <v>2#地库332</v>
      </c>
      <c r="B383" s="629">
        <f>可抵押车位明细清单!H362</f>
        <v>29.26</v>
      </c>
      <c r="C383" s="621">
        <f t="shared" si="56"/>
        <v>1</v>
      </c>
      <c r="D383" s="630"/>
      <c r="E383" s="621">
        <f t="shared" si="57"/>
        <v>1</v>
      </c>
      <c r="F383" s="630"/>
      <c r="G383" s="621">
        <f t="shared" si="58"/>
        <v>1</v>
      </c>
      <c r="H383" s="630"/>
      <c r="I383" s="621">
        <f t="shared" si="59"/>
        <v>1</v>
      </c>
      <c r="J383" s="630"/>
      <c r="K383" s="621">
        <f t="shared" si="60"/>
        <v>1</v>
      </c>
      <c r="L383" s="630" t="str">
        <f>可抵押车位明细清单!K362</f>
        <v>标准车位</v>
      </c>
      <c r="M383" s="621">
        <f t="shared" si="61"/>
        <v>1</v>
      </c>
      <c r="N383" s="630"/>
      <c r="O383" s="621">
        <f t="shared" si="62"/>
        <v>1</v>
      </c>
      <c r="P383" s="3490" t="str">
        <f>可抵押车位明细清单!L362</f>
        <v>-2层</v>
      </c>
      <c r="Q383" s="621">
        <f t="shared" si="63"/>
        <v>0.95</v>
      </c>
      <c r="R383" s="681">
        <f t="shared" ca="1" si="64"/>
        <v>11.306800000000001</v>
      </c>
      <c r="S383" s="620">
        <f t="shared" ca="1" si="55"/>
        <v>0</v>
      </c>
    </row>
    <row r="384" spans="1:19">
      <c r="A384" s="628" t="str">
        <f>可抵押车位明细清单!D363</f>
        <v>2#地库333</v>
      </c>
      <c r="B384" s="629">
        <f>可抵押车位明细清单!H363</f>
        <v>29.26</v>
      </c>
      <c r="C384" s="621">
        <f t="shared" si="56"/>
        <v>1</v>
      </c>
      <c r="D384" s="630"/>
      <c r="E384" s="621">
        <f t="shared" si="57"/>
        <v>1</v>
      </c>
      <c r="F384" s="630"/>
      <c r="G384" s="621">
        <f t="shared" si="58"/>
        <v>1</v>
      </c>
      <c r="H384" s="630"/>
      <c r="I384" s="621">
        <f t="shared" si="59"/>
        <v>1</v>
      </c>
      <c r="J384" s="630"/>
      <c r="K384" s="621">
        <f t="shared" si="60"/>
        <v>1</v>
      </c>
      <c r="L384" s="630" t="str">
        <f>可抵押车位明细清单!K363</f>
        <v>标准车位</v>
      </c>
      <c r="M384" s="621">
        <f t="shared" si="61"/>
        <v>1</v>
      </c>
      <c r="N384" s="630"/>
      <c r="O384" s="621">
        <f t="shared" si="62"/>
        <v>1</v>
      </c>
      <c r="P384" s="3490" t="str">
        <f>可抵押车位明细清单!L363</f>
        <v>-2层</v>
      </c>
      <c r="Q384" s="621">
        <f t="shared" si="63"/>
        <v>0.95</v>
      </c>
      <c r="R384" s="681">
        <f t="shared" ca="1" si="64"/>
        <v>11.306800000000001</v>
      </c>
      <c r="S384" s="620">
        <f t="shared" ca="1" si="55"/>
        <v>0</v>
      </c>
    </row>
    <row r="385" spans="1:19">
      <c r="A385" s="628" t="str">
        <f>可抵押车位明细清单!D364</f>
        <v>2#地库334</v>
      </c>
      <c r="B385" s="629">
        <f>可抵押车位明细清单!H364</f>
        <v>28.31</v>
      </c>
      <c r="C385" s="621">
        <f t="shared" si="56"/>
        <v>1</v>
      </c>
      <c r="D385" s="630"/>
      <c r="E385" s="621">
        <f t="shared" si="57"/>
        <v>1</v>
      </c>
      <c r="F385" s="630"/>
      <c r="G385" s="621">
        <f t="shared" si="58"/>
        <v>1</v>
      </c>
      <c r="H385" s="630"/>
      <c r="I385" s="621">
        <f t="shared" si="59"/>
        <v>1</v>
      </c>
      <c r="J385" s="630"/>
      <c r="K385" s="621">
        <f t="shared" si="60"/>
        <v>1</v>
      </c>
      <c r="L385" s="630" t="str">
        <f>可抵押车位明细清单!K364</f>
        <v>标准车位</v>
      </c>
      <c r="M385" s="621">
        <f t="shared" si="61"/>
        <v>1</v>
      </c>
      <c r="N385" s="630"/>
      <c r="O385" s="621">
        <f t="shared" si="62"/>
        <v>1</v>
      </c>
      <c r="P385" s="3490" t="str">
        <f>可抵押车位明细清单!L364</f>
        <v>-2层</v>
      </c>
      <c r="Q385" s="621">
        <f t="shared" si="63"/>
        <v>0.95</v>
      </c>
      <c r="R385" s="681">
        <f t="shared" ca="1" si="64"/>
        <v>11.306800000000001</v>
      </c>
      <c r="S385" s="620">
        <f t="shared" ca="1" si="55"/>
        <v>0</v>
      </c>
    </row>
    <row r="386" spans="1:19">
      <c r="A386" s="628" t="str">
        <f>可抵押车位明细清单!D365</f>
        <v>2#地库335</v>
      </c>
      <c r="B386" s="629">
        <f>可抵押车位明细清单!H365</f>
        <v>29.26</v>
      </c>
      <c r="C386" s="621">
        <f t="shared" si="56"/>
        <v>1</v>
      </c>
      <c r="D386" s="630"/>
      <c r="E386" s="621">
        <f t="shared" si="57"/>
        <v>1</v>
      </c>
      <c r="F386" s="630"/>
      <c r="G386" s="621">
        <f t="shared" si="58"/>
        <v>1</v>
      </c>
      <c r="H386" s="630"/>
      <c r="I386" s="621">
        <f t="shared" si="59"/>
        <v>1</v>
      </c>
      <c r="J386" s="630"/>
      <c r="K386" s="621">
        <f t="shared" si="60"/>
        <v>1</v>
      </c>
      <c r="L386" s="630" t="str">
        <f>可抵押车位明细清单!K365</f>
        <v>标准车位</v>
      </c>
      <c r="M386" s="621">
        <f t="shared" si="61"/>
        <v>1</v>
      </c>
      <c r="N386" s="630"/>
      <c r="O386" s="621">
        <f t="shared" si="62"/>
        <v>1</v>
      </c>
      <c r="P386" s="3490" t="str">
        <f>可抵押车位明细清单!L365</f>
        <v>-2层</v>
      </c>
      <c r="Q386" s="621">
        <f t="shared" si="63"/>
        <v>0.95</v>
      </c>
      <c r="R386" s="681">
        <f t="shared" ca="1" si="64"/>
        <v>11.306800000000001</v>
      </c>
      <c r="S386" s="620">
        <f t="shared" ca="1" si="55"/>
        <v>0</v>
      </c>
    </row>
    <row r="387" spans="1:19">
      <c r="A387" s="628" t="str">
        <f>可抵押车位明细清单!D366</f>
        <v>2#地库336</v>
      </c>
      <c r="B387" s="629">
        <f>可抵押车位明细清单!H366</f>
        <v>29.26</v>
      </c>
      <c r="C387" s="621">
        <f t="shared" si="56"/>
        <v>1</v>
      </c>
      <c r="D387" s="630"/>
      <c r="E387" s="621">
        <f t="shared" si="57"/>
        <v>1</v>
      </c>
      <c r="F387" s="630"/>
      <c r="G387" s="621">
        <f t="shared" si="58"/>
        <v>1</v>
      </c>
      <c r="H387" s="630"/>
      <c r="I387" s="621">
        <f t="shared" si="59"/>
        <v>1</v>
      </c>
      <c r="J387" s="630"/>
      <c r="K387" s="621">
        <f t="shared" si="60"/>
        <v>1</v>
      </c>
      <c r="L387" s="630" t="str">
        <f>可抵押车位明细清单!K366</f>
        <v>标准车位</v>
      </c>
      <c r="M387" s="621">
        <f t="shared" si="61"/>
        <v>1</v>
      </c>
      <c r="N387" s="630"/>
      <c r="O387" s="621">
        <f t="shared" si="62"/>
        <v>1</v>
      </c>
      <c r="P387" s="3490" t="str">
        <f>可抵押车位明细清单!L366</f>
        <v>-2层</v>
      </c>
      <c r="Q387" s="621">
        <f t="shared" si="63"/>
        <v>0.95</v>
      </c>
      <c r="R387" s="681">
        <f t="shared" ca="1" si="64"/>
        <v>11.306800000000001</v>
      </c>
      <c r="S387" s="620">
        <f t="shared" ca="1" si="55"/>
        <v>0</v>
      </c>
    </row>
    <row r="388" spans="1:19">
      <c r="A388" s="628" t="str">
        <f>可抵押车位明细清单!D367</f>
        <v>2#地库337</v>
      </c>
      <c r="B388" s="629">
        <f>可抵押车位明细清单!H367</f>
        <v>28.31</v>
      </c>
      <c r="C388" s="621">
        <f t="shared" si="56"/>
        <v>1</v>
      </c>
      <c r="D388" s="630"/>
      <c r="E388" s="621">
        <f t="shared" si="57"/>
        <v>1</v>
      </c>
      <c r="F388" s="630"/>
      <c r="G388" s="621">
        <f t="shared" si="58"/>
        <v>1</v>
      </c>
      <c r="H388" s="630"/>
      <c r="I388" s="621">
        <f t="shared" si="59"/>
        <v>1</v>
      </c>
      <c r="J388" s="630"/>
      <c r="K388" s="621">
        <f t="shared" si="60"/>
        <v>1</v>
      </c>
      <c r="L388" s="630" t="str">
        <f>可抵押车位明细清单!K367</f>
        <v>标准车位</v>
      </c>
      <c r="M388" s="621">
        <f t="shared" si="61"/>
        <v>1</v>
      </c>
      <c r="N388" s="630"/>
      <c r="O388" s="621">
        <f t="shared" si="62"/>
        <v>1</v>
      </c>
      <c r="P388" s="3490" t="str">
        <f>可抵押车位明细清单!L367</f>
        <v>-2层</v>
      </c>
      <c r="Q388" s="621">
        <f t="shared" si="63"/>
        <v>0.95</v>
      </c>
      <c r="R388" s="681">
        <f t="shared" ca="1" si="64"/>
        <v>11.306800000000001</v>
      </c>
      <c r="S388" s="620">
        <f t="shared" ca="1" si="55"/>
        <v>0</v>
      </c>
    </row>
    <row r="389" spans="1:19">
      <c r="A389" s="628" t="str">
        <f>可抵押车位明细清单!D368</f>
        <v>2#地库338</v>
      </c>
      <c r="B389" s="629">
        <f>可抵押车位明细清单!H368</f>
        <v>29.26</v>
      </c>
      <c r="C389" s="621">
        <f t="shared" si="56"/>
        <v>1</v>
      </c>
      <c r="D389" s="630"/>
      <c r="E389" s="621">
        <f t="shared" si="57"/>
        <v>1</v>
      </c>
      <c r="F389" s="630"/>
      <c r="G389" s="621">
        <f t="shared" si="58"/>
        <v>1</v>
      </c>
      <c r="H389" s="630"/>
      <c r="I389" s="621">
        <f t="shared" si="59"/>
        <v>1</v>
      </c>
      <c r="J389" s="630"/>
      <c r="K389" s="621">
        <f t="shared" si="60"/>
        <v>1</v>
      </c>
      <c r="L389" s="630" t="str">
        <f>可抵押车位明细清单!K368</f>
        <v>标准车位</v>
      </c>
      <c r="M389" s="621">
        <f t="shared" si="61"/>
        <v>1</v>
      </c>
      <c r="N389" s="630"/>
      <c r="O389" s="621">
        <f t="shared" si="62"/>
        <v>1</v>
      </c>
      <c r="P389" s="3490" t="str">
        <f>可抵押车位明细清单!L368</f>
        <v>-2层</v>
      </c>
      <c r="Q389" s="621">
        <f t="shared" si="63"/>
        <v>0.95</v>
      </c>
      <c r="R389" s="681">
        <f t="shared" ca="1" si="64"/>
        <v>11.306800000000001</v>
      </c>
      <c r="S389" s="620">
        <f t="shared" ca="1" si="55"/>
        <v>0</v>
      </c>
    </row>
    <row r="390" spans="1:19">
      <c r="A390" s="628" t="str">
        <f>可抵押车位明细清单!D369</f>
        <v>2#地库339</v>
      </c>
      <c r="B390" s="629">
        <f>可抵押车位明细清单!H369</f>
        <v>29.26</v>
      </c>
      <c r="C390" s="621">
        <f t="shared" si="56"/>
        <v>1</v>
      </c>
      <c r="D390" s="630"/>
      <c r="E390" s="621">
        <f t="shared" si="57"/>
        <v>1</v>
      </c>
      <c r="F390" s="630"/>
      <c r="G390" s="621">
        <f t="shared" si="58"/>
        <v>1</v>
      </c>
      <c r="H390" s="630"/>
      <c r="I390" s="621">
        <f t="shared" si="59"/>
        <v>1</v>
      </c>
      <c r="J390" s="630"/>
      <c r="K390" s="621">
        <f t="shared" si="60"/>
        <v>1</v>
      </c>
      <c r="L390" s="630" t="str">
        <f>可抵押车位明细清单!K369</f>
        <v>标准车位</v>
      </c>
      <c r="M390" s="621">
        <f t="shared" si="61"/>
        <v>1</v>
      </c>
      <c r="N390" s="630"/>
      <c r="O390" s="621">
        <f t="shared" si="62"/>
        <v>1</v>
      </c>
      <c r="P390" s="3490" t="str">
        <f>可抵押车位明细清单!L369</f>
        <v>-2层</v>
      </c>
      <c r="Q390" s="621">
        <f t="shared" si="63"/>
        <v>0.95</v>
      </c>
      <c r="R390" s="681">
        <f t="shared" ca="1" si="64"/>
        <v>11.306800000000001</v>
      </c>
      <c r="S390" s="620">
        <f t="shared" ca="1" si="55"/>
        <v>0</v>
      </c>
    </row>
    <row r="391" spans="1:19">
      <c r="A391" s="628" t="str">
        <f>可抵押车位明细清单!D370</f>
        <v>2#地库340</v>
      </c>
      <c r="B391" s="629">
        <f>可抵押车位明细清单!H370</f>
        <v>28.31</v>
      </c>
      <c r="C391" s="621">
        <f t="shared" si="56"/>
        <v>1</v>
      </c>
      <c r="D391" s="630"/>
      <c r="E391" s="621">
        <f t="shared" si="57"/>
        <v>1</v>
      </c>
      <c r="F391" s="630"/>
      <c r="G391" s="621">
        <f t="shared" si="58"/>
        <v>1</v>
      </c>
      <c r="H391" s="630"/>
      <c r="I391" s="621">
        <f t="shared" si="59"/>
        <v>1</v>
      </c>
      <c r="J391" s="630"/>
      <c r="K391" s="621">
        <f t="shared" si="60"/>
        <v>1</v>
      </c>
      <c r="L391" s="630" t="str">
        <f>可抵押车位明细清单!K370</f>
        <v>标准车位</v>
      </c>
      <c r="M391" s="621">
        <f t="shared" si="61"/>
        <v>1</v>
      </c>
      <c r="N391" s="630"/>
      <c r="O391" s="621">
        <f t="shared" si="62"/>
        <v>1</v>
      </c>
      <c r="P391" s="3490" t="str">
        <f>可抵押车位明细清单!L370</f>
        <v>-2层</v>
      </c>
      <c r="Q391" s="621">
        <f t="shared" si="63"/>
        <v>0.95</v>
      </c>
      <c r="R391" s="681">
        <f t="shared" ca="1" si="64"/>
        <v>11.306800000000001</v>
      </c>
      <c r="S391" s="620">
        <f t="shared" ca="1" si="55"/>
        <v>0</v>
      </c>
    </row>
    <row r="392" spans="1:19">
      <c r="A392" s="628" t="str">
        <f>可抵押车位明细清单!D371</f>
        <v>2#地库341</v>
      </c>
      <c r="B392" s="629">
        <f>可抵押车位明细清单!H371</f>
        <v>29.26</v>
      </c>
      <c r="C392" s="621">
        <f t="shared" si="56"/>
        <v>1</v>
      </c>
      <c r="D392" s="630"/>
      <c r="E392" s="621">
        <f t="shared" si="57"/>
        <v>1</v>
      </c>
      <c r="F392" s="630"/>
      <c r="G392" s="621">
        <f t="shared" si="58"/>
        <v>1</v>
      </c>
      <c r="H392" s="630"/>
      <c r="I392" s="621">
        <f t="shared" si="59"/>
        <v>1</v>
      </c>
      <c r="J392" s="630"/>
      <c r="K392" s="621">
        <f t="shared" si="60"/>
        <v>1</v>
      </c>
      <c r="L392" s="630" t="str">
        <f>可抵押车位明细清单!K371</f>
        <v>标准车位</v>
      </c>
      <c r="M392" s="621">
        <f t="shared" si="61"/>
        <v>1</v>
      </c>
      <c r="N392" s="630"/>
      <c r="O392" s="621">
        <f t="shared" si="62"/>
        <v>1</v>
      </c>
      <c r="P392" s="3490" t="str">
        <f>可抵押车位明细清单!L371</f>
        <v>-2层</v>
      </c>
      <c r="Q392" s="621">
        <f t="shared" si="63"/>
        <v>0.95</v>
      </c>
      <c r="R392" s="681">
        <f t="shared" ca="1" si="64"/>
        <v>11.306800000000001</v>
      </c>
      <c r="S392" s="620">
        <f t="shared" ca="1" si="55"/>
        <v>0</v>
      </c>
    </row>
    <row r="393" spans="1:19">
      <c r="A393" s="628" t="str">
        <f>可抵押车位明细清单!D372</f>
        <v>2#地库342</v>
      </c>
      <c r="B393" s="629">
        <f>可抵押车位明细清单!H372</f>
        <v>30.72</v>
      </c>
      <c r="C393" s="621">
        <f t="shared" si="56"/>
        <v>1</v>
      </c>
      <c r="D393" s="630"/>
      <c r="E393" s="621">
        <f t="shared" si="57"/>
        <v>1</v>
      </c>
      <c r="F393" s="630"/>
      <c r="G393" s="621">
        <f t="shared" si="58"/>
        <v>1</v>
      </c>
      <c r="H393" s="630"/>
      <c r="I393" s="621">
        <f t="shared" si="59"/>
        <v>1</v>
      </c>
      <c r="J393" s="630"/>
      <c r="K393" s="621">
        <f t="shared" si="60"/>
        <v>1</v>
      </c>
      <c r="L393" s="630" t="str">
        <f>可抵押车位明细清单!K372</f>
        <v>标准车位</v>
      </c>
      <c r="M393" s="621">
        <f t="shared" si="61"/>
        <v>1</v>
      </c>
      <c r="N393" s="630"/>
      <c r="O393" s="621">
        <f t="shared" si="62"/>
        <v>1</v>
      </c>
      <c r="P393" s="3490" t="str">
        <f>可抵押车位明细清单!L372</f>
        <v>-2层</v>
      </c>
      <c r="Q393" s="621">
        <f t="shared" si="63"/>
        <v>0.95</v>
      </c>
      <c r="R393" s="681">
        <f t="shared" ca="1" si="64"/>
        <v>11.306800000000001</v>
      </c>
      <c r="S393" s="620">
        <f t="shared" ca="1" si="55"/>
        <v>0</v>
      </c>
    </row>
    <row r="394" spans="1:19">
      <c r="A394" s="628" t="str">
        <f>可抵押车位明细清单!D373</f>
        <v>2#地库343</v>
      </c>
      <c r="B394" s="629">
        <f>可抵押车位明细清单!H373</f>
        <v>29.26</v>
      </c>
      <c r="C394" s="621">
        <f t="shared" si="56"/>
        <v>1</v>
      </c>
      <c r="D394" s="630"/>
      <c r="E394" s="621">
        <f t="shared" si="57"/>
        <v>1</v>
      </c>
      <c r="F394" s="630"/>
      <c r="G394" s="621">
        <f t="shared" si="58"/>
        <v>1</v>
      </c>
      <c r="H394" s="630"/>
      <c r="I394" s="621">
        <f t="shared" si="59"/>
        <v>1</v>
      </c>
      <c r="J394" s="630"/>
      <c r="K394" s="621">
        <f t="shared" si="60"/>
        <v>1</v>
      </c>
      <c r="L394" s="630" t="str">
        <f>可抵押车位明细清单!K373</f>
        <v>标准车位</v>
      </c>
      <c r="M394" s="621">
        <f t="shared" si="61"/>
        <v>1</v>
      </c>
      <c r="N394" s="630"/>
      <c r="O394" s="621">
        <f t="shared" si="62"/>
        <v>1</v>
      </c>
      <c r="P394" s="3490" t="str">
        <f>可抵押车位明细清单!L373</f>
        <v>-2层</v>
      </c>
      <c r="Q394" s="621">
        <f t="shared" si="63"/>
        <v>0.95</v>
      </c>
      <c r="R394" s="681">
        <f t="shared" ca="1" si="64"/>
        <v>11.306800000000001</v>
      </c>
      <c r="S394" s="620">
        <f t="shared" ca="1" si="55"/>
        <v>0</v>
      </c>
    </row>
    <row r="395" spans="1:19">
      <c r="A395" s="628" t="str">
        <f>可抵押车位明细清单!D374</f>
        <v>2#地库344</v>
      </c>
      <c r="B395" s="629">
        <f>可抵押车位明细清单!H374</f>
        <v>29.26</v>
      </c>
      <c r="C395" s="621">
        <f t="shared" si="56"/>
        <v>1</v>
      </c>
      <c r="D395" s="630"/>
      <c r="E395" s="621">
        <f t="shared" si="57"/>
        <v>1</v>
      </c>
      <c r="F395" s="630"/>
      <c r="G395" s="621">
        <f t="shared" si="58"/>
        <v>1</v>
      </c>
      <c r="H395" s="630"/>
      <c r="I395" s="621">
        <f t="shared" si="59"/>
        <v>1</v>
      </c>
      <c r="J395" s="630"/>
      <c r="K395" s="621">
        <f t="shared" si="60"/>
        <v>1</v>
      </c>
      <c r="L395" s="630" t="str">
        <f>可抵押车位明细清单!K374</f>
        <v>标准车位</v>
      </c>
      <c r="M395" s="621">
        <f t="shared" si="61"/>
        <v>1</v>
      </c>
      <c r="N395" s="630"/>
      <c r="O395" s="621">
        <f t="shared" si="62"/>
        <v>1</v>
      </c>
      <c r="P395" s="3490" t="str">
        <f>可抵押车位明细清单!L374</f>
        <v>-2层</v>
      </c>
      <c r="Q395" s="621">
        <f t="shared" si="63"/>
        <v>0.95</v>
      </c>
      <c r="R395" s="681">
        <f t="shared" ca="1" si="64"/>
        <v>11.306800000000001</v>
      </c>
      <c r="S395" s="620">
        <f t="shared" ca="1" si="55"/>
        <v>0</v>
      </c>
    </row>
    <row r="396" spans="1:19">
      <c r="A396" s="628" t="str">
        <f>可抵押车位明细清单!D375</f>
        <v>2#地库345</v>
      </c>
      <c r="B396" s="629">
        <f>可抵押车位明细清单!H375</f>
        <v>28.31</v>
      </c>
      <c r="C396" s="621">
        <f t="shared" si="56"/>
        <v>1</v>
      </c>
      <c r="D396" s="630"/>
      <c r="E396" s="621">
        <f t="shared" si="57"/>
        <v>1</v>
      </c>
      <c r="F396" s="630"/>
      <c r="G396" s="621">
        <f t="shared" si="58"/>
        <v>1</v>
      </c>
      <c r="H396" s="630"/>
      <c r="I396" s="621">
        <f t="shared" si="59"/>
        <v>1</v>
      </c>
      <c r="J396" s="630"/>
      <c r="K396" s="621">
        <f t="shared" si="60"/>
        <v>1</v>
      </c>
      <c r="L396" s="630" t="str">
        <f>可抵押车位明细清单!K375</f>
        <v>标准车位</v>
      </c>
      <c r="M396" s="621">
        <f t="shared" si="61"/>
        <v>1</v>
      </c>
      <c r="N396" s="630"/>
      <c r="O396" s="621">
        <f t="shared" si="62"/>
        <v>1</v>
      </c>
      <c r="P396" s="3490" t="str">
        <f>可抵押车位明细清单!L375</f>
        <v>-2层</v>
      </c>
      <c r="Q396" s="621">
        <f t="shared" si="63"/>
        <v>0.95</v>
      </c>
      <c r="R396" s="681">
        <f t="shared" ca="1" si="64"/>
        <v>11.306800000000001</v>
      </c>
      <c r="S396" s="620">
        <f t="shared" ca="1" si="55"/>
        <v>0</v>
      </c>
    </row>
    <row r="397" spans="1:19">
      <c r="A397" s="628" t="str">
        <f>可抵押车位明细清单!D376</f>
        <v>2#地库346</v>
      </c>
      <c r="B397" s="629">
        <f>可抵押车位明细清单!H376</f>
        <v>29.26</v>
      </c>
      <c r="C397" s="621">
        <f t="shared" si="56"/>
        <v>1</v>
      </c>
      <c r="D397" s="630"/>
      <c r="E397" s="621">
        <f t="shared" si="57"/>
        <v>1</v>
      </c>
      <c r="F397" s="630"/>
      <c r="G397" s="621">
        <f t="shared" si="58"/>
        <v>1</v>
      </c>
      <c r="H397" s="630"/>
      <c r="I397" s="621">
        <f t="shared" si="59"/>
        <v>1</v>
      </c>
      <c r="J397" s="630"/>
      <c r="K397" s="621">
        <f t="shared" si="60"/>
        <v>1</v>
      </c>
      <c r="L397" s="630" t="str">
        <f>可抵押车位明细清单!K376</f>
        <v>标准车位</v>
      </c>
      <c r="M397" s="621">
        <f t="shared" si="61"/>
        <v>1</v>
      </c>
      <c r="N397" s="630"/>
      <c r="O397" s="621">
        <f t="shared" si="62"/>
        <v>1</v>
      </c>
      <c r="P397" s="3490" t="str">
        <f>可抵押车位明细清单!L376</f>
        <v>-2层</v>
      </c>
      <c r="Q397" s="621">
        <f t="shared" si="63"/>
        <v>0.95</v>
      </c>
      <c r="R397" s="681">
        <f t="shared" ca="1" si="64"/>
        <v>11.306800000000001</v>
      </c>
      <c r="S397" s="620">
        <f t="shared" ca="1" si="55"/>
        <v>0</v>
      </c>
    </row>
    <row r="398" spans="1:19">
      <c r="A398" s="628" t="str">
        <f>可抵押车位明细清单!D377</f>
        <v>2#地库347</v>
      </c>
      <c r="B398" s="629">
        <f>可抵押车位明细清单!H377</f>
        <v>30.1</v>
      </c>
      <c r="C398" s="621">
        <f t="shared" si="56"/>
        <v>1</v>
      </c>
      <c r="D398" s="630"/>
      <c r="E398" s="621">
        <f t="shared" si="57"/>
        <v>1</v>
      </c>
      <c r="F398" s="630"/>
      <c r="G398" s="621">
        <f t="shared" si="58"/>
        <v>1</v>
      </c>
      <c r="H398" s="630"/>
      <c r="I398" s="621">
        <f t="shared" si="59"/>
        <v>1</v>
      </c>
      <c r="J398" s="630"/>
      <c r="K398" s="621">
        <f t="shared" si="60"/>
        <v>1</v>
      </c>
      <c r="L398" s="630" t="str">
        <f>可抵押车位明细清单!K377</f>
        <v>标准车位</v>
      </c>
      <c r="M398" s="621">
        <f t="shared" si="61"/>
        <v>1</v>
      </c>
      <c r="N398" s="630"/>
      <c r="O398" s="621">
        <f t="shared" si="62"/>
        <v>1</v>
      </c>
      <c r="P398" s="3490" t="str">
        <f>可抵押车位明细清单!L377</f>
        <v>-2层</v>
      </c>
      <c r="Q398" s="621">
        <f t="shared" si="63"/>
        <v>0.95</v>
      </c>
      <c r="R398" s="681">
        <f t="shared" ca="1" si="64"/>
        <v>11.306800000000001</v>
      </c>
      <c r="S398" s="620">
        <f t="shared" ca="1" si="55"/>
        <v>0</v>
      </c>
    </row>
    <row r="399" spans="1:19">
      <c r="A399" s="628" t="str">
        <f>可抵押车位明细清单!D378</f>
        <v>2#地库348</v>
      </c>
      <c r="B399" s="629">
        <f>可抵押车位明细清单!H378</f>
        <v>28.31</v>
      </c>
      <c r="C399" s="621">
        <f t="shared" si="56"/>
        <v>1</v>
      </c>
      <c r="D399" s="630"/>
      <c r="E399" s="621">
        <f t="shared" si="57"/>
        <v>1</v>
      </c>
      <c r="F399" s="630"/>
      <c r="G399" s="621">
        <f t="shared" si="58"/>
        <v>1</v>
      </c>
      <c r="H399" s="630"/>
      <c r="I399" s="621">
        <f t="shared" si="59"/>
        <v>1</v>
      </c>
      <c r="J399" s="630"/>
      <c r="K399" s="621">
        <f t="shared" si="60"/>
        <v>1</v>
      </c>
      <c r="L399" s="630" t="str">
        <f>可抵押车位明细清单!K378</f>
        <v>标准车位</v>
      </c>
      <c r="M399" s="621">
        <f t="shared" si="61"/>
        <v>1</v>
      </c>
      <c r="N399" s="630"/>
      <c r="O399" s="621">
        <f t="shared" si="62"/>
        <v>1</v>
      </c>
      <c r="P399" s="3490" t="str">
        <f>可抵押车位明细清单!L378</f>
        <v>-2层</v>
      </c>
      <c r="Q399" s="621">
        <f t="shared" si="63"/>
        <v>0.95</v>
      </c>
      <c r="R399" s="681">
        <f t="shared" ca="1" si="64"/>
        <v>11.306800000000001</v>
      </c>
      <c r="S399" s="620">
        <f t="shared" ca="1" si="55"/>
        <v>0</v>
      </c>
    </row>
    <row r="400" spans="1:19">
      <c r="A400" s="628" t="str">
        <f>可抵押车位明细清单!D379</f>
        <v>2#地库349</v>
      </c>
      <c r="B400" s="629">
        <f>可抵押车位明细清单!H379</f>
        <v>29.26</v>
      </c>
      <c r="C400" s="621">
        <f t="shared" si="56"/>
        <v>1</v>
      </c>
      <c r="D400" s="630"/>
      <c r="E400" s="621">
        <f t="shared" si="57"/>
        <v>1</v>
      </c>
      <c r="F400" s="630"/>
      <c r="G400" s="621">
        <f t="shared" si="58"/>
        <v>1</v>
      </c>
      <c r="H400" s="630"/>
      <c r="I400" s="621">
        <f t="shared" si="59"/>
        <v>1</v>
      </c>
      <c r="J400" s="630"/>
      <c r="K400" s="621">
        <f t="shared" si="60"/>
        <v>1</v>
      </c>
      <c r="L400" s="630" t="str">
        <f>可抵押车位明细清单!K379</f>
        <v>标准车位</v>
      </c>
      <c r="M400" s="621">
        <f t="shared" si="61"/>
        <v>1</v>
      </c>
      <c r="N400" s="630"/>
      <c r="O400" s="621">
        <f t="shared" si="62"/>
        <v>1</v>
      </c>
      <c r="P400" s="3490" t="str">
        <f>可抵押车位明细清单!L379</f>
        <v>-2层</v>
      </c>
      <c r="Q400" s="621">
        <f t="shared" si="63"/>
        <v>0.95</v>
      </c>
      <c r="R400" s="681">
        <f t="shared" ca="1" si="64"/>
        <v>11.306800000000001</v>
      </c>
      <c r="S400" s="620">
        <f t="shared" ca="1" si="55"/>
        <v>0</v>
      </c>
    </row>
    <row r="401" spans="1:19">
      <c r="A401" s="628" t="str">
        <f>可抵押车位明细清单!D380</f>
        <v>2#地库350</v>
      </c>
      <c r="B401" s="629">
        <f>可抵押车位明细清单!H380</f>
        <v>22.49</v>
      </c>
      <c r="C401" s="621">
        <f t="shared" si="56"/>
        <v>1</v>
      </c>
      <c r="D401" s="630"/>
      <c r="E401" s="621">
        <f t="shared" si="57"/>
        <v>1</v>
      </c>
      <c r="F401" s="630"/>
      <c r="G401" s="621">
        <f t="shared" si="58"/>
        <v>1</v>
      </c>
      <c r="H401" s="630"/>
      <c r="I401" s="621">
        <f t="shared" si="59"/>
        <v>1</v>
      </c>
      <c r="J401" s="630"/>
      <c r="K401" s="621">
        <f t="shared" si="60"/>
        <v>1</v>
      </c>
      <c r="L401" s="630" t="str">
        <f>可抵押车位明细清单!K380</f>
        <v>标准车位</v>
      </c>
      <c r="M401" s="621">
        <f t="shared" si="61"/>
        <v>1</v>
      </c>
      <c r="N401" s="630"/>
      <c r="O401" s="621">
        <f t="shared" si="62"/>
        <v>1</v>
      </c>
      <c r="P401" s="3490" t="str">
        <f>可抵押车位明细清单!L380</f>
        <v>-2层</v>
      </c>
      <c r="Q401" s="621">
        <f t="shared" si="63"/>
        <v>0.95</v>
      </c>
      <c r="R401" s="681">
        <f t="shared" ca="1" si="64"/>
        <v>11.306800000000001</v>
      </c>
      <c r="S401" s="620">
        <f t="shared" ca="1" si="55"/>
        <v>0</v>
      </c>
    </row>
    <row r="402" spans="1:19">
      <c r="A402" s="628" t="str">
        <f>可抵押车位明细清单!D381</f>
        <v>2#地库351</v>
      </c>
      <c r="B402" s="629">
        <f>可抵押车位明细清单!H381</f>
        <v>29.26</v>
      </c>
      <c r="C402" s="621">
        <f t="shared" si="56"/>
        <v>1</v>
      </c>
      <c r="D402" s="630"/>
      <c r="E402" s="621">
        <f t="shared" si="57"/>
        <v>1</v>
      </c>
      <c r="F402" s="630"/>
      <c r="G402" s="621">
        <f t="shared" si="58"/>
        <v>1</v>
      </c>
      <c r="H402" s="630"/>
      <c r="I402" s="621">
        <f t="shared" si="59"/>
        <v>1</v>
      </c>
      <c r="J402" s="630"/>
      <c r="K402" s="621">
        <f t="shared" si="60"/>
        <v>1</v>
      </c>
      <c r="L402" s="630" t="str">
        <f>可抵押车位明细清单!K381</f>
        <v>标准车位</v>
      </c>
      <c r="M402" s="621">
        <f t="shared" si="61"/>
        <v>1</v>
      </c>
      <c r="N402" s="630"/>
      <c r="O402" s="621">
        <f t="shared" si="62"/>
        <v>1</v>
      </c>
      <c r="P402" s="3490" t="str">
        <f>可抵押车位明细清单!L381</f>
        <v>-2层</v>
      </c>
      <c r="Q402" s="621">
        <f t="shared" si="63"/>
        <v>0.95</v>
      </c>
      <c r="R402" s="681">
        <f t="shared" ca="1" si="64"/>
        <v>11.306800000000001</v>
      </c>
      <c r="S402" s="620">
        <f t="shared" ca="1" si="55"/>
        <v>0</v>
      </c>
    </row>
    <row r="403" spans="1:19">
      <c r="A403" s="628" t="str">
        <f>可抵押车位明细清单!D382</f>
        <v>2#地库352</v>
      </c>
      <c r="B403" s="629">
        <f>可抵押车位明细清单!H382</f>
        <v>28.31</v>
      </c>
      <c r="C403" s="621">
        <f t="shared" si="56"/>
        <v>1</v>
      </c>
      <c r="D403" s="630"/>
      <c r="E403" s="621">
        <f t="shared" si="57"/>
        <v>1</v>
      </c>
      <c r="F403" s="630"/>
      <c r="G403" s="621">
        <f t="shared" si="58"/>
        <v>1</v>
      </c>
      <c r="H403" s="630"/>
      <c r="I403" s="621">
        <f t="shared" si="59"/>
        <v>1</v>
      </c>
      <c r="J403" s="630"/>
      <c r="K403" s="621">
        <f t="shared" si="60"/>
        <v>1</v>
      </c>
      <c r="L403" s="630" t="str">
        <f>可抵押车位明细清单!K382</f>
        <v>标准车位</v>
      </c>
      <c r="M403" s="621">
        <f t="shared" si="61"/>
        <v>1</v>
      </c>
      <c r="N403" s="630"/>
      <c r="O403" s="621">
        <f t="shared" si="62"/>
        <v>1</v>
      </c>
      <c r="P403" s="3490" t="str">
        <f>可抵押车位明细清单!L382</f>
        <v>-2层</v>
      </c>
      <c r="Q403" s="621">
        <f t="shared" si="63"/>
        <v>0.95</v>
      </c>
      <c r="R403" s="681">
        <f t="shared" ca="1" si="64"/>
        <v>11.306800000000001</v>
      </c>
      <c r="S403" s="620">
        <f t="shared" ca="1" si="55"/>
        <v>0</v>
      </c>
    </row>
    <row r="404" spans="1:19">
      <c r="A404" s="628" t="str">
        <f>可抵押车位明细清单!D383</f>
        <v>2#地库353</v>
      </c>
      <c r="B404" s="629">
        <f>可抵押车位明细清单!H383</f>
        <v>29.26</v>
      </c>
      <c r="C404" s="621">
        <f t="shared" si="56"/>
        <v>1</v>
      </c>
      <c r="D404" s="630"/>
      <c r="E404" s="621">
        <f t="shared" si="57"/>
        <v>1</v>
      </c>
      <c r="F404" s="630"/>
      <c r="G404" s="621">
        <f t="shared" si="58"/>
        <v>1</v>
      </c>
      <c r="H404" s="630"/>
      <c r="I404" s="621">
        <f t="shared" si="59"/>
        <v>1</v>
      </c>
      <c r="J404" s="630"/>
      <c r="K404" s="621">
        <f t="shared" si="60"/>
        <v>1</v>
      </c>
      <c r="L404" s="630" t="str">
        <f>可抵押车位明细清单!K383</f>
        <v>标准车位</v>
      </c>
      <c r="M404" s="621">
        <f t="shared" si="61"/>
        <v>1</v>
      </c>
      <c r="N404" s="630"/>
      <c r="O404" s="621">
        <f t="shared" si="62"/>
        <v>1</v>
      </c>
      <c r="P404" s="3490" t="str">
        <f>可抵押车位明细清单!L383</f>
        <v>-2层</v>
      </c>
      <c r="Q404" s="621">
        <f t="shared" si="63"/>
        <v>0.95</v>
      </c>
      <c r="R404" s="681">
        <f t="shared" ca="1" si="64"/>
        <v>11.306800000000001</v>
      </c>
      <c r="S404" s="620">
        <f t="shared" ca="1" si="55"/>
        <v>0</v>
      </c>
    </row>
    <row r="405" spans="1:19">
      <c r="A405" s="628" t="str">
        <f>可抵押车位明细清单!D384</f>
        <v>2#地库354</v>
      </c>
      <c r="B405" s="629">
        <f>可抵押车位明细清单!H384</f>
        <v>29.26</v>
      </c>
      <c r="C405" s="621">
        <f t="shared" si="56"/>
        <v>1</v>
      </c>
      <c r="D405" s="630"/>
      <c r="E405" s="621">
        <f t="shared" si="57"/>
        <v>1</v>
      </c>
      <c r="F405" s="630"/>
      <c r="G405" s="621">
        <f t="shared" si="58"/>
        <v>1</v>
      </c>
      <c r="H405" s="630"/>
      <c r="I405" s="621">
        <f t="shared" si="59"/>
        <v>1</v>
      </c>
      <c r="J405" s="630"/>
      <c r="K405" s="621">
        <f t="shared" si="60"/>
        <v>1</v>
      </c>
      <c r="L405" s="630" t="str">
        <f>可抵押车位明细清单!K384</f>
        <v>标准车位</v>
      </c>
      <c r="M405" s="621">
        <f t="shared" si="61"/>
        <v>1</v>
      </c>
      <c r="N405" s="630"/>
      <c r="O405" s="621">
        <f t="shared" si="62"/>
        <v>1</v>
      </c>
      <c r="P405" s="3490" t="str">
        <f>可抵押车位明细清单!L384</f>
        <v>-2层</v>
      </c>
      <c r="Q405" s="621">
        <f t="shared" si="63"/>
        <v>0.95</v>
      </c>
      <c r="R405" s="681">
        <f t="shared" ca="1" si="64"/>
        <v>11.306800000000001</v>
      </c>
      <c r="S405" s="620">
        <f t="shared" ca="1" si="55"/>
        <v>0</v>
      </c>
    </row>
    <row r="406" spans="1:19">
      <c r="A406" s="628" t="str">
        <f>可抵押车位明细清单!D385</f>
        <v>2#地库355</v>
      </c>
      <c r="B406" s="629">
        <f>可抵押车位明细清单!H385</f>
        <v>28.31</v>
      </c>
      <c r="C406" s="621">
        <f t="shared" si="56"/>
        <v>1</v>
      </c>
      <c r="D406" s="630"/>
      <c r="E406" s="621">
        <f t="shared" si="57"/>
        <v>1</v>
      </c>
      <c r="F406" s="630"/>
      <c r="G406" s="621">
        <f t="shared" si="58"/>
        <v>1</v>
      </c>
      <c r="H406" s="630"/>
      <c r="I406" s="621">
        <f t="shared" si="59"/>
        <v>1</v>
      </c>
      <c r="J406" s="630"/>
      <c r="K406" s="621">
        <f t="shared" si="60"/>
        <v>1</v>
      </c>
      <c r="L406" s="630" t="str">
        <f>可抵押车位明细清单!K385</f>
        <v>标准车位</v>
      </c>
      <c r="M406" s="621">
        <f t="shared" si="61"/>
        <v>1</v>
      </c>
      <c r="N406" s="630"/>
      <c r="O406" s="621">
        <f t="shared" si="62"/>
        <v>1</v>
      </c>
      <c r="P406" s="3490" t="str">
        <f>可抵押车位明细清单!L385</f>
        <v>-2层</v>
      </c>
      <c r="Q406" s="621">
        <f t="shared" si="63"/>
        <v>0.95</v>
      </c>
      <c r="R406" s="681">
        <f t="shared" ca="1" si="64"/>
        <v>11.306800000000001</v>
      </c>
      <c r="S406" s="620">
        <f t="shared" ca="1" si="55"/>
        <v>0</v>
      </c>
    </row>
    <row r="407" spans="1:19">
      <c r="A407" s="628" t="str">
        <f>可抵押车位明细清单!D386</f>
        <v>2#地库356</v>
      </c>
      <c r="B407" s="629">
        <f>可抵押车位明细清单!H386</f>
        <v>29.26</v>
      </c>
      <c r="C407" s="621">
        <f t="shared" si="56"/>
        <v>1</v>
      </c>
      <c r="D407" s="630"/>
      <c r="E407" s="621">
        <f t="shared" si="57"/>
        <v>1</v>
      </c>
      <c r="F407" s="630"/>
      <c r="G407" s="621">
        <f t="shared" si="58"/>
        <v>1</v>
      </c>
      <c r="H407" s="630"/>
      <c r="I407" s="621">
        <f t="shared" si="59"/>
        <v>1</v>
      </c>
      <c r="J407" s="630"/>
      <c r="K407" s="621">
        <f t="shared" si="60"/>
        <v>1</v>
      </c>
      <c r="L407" s="630" t="str">
        <f>可抵押车位明细清单!K386</f>
        <v>标准车位</v>
      </c>
      <c r="M407" s="621">
        <f t="shared" si="61"/>
        <v>1</v>
      </c>
      <c r="N407" s="630"/>
      <c r="O407" s="621">
        <f t="shared" si="62"/>
        <v>1</v>
      </c>
      <c r="P407" s="3490" t="str">
        <f>可抵押车位明细清单!L386</f>
        <v>-2层</v>
      </c>
      <c r="Q407" s="621">
        <f t="shared" si="63"/>
        <v>0.95</v>
      </c>
      <c r="R407" s="681">
        <f t="shared" ca="1" si="64"/>
        <v>11.306800000000001</v>
      </c>
      <c r="S407" s="620">
        <f t="shared" ca="1" si="55"/>
        <v>0</v>
      </c>
    </row>
    <row r="408" spans="1:19">
      <c r="A408" s="628" t="str">
        <f>可抵押车位明细清单!D387</f>
        <v>2#地库357</v>
      </c>
      <c r="B408" s="629">
        <f>可抵押车位明细清单!H387</f>
        <v>29.26</v>
      </c>
      <c r="C408" s="621">
        <f t="shared" si="56"/>
        <v>1</v>
      </c>
      <c r="D408" s="630"/>
      <c r="E408" s="621">
        <f t="shared" si="57"/>
        <v>1</v>
      </c>
      <c r="F408" s="630"/>
      <c r="G408" s="621">
        <f t="shared" si="58"/>
        <v>1</v>
      </c>
      <c r="H408" s="630"/>
      <c r="I408" s="621">
        <f t="shared" si="59"/>
        <v>1</v>
      </c>
      <c r="J408" s="630"/>
      <c r="K408" s="621">
        <f t="shared" si="60"/>
        <v>1</v>
      </c>
      <c r="L408" s="630" t="str">
        <f>可抵押车位明细清单!K387</f>
        <v>标准车位</v>
      </c>
      <c r="M408" s="621">
        <f t="shared" si="61"/>
        <v>1</v>
      </c>
      <c r="N408" s="630"/>
      <c r="O408" s="621">
        <f t="shared" si="62"/>
        <v>1</v>
      </c>
      <c r="P408" s="3490" t="str">
        <f>可抵押车位明细清单!L387</f>
        <v>-2层</v>
      </c>
      <c r="Q408" s="621">
        <f t="shared" si="63"/>
        <v>0.95</v>
      </c>
      <c r="R408" s="681">
        <f t="shared" ca="1" si="64"/>
        <v>11.306800000000001</v>
      </c>
      <c r="S408" s="620">
        <f t="shared" ref="S408:S471" ca="1" si="65">ROUND(R408*B408/10000,0)</f>
        <v>0</v>
      </c>
    </row>
    <row r="409" spans="1:19">
      <c r="A409" s="628" t="str">
        <f>可抵押车位明细清单!D388</f>
        <v>2#地库358</v>
      </c>
      <c r="B409" s="629">
        <f>可抵押车位明细清单!H388</f>
        <v>28.31</v>
      </c>
      <c r="C409" s="621">
        <f t="shared" ref="C409:C472" si="66">IF(B409="",1,(LOOKUP(B409,$3:$3,$4:$4)-LOOKUP($B$24,$3:$3,$4:$4)+100)/100)</f>
        <v>1</v>
      </c>
      <c r="D409" s="630"/>
      <c r="E409" s="621">
        <f t="shared" ref="E409:E472" si="67">(SUMIF($5:$5,D409,$6:$6)-SUMIF($5:$5,$D$24,$6:$6)+100)/100</f>
        <v>1</v>
      </c>
      <c r="F409" s="630"/>
      <c r="G409" s="621">
        <f t="shared" ref="G409:G472" si="68">(SUMIF($7:$7,F409,$8:$8)-SUMIF($7:$7,$F$24,$8:$8)+100)/100</f>
        <v>1</v>
      </c>
      <c r="H409" s="630"/>
      <c r="I409" s="621">
        <f t="shared" ref="I409:I472" si="69">(SUMIF($9:$9,H409,$10:$10)-SUMIF($9:$9,$H$24,$10:$10)+100)/100</f>
        <v>1</v>
      </c>
      <c r="J409" s="630"/>
      <c r="K409" s="621">
        <f t="shared" ref="K409:K472" si="70">(SUMIF($11:$11,J409,$12:$12)-SUMIF($11:$11,$J$24,$12:$12)+100)/100</f>
        <v>1</v>
      </c>
      <c r="L409" s="630" t="str">
        <f>可抵押车位明细清单!K388</f>
        <v>标准车位</v>
      </c>
      <c r="M409" s="621">
        <f t="shared" ref="M409:M472" si="71">(SUMIF($13:$13,L409,$14:$14)-SUMIF($13:$13,$L$24,$14:$14)+100)/100</f>
        <v>1</v>
      </c>
      <c r="N409" s="630"/>
      <c r="O409" s="621">
        <f t="shared" ref="O409:O472" si="72">(SUMIF($15:$15,N409,$16:$16)-SUMIF($15:$15,$N$24,$16:$16)+100)/100</f>
        <v>1</v>
      </c>
      <c r="P409" s="3490" t="str">
        <f>可抵押车位明细清单!L388</f>
        <v>-2层</v>
      </c>
      <c r="Q409" s="621">
        <f t="shared" ref="Q409:Q472" si="73">(SUMIF($17:$17,P409,$18:$18)-SUMIF($17:$17,$P$24,$18:$18)+100)/100</f>
        <v>0.95</v>
      </c>
      <c r="R409" s="681">
        <f t="shared" ref="R409:R472" ca="1" si="74">IF(B409="",0,ROUND($R$24*C409*E409*G409*I409*K409*M409*O409*Q409,4))</f>
        <v>11.306800000000001</v>
      </c>
      <c r="S409" s="620">
        <f t="shared" ca="1" si="65"/>
        <v>0</v>
      </c>
    </row>
    <row r="410" spans="1:19">
      <c r="A410" s="628" t="str">
        <f>可抵押车位明细清单!D389</f>
        <v>2#地库359</v>
      </c>
      <c r="B410" s="629">
        <f>可抵押车位明细清单!H389</f>
        <v>29.26</v>
      </c>
      <c r="C410" s="621">
        <f t="shared" si="66"/>
        <v>1</v>
      </c>
      <c r="D410" s="630"/>
      <c r="E410" s="621">
        <f t="shared" si="67"/>
        <v>1</v>
      </c>
      <c r="F410" s="630"/>
      <c r="G410" s="621">
        <f t="shared" si="68"/>
        <v>1</v>
      </c>
      <c r="H410" s="630"/>
      <c r="I410" s="621">
        <f t="shared" si="69"/>
        <v>1</v>
      </c>
      <c r="J410" s="630"/>
      <c r="K410" s="621">
        <f t="shared" si="70"/>
        <v>1</v>
      </c>
      <c r="L410" s="630" t="str">
        <f>可抵押车位明细清单!K389</f>
        <v>标准车位</v>
      </c>
      <c r="M410" s="621">
        <f t="shared" si="71"/>
        <v>1</v>
      </c>
      <c r="N410" s="630"/>
      <c r="O410" s="621">
        <f t="shared" si="72"/>
        <v>1</v>
      </c>
      <c r="P410" s="3490" t="str">
        <f>可抵押车位明细清单!L389</f>
        <v>-2层</v>
      </c>
      <c r="Q410" s="621">
        <f t="shared" si="73"/>
        <v>0.95</v>
      </c>
      <c r="R410" s="681">
        <f t="shared" ca="1" si="74"/>
        <v>11.306800000000001</v>
      </c>
      <c r="S410" s="620">
        <f t="shared" ca="1" si="65"/>
        <v>0</v>
      </c>
    </row>
    <row r="411" spans="1:19">
      <c r="A411" s="628" t="str">
        <f>可抵押车位明细清单!D390</f>
        <v>2#地库360</v>
      </c>
      <c r="B411" s="629">
        <f>可抵押车位明细清单!H390</f>
        <v>30.63</v>
      </c>
      <c r="C411" s="621">
        <f t="shared" si="66"/>
        <v>1</v>
      </c>
      <c r="D411" s="630"/>
      <c r="E411" s="621">
        <f t="shared" si="67"/>
        <v>1</v>
      </c>
      <c r="F411" s="630"/>
      <c r="G411" s="621">
        <f t="shared" si="68"/>
        <v>1</v>
      </c>
      <c r="H411" s="630"/>
      <c r="I411" s="621">
        <f t="shared" si="69"/>
        <v>1</v>
      </c>
      <c r="J411" s="630"/>
      <c r="K411" s="621">
        <f t="shared" si="70"/>
        <v>1</v>
      </c>
      <c r="L411" s="630" t="str">
        <f>可抵押车位明细清单!K390</f>
        <v>标准车位</v>
      </c>
      <c r="M411" s="621">
        <f t="shared" si="71"/>
        <v>1</v>
      </c>
      <c r="N411" s="630"/>
      <c r="O411" s="621">
        <f t="shared" si="72"/>
        <v>1</v>
      </c>
      <c r="P411" s="3490" t="str">
        <f>可抵押车位明细清单!L390</f>
        <v>-2层</v>
      </c>
      <c r="Q411" s="621">
        <f t="shared" si="73"/>
        <v>0.95</v>
      </c>
      <c r="R411" s="681">
        <f t="shared" ca="1" si="74"/>
        <v>11.306800000000001</v>
      </c>
      <c r="S411" s="620">
        <f t="shared" ca="1" si="65"/>
        <v>0</v>
      </c>
    </row>
    <row r="412" spans="1:19">
      <c r="A412" s="628" t="str">
        <f>可抵押车位明细清单!D391</f>
        <v>2#地库361</v>
      </c>
      <c r="B412" s="629">
        <f>可抵押车位明细清单!H391</f>
        <v>29.54</v>
      </c>
      <c r="C412" s="621">
        <f t="shared" si="66"/>
        <v>1</v>
      </c>
      <c r="D412" s="630"/>
      <c r="E412" s="621">
        <f t="shared" si="67"/>
        <v>1</v>
      </c>
      <c r="F412" s="630"/>
      <c r="G412" s="621">
        <f t="shared" si="68"/>
        <v>1</v>
      </c>
      <c r="H412" s="630"/>
      <c r="I412" s="621">
        <f t="shared" si="69"/>
        <v>1</v>
      </c>
      <c r="J412" s="630"/>
      <c r="K412" s="621">
        <f t="shared" si="70"/>
        <v>1</v>
      </c>
      <c r="L412" s="630" t="str">
        <f>可抵押车位明细清单!K391</f>
        <v>标准车位</v>
      </c>
      <c r="M412" s="621">
        <f t="shared" si="71"/>
        <v>1</v>
      </c>
      <c r="N412" s="630"/>
      <c r="O412" s="621">
        <f t="shared" si="72"/>
        <v>1</v>
      </c>
      <c r="P412" s="3490" t="str">
        <f>可抵押车位明细清单!L391</f>
        <v>-2层</v>
      </c>
      <c r="Q412" s="621">
        <f t="shared" si="73"/>
        <v>0.95</v>
      </c>
      <c r="R412" s="681">
        <f t="shared" ca="1" si="74"/>
        <v>11.306800000000001</v>
      </c>
      <c r="S412" s="620">
        <f t="shared" ca="1" si="65"/>
        <v>0</v>
      </c>
    </row>
    <row r="413" spans="1:19">
      <c r="A413" s="628" t="str">
        <f>可抵押车位明细清单!D392</f>
        <v>2#地库362</v>
      </c>
      <c r="B413" s="629">
        <f>可抵押车位明细清单!H392</f>
        <v>30.63</v>
      </c>
      <c r="C413" s="621">
        <f t="shared" si="66"/>
        <v>1</v>
      </c>
      <c r="D413" s="630"/>
      <c r="E413" s="621">
        <f t="shared" si="67"/>
        <v>1</v>
      </c>
      <c r="F413" s="630"/>
      <c r="G413" s="621">
        <f t="shared" si="68"/>
        <v>1</v>
      </c>
      <c r="H413" s="630"/>
      <c r="I413" s="621">
        <f t="shared" si="69"/>
        <v>1</v>
      </c>
      <c r="J413" s="630"/>
      <c r="K413" s="621">
        <f t="shared" si="70"/>
        <v>1</v>
      </c>
      <c r="L413" s="630" t="str">
        <f>可抵押车位明细清单!K392</f>
        <v>标准车位</v>
      </c>
      <c r="M413" s="621">
        <f t="shared" si="71"/>
        <v>1</v>
      </c>
      <c r="N413" s="630"/>
      <c r="O413" s="621">
        <f t="shared" si="72"/>
        <v>1</v>
      </c>
      <c r="P413" s="3490" t="str">
        <f>可抵押车位明细清单!L392</f>
        <v>-2层</v>
      </c>
      <c r="Q413" s="621">
        <f t="shared" si="73"/>
        <v>0.95</v>
      </c>
      <c r="R413" s="681">
        <f t="shared" ca="1" si="74"/>
        <v>11.306800000000001</v>
      </c>
      <c r="S413" s="620">
        <f t="shared" ca="1" si="65"/>
        <v>0</v>
      </c>
    </row>
    <row r="414" spans="1:19">
      <c r="A414" s="628" t="str">
        <f>可抵押车位明细清单!D393</f>
        <v>2#地库363</v>
      </c>
      <c r="B414" s="629">
        <f>可抵押车位明细清单!H393</f>
        <v>30.35</v>
      </c>
      <c r="C414" s="621">
        <f t="shared" si="66"/>
        <v>1</v>
      </c>
      <c r="D414" s="630"/>
      <c r="E414" s="621">
        <f t="shared" si="67"/>
        <v>1</v>
      </c>
      <c r="F414" s="630"/>
      <c r="G414" s="621">
        <f t="shared" si="68"/>
        <v>1</v>
      </c>
      <c r="H414" s="630"/>
      <c r="I414" s="621">
        <f t="shared" si="69"/>
        <v>1</v>
      </c>
      <c r="J414" s="630"/>
      <c r="K414" s="621">
        <f t="shared" si="70"/>
        <v>1</v>
      </c>
      <c r="L414" s="630" t="str">
        <f>可抵押车位明细清单!K393</f>
        <v>标准车位</v>
      </c>
      <c r="M414" s="621">
        <f t="shared" si="71"/>
        <v>1</v>
      </c>
      <c r="N414" s="630"/>
      <c r="O414" s="621">
        <f t="shared" si="72"/>
        <v>1</v>
      </c>
      <c r="P414" s="3490" t="str">
        <f>可抵押车位明细清单!L393</f>
        <v>-2层</v>
      </c>
      <c r="Q414" s="621">
        <f t="shared" si="73"/>
        <v>0.95</v>
      </c>
      <c r="R414" s="681">
        <f t="shared" ca="1" si="74"/>
        <v>11.306800000000001</v>
      </c>
      <c r="S414" s="620">
        <f t="shared" ca="1" si="65"/>
        <v>0</v>
      </c>
    </row>
    <row r="415" spans="1:19">
      <c r="A415" s="628" t="str">
        <f>可抵押车位明细清单!D394</f>
        <v>2#地库364</v>
      </c>
      <c r="B415" s="629">
        <f>可抵押车位明细清单!H394</f>
        <v>29.26</v>
      </c>
      <c r="C415" s="621">
        <f t="shared" si="66"/>
        <v>1</v>
      </c>
      <c r="D415" s="630"/>
      <c r="E415" s="621">
        <f t="shared" si="67"/>
        <v>1</v>
      </c>
      <c r="F415" s="630"/>
      <c r="G415" s="621">
        <f t="shared" si="68"/>
        <v>1</v>
      </c>
      <c r="H415" s="630"/>
      <c r="I415" s="621">
        <f t="shared" si="69"/>
        <v>1</v>
      </c>
      <c r="J415" s="630"/>
      <c r="K415" s="621">
        <f t="shared" si="70"/>
        <v>1</v>
      </c>
      <c r="L415" s="630" t="str">
        <f>可抵押车位明细清单!K394</f>
        <v>标准车位</v>
      </c>
      <c r="M415" s="621">
        <f t="shared" si="71"/>
        <v>1</v>
      </c>
      <c r="N415" s="630"/>
      <c r="O415" s="621">
        <f t="shared" si="72"/>
        <v>1</v>
      </c>
      <c r="P415" s="3490" t="str">
        <f>可抵押车位明细清单!L394</f>
        <v>-2层</v>
      </c>
      <c r="Q415" s="621">
        <f t="shared" si="73"/>
        <v>0.95</v>
      </c>
      <c r="R415" s="681">
        <f t="shared" ca="1" si="74"/>
        <v>11.306800000000001</v>
      </c>
      <c r="S415" s="620">
        <f t="shared" ca="1" si="65"/>
        <v>0</v>
      </c>
    </row>
    <row r="416" spans="1:19">
      <c r="A416" s="628" t="str">
        <f>可抵押车位明细清单!D395</f>
        <v>2#地库365</v>
      </c>
      <c r="B416" s="629">
        <f>可抵押车位明细清单!H395</f>
        <v>30.35</v>
      </c>
      <c r="C416" s="621">
        <f t="shared" si="66"/>
        <v>1</v>
      </c>
      <c r="D416" s="630"/>
      <c r="E416" s="621">
        <f t="shared" si="67"/>
        <v>1</v>
      </c>
      <c r="F416" s="630"/>
      <c r="G416" s="621">
        <f t="shared" si="68"/>
        <v>1</v>
      </c>
      <c r="H416" s="630"/>
      <c r="I416" s="621">
        <f t="shared" si="69"/>
        <v>1</v>
      </c>
      <c r="J416" s="630"/>
      <c r="K416" s="621">
        <f t="shared" si="70"/>
        <v>1</v>
      </c>
      <c r="L416" s="630" t="str">
        <f>可抵押车位明细清单!K395</f>
        <v>标准车位</v>
      </c>
      <c r="M416" s="621">
        <f t="shared" si="71"/>
        <v>1</v>
      </c>
      <c r="N416" s="630"/>
      <c r="O416" s="621">
        <f t="shared" si="72"/>
        <v>1</v>
      </c>
      <c r="P416" s="3490" t="str">
        <f>可抵押车位明细清单!L395</f>
        <v>-2层</v>
      </c>
      <c r="Q416" s="621">
        <f t="shared" si="73"/>
        <v>0.95</v>
      </c>
      <c r="R416" s="681">
        <f t="shared" ca="1" si="74"/>
        <v>11.306800000000001</v>
      </c>
      <c r="S416" s="620">
        <f t="shared" ca="1" si="65"/>
        <v>0</v>
      </c>
    </row>
    <row r="417" spans="1:19">
      <c r="A417" s="628" t="str">
        <f>可抵押车位明细清单!D396</f>
        <v>2#地库366</v>
      </c>
      <c r="B417" s="629">
        <f>可抵押车位明细清单!H396</f>
        <v>29.26</v>
      </c>
      <c r="C417" s="621">
        <f t="shared" si="66"/>
        <v>1</v>
      </c>
      <c r="D417" s="630"/>
      <c r="E417" s="621">
        <f t="shared" si="67"/>
        <v>1</v>
      </c>
      <c r="F417" s="630"/>
      <c r="G417" s="621">
        <f t="shared" si="68"/>
        <v>1</v>
      </c>
      <c r="H417" s="630"/>
      <c r="I417" s="621">
        <f t="shared" si="69"/>
        <v>1</v>
      </c>
      <c r="J417" s="630"/>
      <c r="K417" s="621">
        <f t="shared" si="70"/>
        <v>1</v>
      </c>
      <c r="L417" s="630" t="str">
        <f>可抵押车位明细清单!K396</f>
        <v>标准车位</v>
      </c>
      <c r="M417" s="621">
        <f t="shared" si="71"/>
        <v>1</v>
      </c>
      <c r="N417" s="630"/>
      <c r="O417" s="621">
        <f t="shared" si="72"/>
        <v>1</v>
      </c>
      <c r="P417" s="3490" t="str">
        <f>可抵押车位明细清单!L396</f>
        <v>-2层</v>
      </c>
      <c r="Q417" s="621">
        <f t="shared" si="73"/>
        <v>0.95</v>
      </c>
      <c r="R417" s="681">
        <f t="shared" ca="1" si="74"/>
        <v>11.306800000000001</v>
      </c>
      <c r="S417" s="620">
        <f t="shared" ca="1" si="65"/>
        <v>0</v>
      </c>
    </row>
    <row r="418" spans="1:19">
      <c r="A418" s="628" t="str">
        <f>可抵押车位明细清单!D397</f>
        <v>2#地库367</v>
      </c>
      <c r="B418" s="629">
        <f>可抵押车位明细清单!H397</f>
        <v>28.31</v>
      </c>
      <c r="C418" s="621">
        <f t="shared" si="66"/>
        <v>1</v>
      </c>
      <c r="D418" s="630"/>
      <c r="E418" s="621">
        <f t="shared" si="67"/>
        <v>1</v>
      </c>
      <c r="F418" s="630"/>
      <c r="G418" s="621">
        <f t="shared" si="68"/>
        <v>1</v>
      </c>
      <c r="H418" s="630"/>
      <c r="I418" s="621">
        <f t="shared" si="69"/>
        <v>1</v>
      </c>
      <c r="J418" s="630"/>
      <c r="K418" s="621">
        <f t="shared" si="70"/>
        <v>1</v>
      </c>
      <c r="L418" s="630" t="str">
        <f>可抵押车位明细清单!K397</f>
        <v>标准车位</v>
      </c>
      <c r="M418" s="621">
        <f t="shared" si="71"/>
        <v>1</v>
      </c>
      <c r="N418" s="630"/>
      <c r="O418" s="621">
        <f t="shared" si="72"/>
        <v>1</v>
      </c>
      <c r="P418" s="3490" t="str">
        <f>可抵押车位明细清单!L397</f>
        <v>-2层</v>
      </c>
      <c r="Q418" s="621">
        <f t="shared" si="73"/>
        <v>0.95</v>
      </c>
      <c r="R418" s="681">
        <f t="shared" ca="1" si="74"/>
        <v>11.306800000000001</v>
      </c>
      <c r="S418" s="620">
        <f t="shared" ca="1" si="65"/>
        <v>0</v>
      </c>
    </row>
    <row r="419" spans="1:19">
      <c r="A419" s="628" t="str">
        <f>可抵押车位明细清单!D398</f>
        <v>2#地库368</v>
      </c>
      <c r="B419" s="629">
        <f>可抵押车位明细清单!H398</f>
        <v>29.26</v>
      </c>
      <c r="C419" s="621">
        <f t="shared" si="66"/>
        <v>1</v>
      </c>
      <c r="D419" s="630"/>
      <c r="E419" s="621">
        <f t="shared" si="67"/>
        <v>1</v>
      </c>
      <c r="F419" s="630"/>
      <c r="G419" s="621">
        <f t="shared" si="68"/>
        <v>1</v>
      </c>
      <c r="H419" s="630"/>
      <c r="I419" s="621">
        <f t="shared" si="69"/>
        <v>1</v>
      </c>
      <c r="J419" s="630"/>
      <c r="K419" s="621">
        <f t="shared" si="70"/>
        <v>1</v>
      </c>
      <c r="L419" s="630" t="str">
        <f>可抵押车位明细清单!K398</f>
        <v>标准车位</v>
      </c>
      <c r="M419" s="621">
        <f t="shared" si="71"/>
        <v>1</v>
      </c>
      <c r="N419" s="630"/>
      <c r="O419" s="621">
        <f t="shared" si="72"/>
        <v>1</v>
      </c>
      <c r="P419" s="3490" t="str">
        <f>可抵押车位明细清单!L398</f>
        <v>-2层</v>
      </c>
      <c r="Q419" s="621">
        <f t="shared" si="73"/>
        <v>0.95</v>
      </c>
      <c r="R419" s="681">
        <f t="shared" ca="1" si="74"/>
        <v>11.306800000000001</v>
      </c>
      <c r="S419" s="620">
        <f t="shared" ca="1" si="65"/>
        <v>0</v>
      </c>
    </row>
    <row r="420" spans="1:19">
      <c r="A420" s="628" t="str">
        <f>可抵押车位明细清单!D399</f>
        <v>2#地库369</v>
      </c>
      <c r="B420" s="629">
        <f>可抵押车位明细清单!H399</f>
        <v>29.26</v>
      </c>
      <c r="C420" s="621">
        <f t="shared" si="66"/>
        <v>1</v>
      </c>
      <c r="D420" s="630"/>
      <c r="E420" s="621">
        <f t="shared" si="67"/>
        <v>1</v>
      </c>
      <c r="F420" s="630"/>
      <c r="G420" s="621">
        <f t="shared" si="68"/>
        <v>1</v>
      </c>
      <c r="H420" s="630"/>
      <c r="I420" s="621">
        <f t="shared" si="69"/>
        <v>1</v>
      </c>
      <c r="J420" s="630"/>
      <c r="K420" s="621">
        <f t="shared" si="70"/>
        <v>1</v>
      </c>
      <c r="L420" s="630" t="str">
        <f>可抵押车位明细清单!K399</f>
        <v>标准车位</v>
      </c>
      <c r="M420" s="621">
        <f t="shared" si="71"/>
        <v>1</v>
      </c>
      <c r="N420" s="630"/>
      <c r="O420" s="621">
        <f t="shared" si="72"/>
        <v>1</v>
      </c>
      <c r="P420" s="3490" t="str">
        <f>可抵押车位明细清单!L399</f>
        <v>-2层</v>
      </c>
      <c r="Q420" s="621">
        <f t="shared" si="73"/>
        <v>0.95</v>
      </c>
      <c r="R420" s="681">
        <f t="shared" ca="1" si="74"/>
        <v>11.306800000000001</v>
      </c>
      <c r="S420" s="620">
        <f t="shared" ca="1" si="65"/>
        <v>0</v>
      </c>
    </row>
    <row r="421" spans="1:19">
      <c r="A421" s="628" t="str">
        <f>可抵押车位明细清单!D400</f>
        <v>2#地库370</v>
      </c>
      <c r="B421" s="629">
        <f>可抵押车位明细清单!H400</f>
        <v>28.31</v>
      </c>
      <c r="C421" s="621">
        <f t="shared" si="66"/>
        <v>1</v>
      </c>
      <c r="D421" s="630"/>
      <c r="E421" s="621">
        <f t="shared" si="67"/>
        <v>1</v>
      </c>
      <c r="F421" s="630"/>
      <c r="G421" s="621">
        <f t="shared" si="68"/>
        <v>1</v>
      </c>
      <c r="H421" s="630"/>
      <c r="I421" s="621">
        <f t="shared" si="69"/>
        <v>1</v>
      </c>
      <c r="J421" s="630"/>
      <c r="K421" s="621">
        <f t="shared" si="70"/>
        <v>1</v>
      </c>
      <c r="L421" s="630" t="str">
        <f>可抵押车位明细清单!K400</f>
        <v>标准车位</v>
      </c>
      <c r="M421" s="621">
        <f t="shared" si="71"/>
        <v>1</v>
      </c>
      <c r="N421" s="630"/>
      <c r="O421" s="621">
        <f t="shared" si="72"/>
        <v>1</v>
      </c>
      <c r="P421" s="3490" t="str">
        <f>可抵押车位明细清单!L400</f>
        <v>-2层</v>
      </c>
      <c r="Q421" s="621">
        <f t="shared" si="73"/>
        <v>0.95</v>
      </c>
      <c r="R421" s="681">
        <f t="shared" ca="1" si="74"/>
        <v>11.306800000000001</v>
      </c>
      <c r="S421" s="620">
        <f t="shared" ca="1" si="65"/>
        <v>0</v>
      </c>
    </row>
    <row r="422" spans="1:19">
      <c r="A422" s="628" t="str">
        <f>可抵押车位明细清单!D401</f>
        <v>2#地库371</v>
      </c>
      <c r="B422" s="629">
        <f>可抵押车位明细清单!H401</f>
        <v>29.26</v>
      </c>
      <c r="C422" s="621">
        <f t="shared" si="66"/>
        <v>1</v>
      </c>
      <c r="D422" s="630"/>
      <c r="E422" s="621">
        <f t="shared" si="67"/>
        <v>1</v>
      </c>
      <c r="F422" s="630"/>
      <c r="G422" s="621">
        <f t="shared" si="68"/>
        <v>1</v>
      </c>
      <c r="H422" s="630"/>
      <c r="I422" s="621">
        <f t="shared" si="69"/>
        <v>1</v>
      </c>
      <c r="J422" s="630"/>
      <c r="K422" s="621">
        <f t="shared" si="70"/>
        <v>1</v>
      </c>
      <c r="L422" s="630" t="str">
        <f>可抵押车位明细清单!K401</f>
        <v>标准车位</v>
      </c>
      <c r="M422" s="621">
        <f t="shared" si="71"/>
        <v>1</v>
      </c>
      <c r="N422" s="630"/>
      <c r="O422" s="621">
        <f t="shared" si="72"/>
        <v>1</v>
      </c>
      <c r="P422" s="3490" t="str">
        <f>可抵押车位明细清单!L401</f>
        <v>-2层</v>
      </c>
      <c r="Q422" s="621">
        <f t="shared" si="73"/>
        <v>0.95</v>
      </c>
      <c r="R422" s="681">
        <f t="shared" ca="1" si="74"/>
        <v>11.306800000000001</v>
      </c>
      <c r="S422" s="620">
        <f t="shared" ca="1" si="65"/>
        <v>0</v>
      </c>
    </row>
    <row r="423" spans="1:19">
      <c r="A423" s="628" t="str">
        <f>可抵押车位明细清单!D402</f>
        <v>2#地库372</v>
      </c>
      <c r="B423" s="629">
        <f>可抵押车位明细清单!H402</f>
        <v>29.26</v>
      </c>
      <c r="C423" s="621">
        <f t="shared" si="66"/>
        <v>1</v>
      </c>
      <c r="D423" s="630"/>
      <c r="E423" s="621">
        <f t="shared" si="67"/>
        <v>1</v>
      </c>
      <c r="F423" s="630"/>
      <c r="G423" s="621">
        <f t="shared" si="68"/>
        <v>1</v>
      </c>
      <c r="H423" s="630"/>
      <c r="I423" s="621">
        <f t="shared" si="69"/>
        <v>1</v>
      </c>
      <c r="J423" s="630"/>
      <c r="K423" s="621">
        <f t="shared" si="70"/>
        <v>1</v>
      </c>
      <c r="L423" s="630" t="str">
        <f>可抵押车位明细清单!K402</f>
        <v>标准车位</v>
      </c>
      <c r="M423" s="621">
        <f t="shared" si="71"/>
        <v>1</v>
      </c>
      <c r="N423" s="630"/>
      <c r="O423" s="621">
        <f t="shared" si="72"/>
        <v>1</v>
      </c>
      <c r="P423" s="3490" t="str">
        <f>可抵押车位明细清单!L402</f>
        <v>-2层</v>
      </c>
      <c r="Q423" s="621">
        <f t="shared" si="73"/>
        <v>0.95</v>
      </c>
      <c r="R423" s="681">
        <f t="shared" ca="1" si="74"/>
        <v>11.306800000000001</v>
      </c>
      <c r="S423" s="620">
        <f t="shared" ca="1" si="65"/>
        <v>0</v>
      </c>
    </row>
    <row r="424" spans="1:19">
      <c r="A424" s="628" t="str">
        <f>可抵押车位明细清单!D403</f>
        <v>2#地库373</v>
      </c>
      <c r="B424" s="629">
        <f>可抵押车位明细清单!H403</f>
        <v>28.31</v>
      </c>
      <c r="C424" s="621">
        <f t="shared" si="66"/>
        <v>1</v>
      </c>
      <c r="D424" s="630"/>
      <c r="E424" s="621">
        <f t="shared" si="67"/>
        <v>1</v>
      </c>
      <c r="F424" s="630"/>
      <c r="G424" s="621">
        <f t="shared" si="68"/>
        <v>1</v>
      </c>
      <c r="H424" s="630"/>
      <c r="I424" s="621">
        <f t="shared" si="69"/>
        <v>1</v>
      </c>
      <c r="J424" s="630"/>
      <c r="K424" s="621">
        <f t="shared" si="70"/>
        <v>1</v>
      </c>
      <c r="L424" s="630" t="str">
        <f>可抵押车位明细清单!K403</f>
        <v>标准车位</v>
      </c>
      <c r="M424" s="621">
        <f t="shared" si="71"/>
        <v>1</v>
      </c>
      <c r="N424" s="630"/>
      <c r="O424" s="621">
        <f t="shared" si="72"/>
        <v>1</v>
      </c>
      <c r="P424" s="3490" t="str">
        <f>可抵押车位明细清单!L403</f>
        <v>-2层</v>
      </c>
      <c r="Q424" s="621">
        <f t="shared" si="73"/>
        <v>0.95</v>
      </c>
      <c r="R424" s="681">
        <f t="shared" ca="1" si="74"/>
        <v>11.306800000000001</v>
      </c>
      <c r="S424" s="620">
        <f t="shared" ca="1" si="65"/>
        <v>0</v>
      </c>
    </row>
    <row r="425" spans="1:19">
      <c r="A425" s="628" t="str">
        <f>可抵押车位明细清单!D404</f>
        <v>2#地库374</v>
      </c>
      <c r="B425" s="629">
        <f>可抵押车位明细清单!H404</f>
        <v>29.26</v>
      </c>
      <c r="C425" s="621">
        <f t="shared" si="66"/>
        <v>1</v>
      </c>
      <c r="D425" s="630"/>
      <c r="E425" s="621">
        <f t="shared" si="67"/>
        <v>1</v>
      </c>
      <c r="F425" s="630"/>
      <c r="G425" s="621">
        <f t="shared" si="68"/>
        <v>1</v>
      </c>
      <c r="H425" s="630"/>
      <c r="I425" s="621">
        <f t="shared" si="69"/>
        <v>1</v>
      </c>
      <c r="J425" s="630"/>
      <c r="K425" s="621">
        <f t="shared" si="70"/>
        <v>1</v>
      </c>
      <c r="L425" s="630" t="str">
        <f>可抵押车位明细清单!K404</f>
        <v>标准车位</v>
      </c>
      <c r="M425" s="621">
        <f t="shared" si="71"/>
        <v>1</v>
      </c>
      <c r="N425" s="630"/>
      <c r="O425" s="621">
        <f t="shared" si="72"/>
        <v>1</v>
      </c>
      <c r="P425" s="3490" t="str">
        <f>可抵押车位明细清单!L404</f>
        <v>-2层</v>
      </c>
      <c r="Q425" s="621">
        <f t="shared" si="73"/>
        <v>0.95</v>
      </c>
      <c r="R425" s="681">
        <f t="shared" ca="1" si="74"/>
        <v>11.306800000000001</v>
      </c>
      <c r="S425" s="620">
        <f t="shared" ca="1" si="65"/>
        <v>0</v>
      </c>
    </row>
    <row r="426" spans="1:19">
      <c r="A426" s="628" t="str">
        <f>可抵押车位明细清单!D405</f>
        <v>2#地库375</v>
      </c>
      <c r="B426" s="629">
        <f>可抵押车位明细清单!H405</f>
        <v>29.26</v>
      </c>
      <c r="C426" s="621">
        <f t="shared" si="66"/>
        <v>1</v>
      </c>
      <c r="D426" s="630"/>
      <c r="E426" s="621">
        <f t="shared" si="67"/>
        <v>1</v>
      </c>
      <c r="F426" s="630"/>
      <c r="G426" s="621">
        <f t="shared" si="68"/>
        <v>1</v>
      </c>
      <c r="H426" s="630"/>
      <c r="I426" s="621">
        <f t="shared" si="69"/>
        <v>1</v>
      </c>
      <c r="J426" s="630"/>
      <c r="K426" s="621">
        <f t="shared" si="70"/>
        <v>1</v>
      </c>
      <c r="L426" s="630" t="str">
        <f>可抵押车位明细清单!K405</f>
        <v>标准车位</v>
      </c>
      <c r="M426" s="621">
        <f t="shared" si="71"/>
        <v>1</v>
      </c>
      <c r="N426" s="630"/>
      <c r="O426" s="621">
        <f t="shared" si="72"/>
        <v>1</v>
      </c>
      <c r="P426" s="3490" t="str">
        <f>可抵押车位明细清单!L405</f>
        <v>-2层</v>
      </c>
      <c r="Q426" s="621">
        <f t="shared" si="73"/>
        <v>0.95</v>
      </c>
      <c r="R426" s="681">
        <f t="shared" ca="1" si="74"/>
        <v>11.306800000000001</v>
      </c>
      <c r="S426" s="620">
        <f t="shared" ca="1" si="65"/>
        <v>0</v>
      </c>
    </row>
    <row r="427" spans="1:19">
      <c r="A427" s="628" t="str">
        <f>可抵押车位明细清单!D406</f>
        <v>2#地库376</v>
      </c>
      <c r="B427" s="629">
        <f>可抵押车位明细清单!H406</f>
        <v>28.31</v>
      </c>
      <c r="C427" s="621">
        <f t="shared" si="66"/>
        <v>1</v>
      </c>
      <c r="D427" s="630"/>
      <c r="E427" s="621">
        <f t="shared" si="67"/>
        <v>1</v>
      </c>
      <c r="F427" s="630"/>
      <c r="G427" s="621">
        <f t="shared" si="68"/>
        <v>1</v>
      </c>
      <c r="H427" s="630"/>
      <c r="I427" s="621">
        <f t="shared" si="69"/>
        <v>1</v>
      </c>
      <c r="J427" s="630"/>
      <c r="K427" s="621">
        <f t="shared" si="70"/>
        <v>1</v>
      </c>
      <c r="L427" s="630" t="str">
        <f>可抵押车位明细清单!K406</f>
        <v>标准车位</v>
      </c>
      <c r="M427" s="621">
        <f t="shared" si="71"/>
        <v>1</v>
      </c>
      <c r="N427" s="630"/>
      <c r="O427" s="621">
        <f t="shared" si="72"/>
        <v>1</v>
      </c>
      <c r="P427" s="3490" t="str">
        <f>可抵押车位明细清单!L406</f>
        <v>-2层</v>
      </c>
      <c r="Q427" s="621">
        <f t="shared" si="73"/>
        <v>0.95</v>
      </c>
      <c r="R427" s="681">
        <f t="shared" ca="1" si="74"/>
        <v>11.306800000000001</v>
      </c>
      <c r="S427" s="620">
        <f t="shared" ca="1" si="65"/>
        <v>0</v>
      </c>
    </row>
    <row r="428" spans="1:19">
      <c r="A428" s="628" t="str">
        <f>可抵押车位明细清单!D407</f>
        <v>2#地库377</v>
      </c>
      <c r="B428" s="629">
        <f>可抵押车位明细清单!H407</f>
        <v>29.26</v>
      </c>
      <c r="C428" s="621">
        <f t="shared" si="66"/>
        <v>1</v>
      </c>
      <c r="D428" s="630"/>
      <c r="E428" s="621">
        <f t="shared" si="67"/>
        <v>1</v>
      </c>
      <c r="F428" s="630"/>
      <c r="G428" s="621">
        <f t="shared" si="68"/>
        <v>1</v>
      </c>
      <c r="H428" s="630"/>
      <c r="I428" s="621">
        <f t="shared" si="69"/>
        <v>1</v>
      </c>
      <c r="J428" s="630"/>
      <c r="K428" s="621">
        <f t="shared" si="70"/>
        <v>1</v>
      </c>
      <c r="L428" s="630" t="str">
        <f>可抵押车位明细清单!K407</f>
        <v>标准车位</v>
      </c>
      <c r="M428" s="621">
        <f t="shared" si="71"/>
        <v>1</v>
      </c>
      <c r="N428" s="630"/>
      <c r="O428" s="621">
        <f t="shared" si="72"/>
        <v>1</v>
      </c>
      <c r="P428" s="3490" t="str">
        <f>可抵押车位明细清单!L407</f>
        <v>-2层</v>
      </c>
      <c r="Q428" s="621">
        <f t="shared" si="73"/>
        <v>0.95</v>
      </c>
      <c r="R428" s="681">
        <f t="shared" ca="1" si="74"/>
        <v>11.306800000000001</v>
      </c>
      <c r="S428" s="620">
        <f t="shared" ca="1" si="65"/>
        <v>0</v>
      </c>
    </row>
    <row r="429" spans="1:19">
      <c r="A429" s="628" t="str">
        <f>可抵押车位明细清单!D408</f>
        <v>2#地库378</v>
      </c>
      <c r="B429" s="629">
        <f>可抵押车位明细清单!H408</f>
        <v>29.65</v>
      </c>
      <c r="C429" s="621">
        <f t="shared" si="66"/>
        <v>1</v>
      </c>
      <c r="D429" s="630"/>
      <c r="E429" s="621">
        <f t="shared" si="67"/>
        <v>1</v>
      </c>
      <c r="F429" s="630"/>
      <c r="G429" s="621">
        <f t="shared" si="68"/>
        <v>1</v>
      </c>
      <c r="H429" s="630"/>
      <c r="I429" s="621">
        <f t="shared" si="69"/>
        <v>1</v>
      </c>
      <c r="J429" s="630"/>
      <c r="K429" s="621">
        <f t="shared" si="70"/>
        <v>1</v>
      </c>
      <c r="L429" s="630" t="str">
        <f>可抵押车位明细清单!K408</f>
        <v>标准车位</v>
      </c>
      <c r="M429" s="621">
        <f t="shared" si="71"/>
        <v>1</v>
      </c>
      <c r="N429" s="630"/>
      <c r="O429" s="621">
        <f t="shared" si="72"/>
        <v>1</v>
      </c>
      <c r="P429" s="3490" t="str">
        <f>可抵押车位明细清单!L408</f>
        <v>-2层</v>
      </c>
      <c r="Q429" s="621">
        <f t="shared" si="73"/>
        <v>0.95</v>
      </c>
      <c r="R429" s="681">
        <f t="shared" ca="1" si="74"/>
        <v>11.306800000000001</v>
      </c>
      <c r="S429" s="620">
        <f t="shared" ca="1" si="65"/>
        <v>0</v>
      </c>
    </row>
    <row r="430" spans="1:19">
      <c r="A430" s="628" t="str">
        <f>可抵押车位明细清单!D409</f>
        <v>2#地库379</v>
      </c>
      <c r="B430" s="629">
        <f>可抵押车位明细清单!H409</f>
        <v>29.65</v>
      </c>
      <c r="C430" s="621">
        <f t="shared" si="66"/>
        <v>1</v>
      </c>
      <c r="D430" s="630"/>
      <c r="E430" s="621">
        <f t="shared" si="67"/>
        <v>1</v>
      </c>
      <c r="F430" s="630"/>
      <c r="G430" s="621">
        <f t="shared" si="68"/>
        <v>1</v>
      </c>
      <c r="H430" s="630"/>
      <c r="I430" s="621">
        <f t="shared" si="69"/>
        <v>1</v>
      </c>
      <c r="J430" s="630"/>
      <c r="K430" s="621">
        <f t="shared" si="70"/>
        <v>1</v>
      </c>
      <c r="L430" s="630" t="str">
        <f>可抵押车位明细清单!K409</f>
        <v>标准车位</v>
      </c>
      <c r="M430" s="621">
        <f t="shared" si="71"/>
        <v>1</v>
      </c>
      <c r="N430" s="630"/>
      <c r="O430" s="621">
        <f t="shared" si="72"/>
        <v>1</v>
      </c>
      <c r="P430" s="3490" t="str">
        <f>可抵押车位明细清单!L409</f>
        <v>-2层</v>
      </c>
      <c r="Q430" s="621">
        <f t="shared" si="73"/>
        <v>0.95</v>
      </c>
      <c r="R430" s="681">
        <f t="shared" ca="1" si="74"/>
        <v>11.306800000000001</v>
      </c>
      <c r="S430" s="620">
        <f t="shared" ca="1" si="65"/>
        <v>0</v>
      </c>
    </row>
    <row r="431" spans="1:19">
      <c r="A431" s="628" t="str">
        <f>可抵押车位明细清单!D410</f>
        <v>2#地库383</v>
      </c>
      <c r="B431" s="629">
        <f>可抵押车位明细清单!H410</f>
        <v>27.2</v>
      </c>
      <c r="C431" s="621">
        <f t="shared" si="66"/>
        <v>1</v>
      </c>
      <c r="D431" s="630"/>
      <c r="E431" s="621">
        <f t="shared" si="67"/>
        <v>1</v>
      </c>
      <c r="F431" s="630"/>
      <c r="G431" s="621">
        <f t="shared" si="68"/>
        <v>1</v>
      </c>
      <c r="H431" s="630"/>
      <c r="I431" s="621">
        <f t="shared" si="69"/>
        <v>1</v>
      </c>
      <c r="J431" s="630"/>
      <c r="K431" s="621">
        <f t="shared" si="70"/>
        <v>1</v>
      </c>
      <c r="L431" s="630" t="str">
        <f>可抵押车位明细清单!K410</f>
        <v>标准车位</v>
      </c>
      <c r="M431" s="621">
        <f t="shared" si="71"/>
        <v>1</v>
      </c>
      <c r="N431" s="630"/>
      <c r="O431" s="621">
        <f t="shared" si="72"/>
        <v>1</v>
      </c>
      <c r="P431" s="3490" t="str">
        <f>可抵押车位明细清单!L410</f>
        <v>-2层</v>
      </c>
      <c r="Q431" s="621">
        <f t="shared" si="73"/>
        <v>0.95</v>
      </c>
      <c r="R431" s="681">
        <f t="shared" ca="1" si="74"/>
        <v>11.306800000000001</v>
      </c>
      <c r="S431" s="620">
        <f t="shared" ca="1" si="65"/>
        <v>0</v>
      </c>
    </row>
    <row r="432" spans="1:19">
      <c r="A432" s="628" t="str">
        <f>可抵押车位明细清单!D411</f>
        <v>2#地库384</v>
      </c>
      <c r="B432" s="629">
        <f>可抵押车位明细清单!H411</f>
        <v>27.2</v>
      </c>
      <c r="C432" s="621">
        <f t="shared" si="66"/>
        <v>1</v>
      </c>
      <c r="D432" s="630"/>
      <c r="E432" s="621">
        <f t="shared" si="67"/>
        <v>1</v>
      </c>
      <c r="F432" s="630"/>
      <c r="G432" s="621">
        <f t="shared" si="68"/>
        <v>1</v>
      </c>
      <c r="H432" s="630"/>
      <c r="I432" s="621">
        <f t="shared" si="69"/>
        <v>1</v>
      </c>
      <c r="J432" s="630"/>
      <c r="K432" s="621">
        <f t="shared" si="70"/>
        <v>1</v>
      </c>
      <c r="L432" s="630" t="str">
        <f>可抵押车位明细清单!K411</f>
        <v>标准车位</v>
      </c>
      <c r="M432" s="621">
        <f t="shared" si="71"/>
        <v>1</v>
      </c>
      <c r="N432" s="630"/>
      <c r="O432" s="621">
        <f t="shared" si="72"/>
        <v>1</v>
      </c>
      <c r="P432" s="3490" t="str">
        <f>可抵押车位明细清单!L411</f>
        <v>-2层</v>
      </c>
      <c r="Q432" s="621">
        <f t="shared" si="73"/>
        <v>0.95</v>
      </c>
      <c r="R432" s="681">
        <f t="shared" ca="1" si="74"/>
        <v>11.306800000000001</v>
      </c>
      <c r="S432" s="620">
        <f t="shared" ca="1" si="65"/>
        <v>0</v>
      </c>
    </row>
    <row r="433" spans="1:19">
      <c r="A433" s="628" t="str">
        <f>可抵押车位明细清单!D412</f>
        <v>2#地库385</v>
      </c>
      <c r="B433" s="629">
        <f>可抵押车位明细清单!H412</f>
        <v>29.26</v>
      </c>
      <c r="C433" s="621">
        <f t="shared" si="66"/>
        <v>1</v>
      </c>
      <c r="D433" s="630"/>
      <c r="E433" s="621">
        <f t="shared" si="67"/>
        <v>1</v>
      </c>
      <c r="F433" s="630"/>
      <c r="G433" s="621">
        <f t="shared" si="68"/>
        <v>1</v>
      </c>
      <c r="H433" s="630"/>
      <c r="I433" s="621">
        <f t="shared" si="69"/>
        <v>1</v>
      </c>
      <c r="J433" s="630"/>
      <c r="K433" s="621">
        <f t="shared" si="70"/>
        <v>1</v>
      </c>
      <c r="L433" s="630" t="str">
        <f>可抵押车位明细清单!K412</f>
        <v>标准车位</v>
      </c>
      <c r="M433" s="621">
        <f t="shared" si="71"/>
        <v>1</v>
      </c>
      <c r="N433" s="630"/>
      <c r="O433" s="621">
        <f t="shared" si="72"/>
        <v>1</v>
      </c>
      <c r="P433" s="3490" t="str">
        <f>可抵押车位明细清单!L412</f>
        <v>-2层</v>
      </c>
      <c r="Q433" s="621">
        <f t="shared" si="73"/>
        <v>0.95</v>
      </c>
      <c r="R433" s="681">
        <f t="shared" ca="1" si="74"/>
        <v>11.306800000000001</v>
      </c>
      <c r="S433" s="620">
        <f t="shared" ca="1" si="65"/>
        <v>0</v>
      </c>
    </row>
    <row r="434" spans="1:19">
      <c r="A434" s="628" t="str">
        <f>可抵押车位明细清单!D413</f>
        <v>2#地库386</v>
      </c>
      <c r="B434" s="629">
        <f>可抵押车位明细清单!H413</f>
        <v>28.31</v>
      </c>
      <c r="C434" s="621">
        <f t="shared" si="66"/>
        <v>1</v>
      </c>
      <c r="D434" s="630"/>
      <c r="E434" s="621">
        <f t="shared" si="67"/>
        <v>1</v>
      </c>
      <c r="F434" s="630"/>
      <c r="G434" s="621">
        <f t="shared" si="68"/>
        <v>1</v>
      </c>
      <c r="H434" s="630"/>
      <c r="I434" s="621">
        <f t="shared" si="69"/>
        <v>1</v>
      </c>
      <c r="J434" s="630"/>
      <c r="K434" s="621">
        <f t="shared" si="70"/>
        <v>1</v>
      </c>
      <c r="L434" s="630" t="str">
        <f>可抵押车位明细清单!K413</f>
        <v>标准车位</v>
      </c>
      <c r="M434" s="621">
        <f t="shared" si="71"/>
        <v>1</v>
      </c>
      <c r="N434" s="630"/>
      <c r="O434" s="621">
        <f t="shared" si="72"/>
        <v>1</v>
      </c>
      <c r="P434" s="3490" t="str">
        <f>可抵押车位明细清单!L413</f>
        <v>-2层</v>
      </c>
      <c r="Q434" s="621">
        <f t="shared" si="73"/>
        <v>0.95</v>
      </c>
      <c r="R434" s="681">
        <f t="shared" ca="1" si="74"/>
        <v>11.306800000000001</v>
      </c>
      <c r="S434" s="620">
        <f t="shared" ca="1" si="65"/>
        <v>0</v>
      </c>
    </row>
    <row r="435" spans="1:19">
      <c r="A435" s="628" t="str">
        <f>可抵押车位明细清单!D414</f>
        <v>2#地库387</v>
      </c>
      <c r="B435" s="629">
        <f>可抵押车位明细清单!H414</f>
        <v>29.26</v>
      </c>
      <c r="C435" s="621">
        <f t="shared" si="66"/>
        <v>1</v>
      </c>
      <c r="D435" s="630"/>
      <c r="E435" s="621">
        <f t="shared" si="67"/>
        <v>1</v>
      </c>
      <c r="F435" s="630"/>
      <c r="G435" s="621">
        <f t="shared" si="68"/>
        <v>1</v>
      </c>
      <c r="H435" s="630"/>
      <c r="I435" s="621">
        <f t="shared" si="69"/>
        <v>1</v>
      </c>
      <c r="J435" s="630"/>
      <c r="K435" s="621">
        <f t="shared" si="70"/>
        <v>1</v>
      </c>
      <c r="L435" s="630" t="str">
        <f>可抵押车位明细清单!K414</f>
        <v>标准车位</v>
      </c>
      <c r="M435" s="621">
        <f t="shared" si="71"/>
        <v>1</v>
      </c>
      <c r="N435" s="630"/>
      <c r="O435" s="621">
        <f t="shared" si="72"/>
        <v>1</v>
      </c>
      <c r="P435" s="3490" t="str">
        <f>可抵押车位明细清单!L414</f>
        <v>-2层</v>
      </c>
      <c r="Q435" s="621">
        <f t="shared" si="73"/>
        <v>0.95</v>
      </c>
      <c r="R435" s="681">
        <f t="shared" ca="1" si="74"/>
        <v>11.306800000000001</v>
      </c>
      <c r="S435" s="620">
        <f t="shared" ca="1" si="65"/>
        <v>0</v>
      </c>
    </row>
    <row r="436" spans="1:19">
      <c r="A436" s="628" t="str">
        <f>可抵押车位明细清单!D415</f>
        <v>2#地库391</v>
      </c>
      <c r="B436" s="629">
        <f>可抵押车位明细清单!H415</f>
        <v>29.26</v>
      </c>
      <c r="C436" s="621">
        <f t="shared" si="66"/>
        <v>1</v>
      </c>
      <c r="D436" s="630"/>
      <c r="E436" s="621">
        <f t="shared" si="67"/>
        <v>1</v>
      </c>
      <c r="F436" s="630"/>
      <c r="G436" s="621">
        <f t="shared" si="68"/>
        <v>1</v>
      </c>
      <c r="H436" s="630"/>
      <c r="I436" s="621">
        <f t="shared" si="69"/>
        <v>1</v>
      </c>
      <c r="J436" s="630"/>
      <c r="K436" s="621">
        <f t="shared" si="70"/>
        <v>1</v>
      </c>
      <c r="L436" s="630" t="str">
        <f>可抵押车位明细清单!K415</f>
        <v>标准车位</v>
      </c>
      <c r="M436" s="621">
        <f t="shared" si="71"/>
        <v>1</v>
      </c>
      <c r="N436" s="630"/>
      <c r="O436" s="621">
        <f t="shared" si="72"/>
        <v>1</v>
      </c>
      <c r="P436" s="3490" t="str">
        <f>可抵押车位明细清单!L415</f>
        <v>-2层</v>
      </c>
      <c r="Q436" s="621">
        <f t="shared" si="73"/>
        <v>0.95</v>
      </c>
      <c r="R436" s="681">
        <f t="shared" ca="1" si="74"/>
        <v>11.306800000000001</v>
      </c>
      <c r="S436" s="620">
        <f t="shared" ca="1" si="65"/>
        <v>0</v>
      </c>
    </row>
    <row r="437" spans="1:19">
      <c r="A437" s="628" t="str">
        <f>可抵押车位明细清单!D416</f>
        <v>2#地库392</v>
      </c>
      <c r="B437" s="629">
        <f>可抵押车位明细清单!H416</f>
        <v>28.31</v>
      </c>
      <c r="C437" s="621">
        <f t="shared" si="66"/>
        <v>1</v>
      </c>
      <c r="D437" s="630"/>
      <c r="E437" s="621">
        <f t="shared" si="67"/>
        <v>1</v>
      </c>
      <c r="F437" s="630"/>
      <c r="G437" s="621">
        <f t="shared" si="68"/>
        <v>1</v>
      </c>
      <c r="H437" s="630"/>
      <c r="I437" s="621">
        <f t="shared" si="69"/>
        <v>1</v>
      </c>
      <c r="J437" s="630"/>
      <c r="K437" s="621">
        <f t="shared" si="70"/>
        <v>1</v>
      </c>
      <c r="L437" s="630" t="str">
        <f>可抵押车位明细清单!K416</f>
        <v>标准车位</v>
      </c>
      <c r="M437" s="621">
        <f t="shared" si="71"/>
        <v>1</v>
      </c>
      <c r="N437" s="630"/>
      <c r="O437" s="621">
        <f t="shared" si="72"/>
        <v>1</v>
      </c>
      <c r="P437" s="3490" t="str">
        <f>可抵押车位明细清单!L416</f>
        <v>-2层</v>
      </c>
      <c r="Q437" s="621">
        <f t="shared" si="73"/>
        <v>0.95</v>
      </c>
      <c r="R437" s="681">
        <f t="shared" ca="1" si="74"/>
        <v>11.306800000000001</v>
      </c>
      <c r="S437" s="620">
        <f t="shared" ca="1" si="65"/>
        <v>0</v>
      </c>
    </row>
    <row r="438" spans="1:19">
      <c r="A438" s="628" t="str">
        <f>可抵押车位明细清单!D417</f>
        <v>2#地库393</v>
      </c>
      <c r="B438" s="629">
        <f>可抵押车位明细清单!H417</f>
        <v>29.26</v>
      </c>
      <c r="C438" s="621">
        <f t="shared" si="66"/>
        <v>1</v>
      </c>
      <c r="D438" s="630"/>
      <c r="E438" s="621">
        <f t="shared" si="67"/>
        <v>1</v>
      </c>
      <c r="F438" s="630"/>
      <c r="G438" s="621">
        <f t="shared" si="68"/>
        <v>1</v>
      </c>
      <c r="H438" s="630"/>
      <c r="I438" s="621">
        <f t="shared" si="69"/>
        <v>1</v>
      </c>
      <c r="J438" s="630"/>
      <c r="K438" s="621">
        <f t="shared" si="70"/>
        <v>1</v>
      </c>
      <c r="L438" s="630" t="str">
        <f>可抵押车位明细清单!K417</f>
        <v>标准车位</v>
      </c>
      <c r="M438" s="621">
        <f t="shared" si="71"/>
        <v>1</v>
      </c>
      <c r="N438" s="630"/>
      <c r="O438" s="621">
        <f t="shared" si="72"/>
        <v>1</v>
      </c>
      <c r="P438" s="3490" t="str">
        <f>可抵押车位明细清单!L417</f>
        <v>-2层</v>
      </c>
      <c r="Q438" s="621">
        <f t="shared" si="73"/>
        <v>0.95</v>
      </c>
      <c r="R438" s="681">
        <f t="shared" ca="1" si="74"/>
        <v>11.306800000000001</v>
      </c>
      <c r="S438" s="620">
        <f t="shared" ca="1" si="65"/>
        <v>0</v>
      </c>
    </row>
    <row r="439" spans="1:19">
      <c r="A439" s="628" t="str">
        <f>可抵押车位明细清单!D418</f>
        <v>2#地库394</v>
      </c>
      <c r="B439" s="629">
        <f>可抵押车位明细清单!H418</f>
        <v>28.99</v>
      </c>
      <c r="C439" s="621">
        <f t="shared" si="66"/>
        <v>1</v>
      </c>
      <c r="D439" s="630"/>
      <c r="E439" s="621">
        <f t="shared" si="67"/>
        <v>1</v>
      </c>
      <c r="F439" s="630"/>
      <c r="G439" s="621">
        <f t="shared" si="68"/>
        <v>1</v>
      </c>
      <c r="H439" s="630"/>
      <c r="I439" s="621">
        <f t="shared" si="69"/>
        <v>1</v>
      </c>
      <c r="J439" s="630"/>
      <c r="K439" s="621">
        <f t="shared" si="70"/>
        <v>1</v>
      </c>
      <c r="L439" s="630" t="str">
        <f>可抵押车位明细清单!K418</f>
        <v>标准车位</v>
      </c>
      <c r="M439" s="621">
        <f t="shared" si="71"/>
        <v>1</v>
      </c>
      <c r="N439" s="630"/>
      <c r="O439" s="621">
        <f t="shared" si="72"/>
        <v>1</v>
      </c>
      <c r="P439" s="3490" t="str">
        <f>可抵押车位明细清单!L418</f>
        <v>-2层</v>
      </c>
      <c r="Q439" s="621">
        <f t="shared" si="73"/>
        <v>0.95</v>
      </c>
      <c r="R439" s="681">
        <f t="shared" ca="1" si="74"/>
        <v>11.306800000000001</v>
      </c>
      <c r="S439" s="620">
        <f t="shared" ca="1" si="65"/>
        <v>0</v>
      </c>
    </row>
    <row r="440" spans="1:19">
      <c r="A440" s="628" t="str">
        <f>可抵押车位明细清单!D419</f>
        <v>2#地库395</v>
      </c>
      <c r="B440" s="629">
        <f>可抵押车位明细清单!H419</f>
        <v>28.04</v>
      </c>
      <c r="C440" s="621">
        <f t="shared" si="66"/>
        <v>1</v>
      </c>
      <c r="D440" s="630"/>
      <c r="E440" s="621">
        <f t="shared" si="67"/>
        <v>1</v>
      </c>
      <c r="F440" s="630"/>
      <c r="G440" s="621">
        <f t="shared" si="68"/>
        <v>1</v>
      </c>
      <c r="H440" s="630"/>
      <c r="I440" s="621">
        <f t="shared" si="69"/>
        <v>1</v>
      </c>
      <c r="J440" s="630"/>
      <c r="K440" s="621">
        <f t="shared" si="70"/>
        <v>1</v>
      </c>
      <c r="L440" s="630" t="str">
        <f>可抵押车位明细清单!K419</f>
        <v>标准车位</v>
      </c>
      <c r="M440" s="621">
        <f t="shared" si="71"/>
        <v>1</v>
      </c>
      <c r="N440" s="630"/>
      <c r="O440" s="621">
        <f t="shared" si="72"/>
        <v>1</v>
      </c>
      <c r="P440" s="3490" t="str">
        <f>可抵押车位明细清单!L419</f>
        <v>-2层</v>
      </c>
      <c r="Q440" s="621">
        <f t="shared" si="73"/>
        <v>0.95</v>
      </c>
      <c r="R440" s="681">
        <f t="shared" ca="1" si="74"/>
        <v>11.306800000000001</v>
      </c>
      <c r="S440" s="620">
        <f t="shared" ca="1" si="65"/>
        <v>0</v>
      </c>
    </row>
    <row r="441" spans="1:19">
      <c r="A441" s="628" t="str">
        <f>可抵押车位明细清单!D420</f>
        <v>2#地库396</v>
      </c>
      <c r="B441" s="629">
        <f>可抵押车位明细清单!H420</f>
        <v>28.99</v>
      </c>
      <c r="C441" s="621">
        <f t="shared" si="66"/>
        <v>1</v>
      </c>
      <c r="D441" s="630"/>
      <c r="E441" s="621">
        <f t="shared" si="67"/>
        <v>1</v>
      </c>
      <c r="F441" s="630"/>
      <c r="G441" s="621">
        <f t="shared" si="68"/>
        <v>1</v>
      </c>
      <c r="H441" s="630"/>
      <c r="I441" s="621">
        <f t="shared" si="69"/>
        <v>1</v>
      </c>
      <c r="J441" s="630"/>
      <c r="K441" s="621">
        <f t="shared" si="70"/>
        <v>1</v>
      </c>
      <c r="L441" s="630" t="str">
        <f>可抵押车位明细清单!K420</f>
        <v>标准车位</v>
      </c>
      <c r="M441" s="621">
        <f t="shared" si="71"/>
        <v>1</v>
      </c>
      <c r="N441" s="630"/>
      <c r="O441" s="621">
        <f t="shared" si="72"/>
        <v>1</v>
      </c>
      <c r="P441" s="3490" t="str">
        <f>可抵押车位明细清单!L420</f>
        <v>-2层</v>
      </c>
      <c r="Q441" s="621">
        <f t="shared" si="73"/>
        <v>0.95</v>
      </c>
      <c r="R441" s="681">
        <f t="shared" ca="1" si="74"/>
        <v>11.306800000000001</v>
      </c>
      <c r="S441" s="620">
        <f t="shared" ca="1" si="65"/>
        <v>0</v>
      </c>
    </row>
    <row r="442" spans="1:19">
      <c r="A442" s="628" t="str">
        <f>可抵押车位明细清单!D421</f>
        <v>2#地库397</v>
      </c>
      <c r="B442" s="629">
        <f>可抵押车位明细清单!H421</f>
        <v>28.99</v>
      </c>
      <c r="C442" s="621">
        <f t="shared" si="66"/>
        <v>1</v>
      </c>
      <c r="D442" s="630"/>
      <c r="E442" s="621">
        <f t="shared" si="67"/>
        <v>1</v>
      </c>
      <c r="F442" s="630"/>
      <c r="G442" s="621">
        <f t="shared" si="68"/>
        <v>1</v>
      </c>
      <c r="H442" s="630"/>
      <c r="I442" s="621">
        <f t="shared" si="69"/>
        <v>1</v>
      </c>
      <c r="J442" s="630"/>
      <c r="K442" s="621">
        <f t="shared" si="70"/>
        <v>1</v>
      </c>
      <c r="L442" s="630" t="str">
        <f>可抵押车位明细清单!K421</f>
        <v>标准车位</v>
      </c>
      <c r="M442" s="621">
        <f t="shared" si="71"/>
        <v>1</v>
      </c>
      <c r="N442" s="630"/>
      <c r="O442" s="621">
        <f t="shared" si="72"/>
        <v>1</v>
      </c>
      <c r="P442" s="3490" t="str">
        <f>可抵押车位明细清单!L421</f>
        <v>-2层</v>
      </c>
      <c r="Q442" s="621">
        <f t="shared" si="73"/>
        <v>0.95</v>
      </c>
      <c r="R442" s="681">
        <f t="shared" ca="1" si="74"/>
        <v>11.306800000000001</v>
      </c>
      <c r="S442" s="620">
        <f t="shared" ca="1" si="65"/>
        <v>0</v>
      </c>
    </row>
    <row r="443" spans="1:19">
      <c r="A443" s="628" t="str">
        <f>可抵押车位明细清单!D422</f>
        <v>2#地库398</v>
      </c>
      <c r="B443" s="629">
        <f>可抵押车位明细清单!H422</f>
        <v>28.04</v>
      </c>
      <c r="C443" s="621">
        <f t="shared" si="66"/>
        <v>1</v>
      </c>
      <c r="D443" s="630"/>
      <c r="E443" s="621">
        <f t="shared" si="67"/>
        <v>1</v>
      </c>
      <c r="F443" s="630"/>
      <c r="G443" s="621">
        <f t="shared" si="68"/>
        <v>1</v>
      </c>
      <c r="H443" s="630"/>
      <c r="I443" s="621">
        <f t="shared" si="69"/>
        <v>1</v>
      </c>
      <c r="J443" s="630"/>
      <c r="K443" s="621">
        <f t="shared" si="70"/>
        <v>1</v>
      </c>
      <c r="L443" s="630" t="str">
        <f>可抵押车位明细清单!K422</f>
        <v>标准车位</v>
      </c>
      <c r="M443" s="621">
        <f t="shared" si="71"/>
        <v>1</v>
      </c>
      <c r="N443" s="630"/>
      <c r="O443" s="621">
        <f t="shared" si="72"/>
        <v>1</v>
      </c>
      <c r="P443" s="3490" t="str">
        <f>可抵押车位明细清单!L422</f>
        <v>-2层</v>
      </c>
      <c r="Q443" s="621">
        <f t="shared" si="73"/>
        <v>0.95</v>
      </c>
      <c r="R443" s="681">
        <f t="shared" ca="1" si="74"/>
        <v>11.306800000000001</v>
      </c>
      <c r="S443" s="620">
        <f t="shared" ca="1" si="65"/>
        <v>0</v>
      </c>
    </row>
    <row r="444" spans="1:19">
      <c r="A444" s="628" t="str">
        <f>可抵押车位明细清单!D423</f>
        <v>2#地库399</v>
      </c>
      <c r="B444" s="629">
        <f>可抵押车位明细清单!H423</f>
        <v>28.99</v>
      </c>
      <c r="C444" s="621">
        <f t="shared" si="66"/>
        <v>1</v>
      </c>
      <c r="D444" s="630"/>
      <c r="E444" s="621">
        <f t="shared" si="67"/>
        <v>1</v>
      </c>
      <c r="F444" s="630"/>
      <c r="G444" s="621">
        <f t="shared" si="68"/>
        <v>1</v>
      </c>
      <c r="H444" s="630"/>
      <c r="I444" s="621">
        <f t="shared" si="69"/>
        <v>1</v>
      </c>
      <c r="J444" s="630"/>
      <c r="K444" s="621">
        <f t="shared" si="70"/>
        <v>1</v>
      </c>
      <c r="L444" s="630" t="str">
        <f>可抵押车位明细清单!K423</f>
        <v>标准车位</v>
      </c>
      <c r="M444" s="621">
        <f t="shared" si="71"/>
        <v>1</v>
      </c>
      <c r="N444" s="630"/>
      <c r="O444" s="621">
        <f t="shared" si="72"/>
        <v>1</v>
      </c>
      <c r="P444" s="3490" t="str">
        <f>可抵押车位明细清单!L423</f>
        <v>-2层</v>
      </c>
      <c r="Q444" s="621">
        <f t="shared" si="73"/>
        <v>0.95</v>
      </c>
      <c r="R444" s="681">
        <f t="shared" ca="1" si="74"/>
        <v>11.306800000000001</v>
      </c>
      <c r="S444" s="620">
        <f t="shared" ca="1" si="65"/>
        <v>0</v>
      </c>
    </row>
    <row r="445" spans="1:19">
      <c r="A445" s="628" t="str">
        <f>可抵押车位明细清单!D424</f>
        <v>2#地库400</v>
      </c>
      <c r="B445" s="629">
        <f>可抵押车位明细清单!H424</f>
        <v>28.99</v>
      </c>
      <c r="C445" s="621">
        <f t="shared" si="66"/>
        <v>1</v>
      </c>
      <c r="D445" s="630"/>
      <c r="E445" s="621">
        <f t="shared" si="67"/>
        <v>1</v>
      </c>
      <c r="F445" s="630"/>
      <c r="G445" s="621">
        <f t="shared" si="68"/>
        <v>1</v>
      </c>
      <c r="H445" s="630"/>
      <c r="I445" s="621">
        <f t="shared" si="69"/>
        <v>1</v>
      </c>
      <c r="J445" s="630"/>
      <c r="K445" s="621">
        <f t="shared" si="70"/>
        <v>1</v>
      </c>
      <c r="L445" s="630" t="str">
        <f>可抵押车位明细清单!K424</f>
        <v>标准车位</v>
      </c>
      <c r="M445" s="621">
        <f t="shared" si="71"/>
        <v>1</v>
      </c>
      <c r="N445" s="630"/>
      <c r="O445" s="621">
        <f t="shared" si="72"/>
        <v>1</v>
      </c>
      <c r="P445" s="3490" t="str">
        <f>可抵押车位明细清单!L424</f>
        <v>-2层</v>
      </c>
      <c r="Q445" s="621">
        <f t="shared" si="73"/>
        <v>0.95</v>
      </c>
      <c r="R445" s="681">
        <f t="shared" ca="1" si="74"/>
        <v>11.306800000000001</v>
      </c>
      <c r="S445" s="620">
        <f t="shared" ca="1" si="65"/>
        <v>0</v>
      </c>
    </row>
    <row r="446" spans="1:19">
      <c r="A446" s="628" t="str">
        <f>可抵押车位明细清单!D425</f>
        <v>2#地库401</v>
      </c>
      <c r="B446" s="629">
        <f>可抵押车位明细清单!H425</f>
        <v>28.04</v>
      </c>
      <c r="C446" s="621">
        <f t="shared" si="66"/>
        <v>1</v>
      </c>
      <c r="D446" s="630"/>
      <c r="E446" s="621">
        <f t="shared" si="67"/>
        <v>1</v>
      </c>
      <c r="F446" s="630"/>
      <c r="G446" s="621">
        <f t="shared" si="68"/>
        <v>1</v>
      </c>
      <c r="H446" s="630"/>
      <c r="I446" s="621">
        <f t="shared" si="69"/>
        <v>1</v>
      </c>
      <c r="J446" s="630"/>
      <c r="K446" s="621">
        <f t="shared" si="70"/>
        <v>1</v>
      </c>
      <c r="L446" s="630" t="str">
        <f>可抵押车位明细清单!K425</f>
        <v>标准车位</v>
      </c>
      <c r="M446" s="621">
        <f t="shared" si="71"/>
        <v>1</v>
      </c>
      <c r="N446" s="630"/>
      <c r="O446" s="621">
        <f t="shared" si="72"/>
        <v>1</v>
      </c>
      <c r="P446" s="3490" t="str">
        <f>可抵押车位明细清单!L425</f>
        <v>-2层</v>
      </c>
      <c r="Q446" s="621">
        <f t="shared" si="73"/>
        <v>0.95</v>
      </c>
      <c r="R446" s="681">
        <f t="shared" ca="1" si="74"/>
        <v>11.306800000000001</v>
      </c>
      <c r="S446" s="620">
        <f t="shared" ca="1" si="65"/>
        <v>0</v>
      </c>
    </row>
    <row r="447" spans="1:19">
      <c r="A447" s="628" t="str">
        <f>可抵押车位明细清单!D426</f>
        <v>2#地库402</v>
      </c>
      <c r="B447" s="629">
        <f>可抵押车位明细清单!H426</f>
        <v>28.99</v>
      </c>
      <c r="C447" s="621">
        <f t="shared" si="66"/>
        <v>1</v>
      </c>
      <c r="D447" s="630"/>
      <c r="E447" s="621">
        <f t="shared" si="67"/>
        <v>1</v>
      </c>
      <c r="F447" s="630"/>
      <c r="G447" s="621">
        <f t="shared" si="68"/>
        <v>1</v>
      </c>
      <c r="H447" s="630"/>
      <c r="I447" s="621">
        <f t="shared" si="69"/>
        <v>1</v>
      </c>
      <c r="J447" s="630"/>
      <c r="K447" s="621">
        <f t="shared" si="70"/>
        <v>1</v>
      </c>
      <c r="L447" s="630" t="str">
        <f>可抵押车位明细清单!K426</f>
        <v>标准车位</v>
      </c>
      <c r="M447" s="621">
        <f t="shared" si="71"/>
        <v>1</v>
      </c>
      <c r="N447" s="630"/>
      <c r="O447" s="621">
        <f t="shared" si="72"/>
        <v>1</v>
      </c>
      <c r="P447" s="3490" t="str">
        <f>可抵押车位明细清单!L426</f>
        <v>-2层</v>
      </c>
      <c r="Q447" s="621">
        <f t="shared" si="73"/>
        <v>0.95</v>
      </c>
      <c r="R447" s="681">
        <f t="shared" ca="1" si="74"/>
        <v>11.306800000000001</v>
      </c>
      <c r="S447" s="620">
        <f t="shared" ca="1" si="65"/>
        <v>0</v>
      </c>
    </row>
    <row r="448" spans="1:19">
      <c r="A448" s="628" t="str">
        <f>可抵押车位明细清单!D427</f>
        <v>2#地库403</v>
      </c>
      <c r="B448" s="629">
        <f>可抵押车位明细清单!H427</f>
        <v>28.99</v>
      </c>
      <c r="C448" s="621">
        <f t="shared" si="66"/>
        <v>1</v>
      </c>
      <c r="D448" s="630"/>
      <c r="E448" s="621">
        <f t="shared" si="67"/>
        <v>1</v>
      </c>
      <c r="F448" s="630"/>
      <c r="G448" s="621">
        <f t="shared" si="68"/>
        <v>1</v>
      </c>
      <c r="H448" s="630"/>
      <c r="I448" s="621">
        <f t="shared" si="69"/>
        <v>1</v>
      </c>
      <c r="J448" s="630"/>
      <c r="K448" s="621">
        <f t="shared" si="70"/>
        <v>1</v>
      </c>
      <c r="L448" s="630" t="str">
        <f>可抵押车位明细清单!K427</f>
        <v>标准车位</v>
      </c>
      <c r="M448" s="621">
        <f t="shared" si="71"/>
        <v>1</v>
      </c>
      <c r="N448" s="630"/>
      <c r="O448" s="621">
        <f t="shared" si="72"/>
        <v>1</v>
      </c>
      <c r="P448" s="3490" t="str">
        <f>可抵押车位明细清单!L427</f>
        <v>-2层</v>
      </c>
      <c r="Q448" s="621">
        <f t="shared" si="73"/>
        <v>0.95</v>
      </c>
      <c r="R448" s="681">
        <f t="shared" ca="1" si="74"/>
        <v>11.306800000000001</v>
      </c>
      <c r="S448" s="620">
        <f t="shared" ca="1" si="65"/>
        <v>0</v>
      </c>
    </row>
    <row r="449" spans="1:19">
      <c r="A449" s="628" t="str">
        <f>可抵押车位明细清单!D428</f>
        <v>2#地库404</v>
      </c>
      <c r="B449" s="629">
        <f>可抵押车位明细清单!H428</f>
        <v>28.04</v>
      </c>
      <c r="C449" s="621">
        <f t="shared" si="66"/>
        <v>1</v>
      </c>
      <c r="D449" s="630"/>
      <c r="E449" s="621">
        <f t="shared" si="67"/>
        <v>1</v>
      </c>
      <c r="F449" s="630"/>
      <c r="G449" s="621">
        <f t="shared" si="68"/>
        <v>1</v>
      </c>
      <c r="H449" s="630"/>
      <c r="I449" s="621">
        <f t="shared" si="69"/>
        <v>1</v>
      </c>
      <c r="J449" s="630"/>
      <c r="K449" s="621">
        <f t="shared" si="70"/>
        <v>1</v>
      </c>
      <c r="L449" s="630" t="str">
        <f>可抵押车位明细清单!K428</f>
        <v>标准车位</v>
      </c>
      <c r="M449" s="621">
        <f t="shared" si="71"/>
        <v>1</v>
      </c>
      <c r="N449" s="630"/>
      <c r="O449" s="621">
        <f t="shared" si="72"/>
        <v>1</v>
      </c>
      <c r="P449" s="3490" t="str">
        <f>可抵押车位明细清单!L428</f>
        <v>-2层</v>
      </c>
      <c r="Q449" s="621">
        <f t="shared" si="73"/>
        <v>0.95</v>
      </c>
      <c r="R449" s="681">
        <f t="shared" ca="1" si="74"/>
        <v>11.306800000000001</v>
      </c>
      <c r="S449" s="620">
        <f t="shared" ca="1" si="65"/>
        <v>0</v>
      </c>
    </row>
    <row r="450" spans="1:19">
      <c r="A450" s="628" t="str">
        <f>可抵押车位明细清单!D429</f>
        <v>2#地库405</v>
      </c>
      <c r="B450" s="629">
        <f>可抵押车位明细清单!H429</f>
        <v>28.99</v>
      </c>
      <c r="C450" s="621">
        <f t="shared" si="66"/>
        <v>1</v>
      </c>
      <c r="D450" s="630"/>
      <c r="E450" s="621">
        <f t="shared" si="67"/>
        <v>1</v>
      </c>
      <c r="F450" s="630"/>
      <c r="G450" s="621">
        <f t="shared" si="68"/>
        <v>1</v>
      </c>
      <c r="H450" s="630"/>
      <c r="I450" s="621">
        <f t="shared" si="69"/>
        <v>1</v>
      </c>
      <c r="J450" s="630"/>
      <c r="K450" s="621">
        <f t="shared" si="70"/>
        <v>1</v>
      </c>
      <c r="L450" s="630" t="str">
        <f>可抵押车位明细清单!K429</f>
        <v>标准车位</v>
      </c>
      <c r="M450" s="621">
        <f t="shared" si="71"/>
        <v>1</v>
      </c>
      <c r="N450" s="630"/>
      <c r="O450" s="621">
        <f t="shared" si="72"/>
        <v>1</v>
      </c>
      <c r="P450" s="3490" t="str">
        <f>可抵押车位明细清单!L429</f>
        <v>-2层</v>
      </c>
      <c r="Q450" s="621">
        <f t="shared" si="73"/>
        <v>0.95</v>
      </c>
      <c r="R450" s="681">
        <f t="shared" ca="1" si="74"/>
        <v>11.306800000000001</v>
      </c>
      <c r="S450" s="620">
        <f t="shared" ca="1" si="65"/>
        <v>0</v>
      </c>
    </row>
    <row r="451" spans="1:19">
      <c r="A451" s="628" t="str">
        <f>可抵押车位明细清单!D430</f>
        <v>2#地库406</v>
      </c>
      <c r="B451" s="629">
        <f>可抵押车位明细清单!H430</f>
        <v>28.99</v>
      </c>
      <c r="C451" s="621">
        <f t="shared" si="66"/>
        <v>1</v>
      </c>
      <c r="D451" s="630"/>
      <c r="E451" s="621">
        <f t="shared" si="67"/>
        <v>1</v>
      </c>
      <c r="F451" s="630"/>
      <c r="G451" s="621">
        <f t="shared" si="68"/>
        <v>1</v>
      </c>
      <c r="H451" s="630"/>
      <c r="I451" s="621">
        <f t="shared" si="69"/>
        <v>1</v>
      </c>
      <c r="J451" s="630"/>
      <c r="K451" s="621">
        <f t="shared" si="70"/>
        <v>1</v>
      </c>
      <c r="L451" s="630" t="str">
        <f>可抵押车位明细清单!K430</f>
        <v>标准车位</v>
      </c>
      <c r="M451" s="621">
        <f t="shared" si="71"/>
        <v>1</v>
      </c>
      <c r="N451" s="630"/>
      <c r="O451" s="621">
        <f t="shared" si="72"/>
        <v>1</v>
      </c>
      <c r="P451" s="3490" t="str">
        <f>可抵押车位明细清单!L430</f>
        <v>-2层</v>
      </c>
      <c r="Q451" s="621">
        <f t="shared" si="73"/>
        <v>0.95</v>
      </c>
      <c r="R451" s="681">
        <f t="shared" ca="1" si="74"/>
        <v>11.306800000000001</v>
      </c>
      <c r="S451" s="620">
        <f t="shared" ca="1" si="65"/>
        <v>0</v>
      </c>
    </row>
    <row r="452" spans="1:19">
      <c r="A452" s="628" t="str">
        <f>可抵押车位明细清单!D431</f>
        <v>2#地库407</v>
      </c>
      <c r="B452" s="629">
        <f>可抵押车位明细清单!H431</f>
        <v>28.04</v>
      </c>
      <c r="C452" s="621">
        <f t="shared" si="66"/>
        <v>1</v>
      </c>
      <c r="D452" s="630"/>
      <c r="E452" s="621">
        <f t="shared" si="67"/>
        <v>1</v>
      </c>
      <c r="F452" s="630"/>
      <c r="G452" s="621">
        <f t="shared" si="68"/>
        <v>1</v>
      </c>
      <c r="H452" s="630"/>
      <c r="I452" s="621">
        <f t="shared" si="69"/>
        <v>1</v>
      </c>
      <c r="J452" s="630"/>
      <c r="K452" s="621">
        <f t="shared" si="70"/>
        <v>1</v>
      </c>
      <c r="L452" s="630" t="str">
        <f>可抵押车位明细清单!K431</f>
        <v>标准车位</v>
      </c>
      <c r="M452" s="621">
        <f t="shared" si="71"/>
        <v>1</v>
      </c>
      <c r="N452" s="630"/>
      <c r="O452" s="621">
        <f t="shared" si="72"/>
        <v>1</v>
      </c>
      <c r="P452" s="3490" t="str">
        <f>可抵押车位明细清单!L431</f>
        <v>-2层</v>
      </c>
      <c r="Q452" s="621">
        <f t="shared" si="73"/>
        <v>0.95</v>
      </c>
      <c r="R452" s="681">
        <f t="shared" ca="1" si="74"/>
        <v>11.306800000000001</v>
      </c>
      <c r="S452" s="620">
        <f t="shared" ca="1" si="65"/>
        <v>0</v>
      </c>
    </row>
    <row r="453" spans="1:19">
      <c r="A453" s="628" t="str">
        <f>可抵押车位明细清单!D432</f>
        <v>2#地库408</v>
      </c>
      <c r="B453" s="629">
        <f>可抵押车位明细清单!H432</f>
        <v>28.99</v>
      </c>
      <c r="C453" s="621">
        <f t="shared" si="66"/>
        <v>1</v>
      </c>
      <c r="D453" s="630"/>
      <c r="E453" s="621">
        <f t="shared" si="67"/>
        <v>1</v>
      </c>
      <c r="F453" s="630"/>
      <c r="G453" s="621">
        <f t="shared" si="68"/>
        <v>1</v>
      </c>
      <c r="H453" s="630"/>
      <c r="I453" s="621">
        <f t="shared" si="69"/>
        <v>1</v>
      </c>
      <c r="J453" s="630"/>
      <c r="K453" s="621">
        <f t="shared" si="70"/>
        <v>1</v>
      </c>
      <c r="L453" s="630" t="str">
        <f>可抵押车位明细清单!K432</f>
        <v>标准车位</v>
      </c>
      <c r="M453" s="621">
        <f t="shared" si="71"/>
        <v>1</v>
      </c>
      <c r="N453" s="630"/>
      <c r="O453" s="621">
        <f t="shared" si="72"/>
        <v>1</v>
      </c>
      <c r="P453" s="3490" t="str">
        <f>可抵押车位明细清单!L432</f>
        <v>-2层</v>
      </c>
      <c r="Q453" s="621">
        <f t="shared" si="73"/>
        <v>0.95</v>
      </c>
      <c r="R453" s="681">
        <f t="shared" ca="1" si="74"/>
        <v>11.306800000000001</v>
      </c>
      <c r="S453" s="620">
        <f t="shared" ca="1" si="65"/>
        <v>0</v>
      </c>
    </row>
    <row r="454" spans="1:19">
      <c r="A454" s="628" t="str">
        <f>可抵押车位明细清单!D433</f>
        <v>2#地库409</v>
      </c>
      <c r="B454" s="629">
        <f>可抵押车位明细清单!H433</f>
        <v>28.99</v>
      </c>
      <c r="C454" s="621">
        <f t="shared" si="66"/>
        <v>1</v>
      </c>
      <c r="D454" s="630"/>
      <c r="E454" s="621">
        <f t="shared" si="67"/>
        <v>1</v>
      </c>
      <c r="F454" s="630"/>
      <c r="G454" s="621">
        <f t="shared" si="68"/>
        <v>1</v>
      </c>
      <c r="H454" s="630"/>
      <c r="I454" s="621">
        <f t="shared" si="69"/>
        <v>1</v>
      </c>
      <c r="J454" s="630"/>
      <c r="K454" s="621">
        <f t="shared" si="70"/>
        <v>1</v>
      </c>
      <c r="L454" s="630" t="str">
        <f>可抵押车位明细清单!K433</f>
        <v>标准车位</v>
      </c>
      <c r="M454" s="621">
        <f t="shared" si="71"/>
        <v>1</v>
      </c>
      <c r="N454" s="630"/>
      <c r="O454" s="621">
        <f t="shared" si="72"/>
        <v>1</v>
      </c>
      <c r="P454" s="3490" t="str">
        <f>可抵押车位明细清单!L433</f>
        <v>-2层</v>
      </c>
      <c r="Q454" s="621">
        <f t="shared" si="73"/>
        <v>0.95</v>
      </c>
      <c r="R454" s="681">
        <f t="shared" ca="1" si="74"/>
        <v>11.306800000000001</v>
      </c>
      <c r="S454" s="620">
        <f t="shared" ca="1" si="65"/>
        <v>0</v>
      </c>
    </row>
    <row r="455" spans="1:19">
      <c r="A455" s="628" t="str">
        <f>可抵押车位明细清单!D434</f>
        <v>2#地库410</v>
      </c>
      <c r="B455" s="629">
        <f>可抵押车位明细清单!H434</f>
        <v>28.04</v>
      </c>
      <c r="C455" s="621">
        <f t="shared" si="66"/>
        <v>1</v>
      </c>
      <c r="D455" s="630"/>
      <c r="E455" s="621">
        <f t="shared" si="67"/>
        <v>1</v>
      </c>
      <c r="F455" s="630"/>
      <c r="G455" s="621">
        <f t="shared" si="68"/>
        <v>1</v>
      </c>
      <c r="H455" s="630"/>
      <c r="I455" s="621">
        <f t="shared" si="69"/>
        <v>1</v>
      </c>
      <c r="J455" s="630"/>
      <c r="K455" s="621">
        <f t="shared" si="70"/>
        <v>1</v>
      </c>
      <c r="L455" s="630" t="str">
        <f>可抵押车位明细清单!K434</f>
        <v>标准车位</v>
      </c>
      <c r="M455" s="621">
        <f t="shared" si="71"/>
        <v>1</v>
      </c>
      <c r="N455" s="630"/>
      <c r="O455" s="621">
        <f t="shared" si="72"/>
        <v>1</v>
      </c>
      <c r="P455" s="3490" t="str">
        <f>可抵押车位明细清单!L434</f>
        <v>-2层</v>
      </c>
      <c r="Q455" s="621">
        <f t="shared" si="73"/>
        <v>0.95</v>
      </c>
      <c r="R455" s="681">
        <f t="shared" ca="1" si="74"/>
        <v>11.306800000000001</v>
      </c>
      <c r="S455" s="620">
        <f t="shared" ca="1" si="65"/>
        <v>0</v>
      </c>
    </row>
    <row r="456" spans="1:19">
      <c r="A456" s="628" t="str">
        <f>可抵押车位明细清单!D435</f>
        <v>2#地库411</v>
      </c>
      <c r="B456" s="629">
        <f>可抵押车位明细清单!H435</f>
        <v>28.99</v>
      </c>
      <c r="C456" s="621">
        <f t="shared" si="66"/>
        <v>1</v>
      </c>
      <c r="D456" s="630"/>
      <c r="E456" s="621">
        <f t="shared" si="67"/>
        <v>1</v>
      </c>
      <c r="F456" s="630"/>
      <c r="G456" s="621">
        <f t="shared" si="68"/>
        <v>1</v>
      </c>
      <c r="H456" s="630"/>
      <c r="I456" s="621">
        <f t="shared" si="69"/>
        <v>1</v>
      </c>
      <c r="J456" s="630"/>
      <c r="K456" s="621">
        <f t="shared" si="70"/>
        <v>1</v>
      </c>
      <c r="L456" s="630" t="str">
        <f>可抵押车位明细清单!K435</f>
        <v>标准车位</v>
      </c>
      <c r="M456" s="621">
        <f t="shared" si="71"/>
        <v>1</v>
      </c>
      <c r="N456" s="630"/>
      <c r="O456" s="621">
        <f t="shared" si="72"/>
        <v>1</v>
      </c>
      <c r="P456" s="3490" t="str">
        <f>可抵押车位明细清单!L435</f>
        <v>-2层</v>
      </c>
      <c r="Q456" s="621">
        <f t="shared" si="73"/>
        <v>0.95</v>
      </c>
      <c r="R456" s="681">
        <f t="shared" ca="1" si="74"/>
        <v>11.306800000000001</v>
      </c>
      <c r="S456" s="620">
        <f t="shared" ca="1" si="65"/>
        <v>0</v>
      </c>
    </row>
    <row r="457" spans="1:19">
      <c r="A457" s="628" t="str">
        <f>可抵押车位明细清单!D436</f>
        <v>2#地库412</v>
      </c>
      <c r="B457" s="629">
        <f>可抵押车位明细清单!H436</f>
        <v>28.72</v>
      </c>
      <c r="C457" s="621">
        <f t="shared" si="66"/>
        <v>1</v>
      </c>
      <c r="D457" s="630"/>
      <c r="E457" s="621">
        <f t="shared" si="67"/>
        <v>1</v>
      </c>
      <c r="F457" s="630"/>
      <c r="G457" s="621">
        <f t="shared" si="68"/>
        <v>1</v>
      </c>
      <c r="H457" s="630"/>
      <c r="I457" s="621">
        <f t="shared" si="69"/>
        <v>1</v>
      </c>
      <c r="J457" s="630"/>
      <c r="K457" s="621">
        <f t="shared" si="70"/>
        <v>1</v>
      </c>
      <c r="L457" s="630" t="str">
        <f>可抵押车位明细清单!K436</f>
        <v>标准车位</v>
      </c>
      <c r="M457" s="621">
        <f t="shared" si="71"/>
        <v>1</v>
      </c>
      <c r="N457" s="630"/>
      <c r="O457" s="621">
        <f t="shared" si="72"/>
        <v>1</v>
      </c>
      <c r="P457" s="3490" t="str">
        <f>可抵押车位明细清单!L436</f>
        <v>-2层</v>
      </c>
      <c r="Q457" s="621">
        <f t="shared" si="73"/>
        <v>0.95</v>
      </c>
      <c r="R457" s="681">
        <f t="shared" ca="1" si="74"/>
        <v>11.306800000000001</v>
      </c>
      <c r="S457" s="620">
        <f t="shared" ca="1" si="65"/>
        <v>0</v>
      </c>
    </row>
    <row r="458" spans="1:19">
      <c r="A458" s="628" t="str">
        <f>可抵押车位明细清单!D437</f>
        <v>2#地库413</v>
      </c>
      <c r="B458" s="629">
        <f>可抵押车位明细清单!H437</f>
        <v>27.76</v>
      </c>
      <c r="C458" s="621">
        <f t="shared" si="66"/>
        <v>1</v>
      </c>
      <c r="D458" s="630"/>
      <c r="E458" s="621">
        <f t="shared" si="67"/>
        <v>1</v>
      </c>
      <c r="F458" s="630"/>
      <c r="G458" s="621">
        <f t="shared" si="68"/>
        <v>1</v>
      </c>
      <c r="H458" s="630"/>
      <c r="I458" s="621">
        <f t="shared" si="69"/>
        <v>1</v>
      </c>
      <c r="J458" s="630"/>
      <c r="K458" s="621">
        <f t="shared" si="70"/>
        <v>1</v>
      </c>
      <c r="L458" s="630" t="str">
        <f>可抵押车位明细清单!K437</f>
        <v>标准车位</v>
      </c>
      <c r="M458" s="621">
        <f t="shared" si="71"/>
        <v>1</v>
      </c>
      <c r="N458" s="630"/>
      <c r="O458" s="621">
        <f t="shared" si="72"/>
        <v>1</v>
      </c>
      <c r="P458" s="3490" t="str">
        <f>可抵押车位明细清单!L437</f>
        <v>-2层</v>
      </c>
      <c r="Q458" s="621">
        <f t="shared" si="73"/>
        <v>0.95</v>
      </c>
      <c r="R458" s="681">
        <f t="shared" ca="1" si="74"/>
        <v>11.306800000000001</v>
      </c>
      <c r="S458" s="620">
        <f t="shared" ca="1" si="65"/>
        <v>0</v>
      </c>
    </row>
    <row r="459" spans="1:19">
      <c r="A459" s="628" t="str">
        <f>可抵押车位明细清单!D438</f>
        <v>2#地库414</v>
      </c>
      <c r="B459" s="629">
        <f>可抵押车位明细清单!H438</f>
        <v>28.72</v>
      </c>
      <c r="C459" s="621">
        <f t="shared" si="66"/>
        <v>1</v>
      </c>
      <c r="D459" s="630"/>
      <c r="E459" s="621">
        <f t="shared" si="67"/>
        <v>1</v>
      </c>
      <c r="F459" s="630"/>
      <c r="G459" s="621">
        <f t="shared" si="68"/>
        <v>1</v>
      </c>
      <c r="H459" s="630"/>
      <c r="I459" s="621">
        <f t="shared" si="69"/>
        <v>1</v>
      </c>
      <c r="J459" s="630"/>
      <c r="K459" s="621">
        <f t="shared" si="70"/>
        <v>1</v>
      </c>
      <c r="L459" s="630" t="str">
        <f>可抵押车位明细清单!K438</f>
        <v>标准车位</v>
      </c>
      <c r="M459" s="621">
        <f t="shared" si="71"/>
        <v>1</v>
      </c>
      <c r="N459" s="630"/>
      <c r="O459" s="621">
        <f t="shared" si="72"/>
        <v>1</v>
      </c>
      <c r="P459" s="3490" t="str">
        <f>可抵押车位明细清单!L438</f>
        <v>-2层</v>
      </c>
      <c r="Q459" s="621">
        <f t="shared" si="73"/>
        <v>0.95</v>
      </c>
      <c r="R459" s="681">
        <f t="shared" ca="1" si="74"/>
        <v>11.306800000000001</v>
      </c>
      <c r="S459" s="620">
        <f t="shared" ca="1" si="65"/>
        <v>0</v>
      </c>
    </row>
    <row r="460" spans="1:19">
      <c r="A460" s="628" t="str">
        <f>可抵押车位明细清单!D439</f>
        <v>2#地库415</v>
      </c>
      <c r="B460" s="629">
        <f>可抵押车位明细清单!H439</f>
        <v>28.72</v>
      </c>
      <c r="C460" s="621">
        <f t="shared" si="66"/>
        <v>1</v>
      </c>
      <c r="D460" s="630"/>
      <c r="E460" s="621">
        <f t="shared" si="67"/>
        <v>1</v>
      </c>
      <c r="F460" s="630"/>
      <c r="G460" s="621">
        <f t="shared" si="68"/>
        <v>1</v>
      </c>
      <c r="H460" s="630"/>
      <c r="I460" s="621">
        <f t="shared" si="69"/>
        <v>1</v>
      </c>
      <c r="J460" s="630"/>
      <c r="K460" s="621">
        <f t="shared" si="70"/>
        <v>1</v>
      </c>
      <c r="L460" s="630" t="str">
        <f>可抵押车位明细清单!K439</f>
        <v>标准车位</v>
      </c>
      <c r="M460" s="621">
        <f t="shared" si="71"/>
        <v>1</v>
      </c>
      <c r="N460" s="630"/>
      <c r="O460" s="621">
        <f t="shared" si="72"/>
        <v>1</v>
      </c>
      <c r="P460" s="3490" t="str">
        <f>可抵押车位明细清单!L439</f>
        <v>-2层</v>
      </c>
      <c r="Q460" s="621">
        <f t="shared" si="73"/>
        <v>0.95</v>
      </c>
      <c r="R460" s="681">
        <f t="shared" ca="1" si="74"/>
        <v>11.306800000000001</v>
      </c>
      <c r="S460" s="620">
        <f t="shared" ca="1" si="65"/>
        <v>0</v>
      </c>
    </row>
    <row r="461" spans="1:19">
      <c r="A461" s="628" t="str">
        <f>可抵押车位明细清单!D440</f>
        <v>2#地库416</v>
      </c>
      <c r="B461" s="629">
        <f>可抵押车位明细清单!H440</f>
        <v>27.76</v>
      </c>
      <c r="C461" s="621">
        <f t="shared" si="66"/>
        <v>1</v>
      </c>
      <c r="D461" s="630"/>
      <c r="E461" s="621">
        <f t="shared" si="67"/>
        <v>1</v>
      </c>
      <c r="F461" s="630"/>
      <c r="G461" s="621">
        <f t="shared" si="68"/>
        <v>1</v>
      </c>
      <c r="H461" s="630"/>
      <c r="I461" s="621">
        <f t="shared" si="69"/>
        <v>1</v>
      </c>
      <c r="J461" s="630"/>
      <c r="K461" s="621">
        <f t="shared" si="70"/>
        <v>1</v>
      </c>
      <c r="L461" s="630" t="str">
        <f>可抵押车位明细清单!K440</f>
        <v>标准车位</v>
      </c>
      <c r="M461" s="621">
        <f t="shared" si="71"/>
        <v>1</v>
      </c>
      <c r="N461" s="630"/>
      <c r="O461" s="621">
        <f t="shared" si="72"/>
        <v>1</v>
      </c>
      <c r="P461" s="3490" t="str">
        <f>可抵押车位明细清单!L440</f>
        <v>-2层</v>
      </c>
      <c r="Q461" s="621">
        <f t="shared" si="73"/>
        <v>0.95</v>
      </c>
      <c r="R461" s="681">
        <f t="shared" ca="1" si="74"/>
        <v>11.306800000000001</v>
      </c>
      <c r="S461" s="620">
        <f t="shared" ca="1" si="65"/>
        <v>0</v>
      </c>
    </row>
    <row r="462" spans="1:19">
      <c r="A462" s="628" t="str">
        <f>可抵押车位明细清单!D441</f>
        <v>2#地库417</v>
      </c>
      <c r="B462" s="629">
        <f>可抵押车位明细清单!H441</f>
        <v>28.72</v>
      </c>
      <c r="C462" s="621">
        <f t="shared" si="66"/>
        <v>1</v>
      </c>
      <c r="D462" s="630"/>
      <c r="E462" s="621">
        <f t="shared" si="67"/>
        <v>1</v>
      </c>
      <c r="F462" s="630"/>
      <c r="G462" s="621">
        <f t="shared" si="68"/>
        <v>1</v>
      </c>
      <c r="H462" s="630"/>
      <c r="I462" s="621">
        <f t="shared" si="69"/>
        <v>1</v>
      </c>
      <c r="J462" s="630"/>
      <c r="K462" s="621">
        <f t="shared" si="70"/>
        <v>1</v>
      </c>
      <c r="L462" s="630" t="str">
        <f>可抵押车位明细清单!K441</f>
        <v>标准车位</v>
      </c>
      <c r="M462" s="621">
        <f t="shared" si="71"/>
        <v>1</v>
      </c>
      <c r="N462" s="630"/>
      <c r="O462" s="621">
        <f t="shared" si="72"/>
        <v>1</v>
      </c>
      <c r="P462" s="3490" t="str">
        <f>可抵押车位明细清单!L441</f>
        <v>-2层</v>
      </c>
      <c r="Q462" s="621">
        <f t="shared" si="73"/>
        <v>0.95</v>
      </c>
      <c r="R462" s="681">
        <f t="shared" ca="1" si="74"/>
        <v>11.306800000000001</v>
      </c>
      <c r="S462" s="620">
        <f t="shared" ca="1" si="65"/>
        <v>0</v>
      </c>
    </row>
    <row r="463" spans="1:19">
      <c r="A463" s="628" t="str">
        <f>可抵押车位明细清单!D442</f>
        <v>2#地库418</v>
      </c>
      <c r="B463" s="629">
        <f>可抵押车位明细清单!H442</f>
        <v>28.72</v>
      </c>
      <c r="C463" s="621">
        <f t="shared" si="66"/>
        <v>1</v>
      </c>
      <c r="D463" s="630"/>
      <c r="E463" s="621">
        <f t="shared" si="67"/>
        <v>1</v>
      </c>
      <c r="F463" s="630"/>
      <c r="G463" s="621">
        <f t="shared" si="68"/>
        <v>1</v>
      </c>
      <c r="H463" s="630"/>
      <c r="I463" s="621">
        <f t="shared" si="69"/>
        <v>1</v>
      </c>
      <c r="J463" s="630"/>
      <c r="K463" s="621">
        <f t="shared" si="70"/>
        <v>1</v>
      </c>
      <c r="L463" s="630" t="str">
        <f>可抵押车位明细清单!K442</f>
        <v>标准车位</v>
      </c>
      <c r="M463" s="621">
        <f t="shared" si="71"/>
        <v>1</v>
      </c>
      <c r="N463" s="630"/>
      <c r="O463" s="621">
        <f t="shared" si="72"/>
        <v>1</v>
      </c>
      <c r="P463" s="3490" t="str">
        <f>可抵押车位明细清单!L442</f>
        <v>-2层</v>
      </c>
      <c r="Q463" s="621">
        <f t="shared" si="73"/>
        <v>0.95</v>
      </c>
      <c r="R463" s="681">
        <f t="shared" ca="1" si="74"/>
        <v>11.306800000000001</v>
      </c>
      <c r="S463" s="620">
        <f t="shared" ca="1" si="65"/>
        <v>0</v>
      </c>
    </row>
    <row r="464" spans="1:19">
      <c r="A464" s="628" t="str">
        <f>可抵押车位明细清单!D443</f>
        <v>2#地库419</v>
      </c>
      <c r="B464" s="629">
        <f>可抵押车位明细清单!H443</f>
        <v>27.76</v>
      </c>
      <c r="C464" s="621">
        <f t="shared" si="66"/>
        <v>1</v>
      </c>
      <c r="D464" s="630"/>
      <c r="E464" s="621">
        <f t="shared" si="67"/>
        <v>1</v>
      </c>
      <c r="F464" s="630"/>
      <c r="G464" s="621">
        <f t="shared" si="68"/>
        <v>1</v>
      </c>
      <c r="H464" s="630"/>
      <c r="I464" s="621">
        <f t="shared" si="69"/>
        <v>1</v>
      </c>
      <c r="J464" s="630"/>
      <c r="K464" s="621">
        <f t="shared" si="70"/>
        <v>1</v>
      </c>
      <c r="L464" s="630" t="str">
        <f>可抵押车位明细清单!K443</f>
        <v>标准车位</v>
      </c>
      <c r="M464" s="621">
        <f t="shared" si="71"/>
        <v>1</v>
      </c>
      <c r="N464" s="630"/>
      <c r="O464" s="621">
        <f t="shared" si="72"/>
        <v>1</v>
      </c>
      <c r="P464" s="3490" t="str">
        <f>可抵押车位明细清单!L443</f>
        <v>-2层</v>
      </c>
      <c r="Q464" s="621">
        <f t="shared" si="73"/>
        <v>0.95</v>
      </c>
      <c r="R464" s="681">
        <f t="shared" ca="1" si="74"/>
        <v>11.306800000000001</v>
      </c>
      <c r="S464" s="620">
        <f t="shared" ca="1" si="65"/>
        <v>0</v>
      </c>
    </row>
    <row r="465" spans="1:19">
      <c r="A465" s="628" t="str">
        <f>可抵押车位明细清单!D444</f>
        <v>2#地库420</v>
      </c>
      <c r="B465" s="629">
        <f>可抵押车位明细清单!H444</f>
        <v>28.72</v>
      </c>
      <c r="C465" s="621">
        <f t="shared" si="66"/>
        <v>1</v>
      </c>
      <c r="D465" s="630"/>
      <c r="E465" s="621">
        <f t="shared" si="67"/>
        <v>1</v>
      </c>
      <c r="F465" s="630"/>
      <c r="G465" s="621">
        <f t="shared" si="68"/>
        <v>1</v>
      </c>
      <c r="H465" s="630"/>
      <c r="I465" s="621">
        <f t="shared" si="69"/>
        <v>1</v>
      </c>
      <c r="J465" s="630"/>
      <c r="K465" s="621">
        <f t="shared" si="70"/>
        <v>1</v>
      </c>
      <c r="L465" s="630" t="str">
        <f>可抵押车位明细清单!K444</f>
        <v>标准车位</v>
      </c>
      <c r="M465" s="621">
        <f t="shared" si="71"/>
        <v>1</v>
      </c>
      <c r="N465" s="630"/>
      <c r="O465" s="621">
        <f t="shared" si="72"/>
        <v>1</v>
      </c>
      <c r="P465" s="3490" t="str">
        <f>可抵押车位明细清单!L444</f>
        <v>-2层</v>
      </c>
      <c r="Q465" s="621">
        <f t="shared" si="73"/>
        <v>0.95</v>
      </c>
      <c r="R465" s="681">
        <f t="shared" ca="1" si="74"/>
        <v>11.306800000000001</v>
      </c>
      <c r="S465" s="620">
        <f t="shared" ca="1" si="65"/>
        <v>0</v>
      </c>
    </row>
    <row r="466" spans="1:19">
      <c r="A466" s="628" t="str">
        <f>可抵押车位明细清单!D445</f>
        <v>2#地库421</v>
      </c>
      <c r="B466" s="629">
        <f>可抵押车位明细清单!H445</f>
        <v>29.26</v>
      </c>
      <c r="C466" s="621">
        <f t="shared" si="66"/>
        <v>1</v>
      </c>
      <c r="D466" s="630"/>
      <c r="E466" s="621">
        <f t="shared" si="67"/>
        <v>1</v>
      </c>
      <c r="F466" s="630"/>
      <c r="G466" s="621">
        <f t="shared" si="68"/>
        <v>1</v>
      </c>
      <c r="H466" s="630"/>
      <c r="I466" s="621">
        <f t="shared" si="69"/>
        <v>1</v>
      </c>
      <c r="J466" s="630"/>
      <c r="K466" s="621">
        <f t="shared" si="70"/>
        <v>1</v>
      </c>
      <c r="L466" s="630" t="str">
        <f>可抵押车位明细清单!K445</f>
        <v>标准车位</v>
      </c>
      <c r="M466" s="621">
        <f t="shared" si="71"/>
        <v>1</v>
      </c>
      <c r="N466" s="630"/>
      <c r="O466" s="621">
        <f t="shared" si="72"/>
        <v>1</v>
      </c>
      <c r="P466" s="3490" t="str">
        <f>可抵押车位明细清单!L445</f>
        <v>-2层</v>
      </c>
      <c r="Q466" s="621">
        <f t="shared" si="73"/>
        <v>0.95</v>
      </c>
      <c r="R466" s="681">
        <f t="shared" ca="1" si="74"/>
        <v>11.306800000000001</v>
      </c>
      <c r="S466" s="620">
        <f t="shared" ca="1" si="65"/>
        <v>0</v>
      </c>
    </row>
    <row r="467" spans="1:19">
      <c r="A467" s="628" t="str">
        <f>可抵押车位明细清单!D446</f>
        <v>3#地库004</v>
      </c>
      <c r="B467" s="629">
        <f>可抵押车位明细清单!H446</f>
        <v>37.17</v>
      </c>
      <c r="C467" s="621">
        <f t="shared" si="66"/>
        <v>1</v>
      </c>
      <c r="D467" s="630"/>
      <c r="E467" s="621">
        <f t="shared" si="67"/>
        <v>1</v>
      </c>
      <c r="F467" s="630"/>
      <c r="G467" s="621">
        <f t="shared" si="68"/>
        <v>1</v>
      </c>
      <c r="H467" s="630"/>
      <c r="I467" s="621">
        <f t="shared" si="69"/>
        <v>1</v>
      </c>
      <c r="J467" s="630"/>
      <c r="K467" s="621">
        <f t="shared" si="70"/>
        <v>1</v>
      </c>
      <c r="L467" s="630" t="str">
        <f>可抵押车位明细清单!K446</f>
        <v>标准车位</v>
      </c>
      <c r="M467" s="621">
        <f t="shared" si="71"/>
        <v>1</v>
      </c>
      <c r="N467" s="630"/>
      <c r="O467" s="621">
        <f t="shared" si="72"/>
        <v>1</v>
      </c>
      <c r="P467" s="3490" t="str">
        <f>可抵押车位明细清单!L446</f>
        <v>-1层</v>
      </c>
      <c r="Q467" s="621">
        <f t="shared" si="73"/>
        <v>1</v>
      </c>
      <c r="R467" s="681">
        <f t="shared" ca="1" si="74"/>
        <v>11.901899999999999</v>
      </c>
      <c r="S467" s="620">
        <f t="shared" ca="1" si="65"/>
        <v>0</v>
      </c>
    </row>
    <row r="468" spans="1:19">
      <c r="A468" s="628" t="str">
        <f>可抵押车位明细清单!D447</f>
        <v>3#地库005</v>
      </c>
      <c r="B468" s="629">
        <f>可抵押车位明细清单!H447</f>
        <v>37.950000000000003</v>
      </c>
      <c r="C468" s="621">
        <f t="shared" si="66"/>
        <v>1</v>
      </c>
      <c r="D468" s="630"/>
      <c r="E468" s="621">
        <f t="shared" si="67"/>
        <v>1</v>
      </c>
      <c r="F468" s="630"/>
      <c r="G468" s="621">
        <f t="shared" si="68"/>
        <v>1</v>
      </c>
      <c r="H468" s="630"/>
      <c r="I468" s="621">
        <f t="shared" si="69"/>
        <v>1</v>
      </c>
      <c r="J468" s="630"/>
      <c r="K468" s="621">
        <f t="shared" si="70"/>
        <v>1</v>
      </c>
      <c r="L468" s="630" t="str">
        <f>可抵押车位明细清单!K447</f>
        <v>标准车位</v>
      </c>
      <c r="M468" s="621">
        <f t="shared" si="71"/>
        <v>1</v>
      </c>
      <c r="N468" s="630"/>
      <c r="O468" s="621">
        <f t="shared" si="72"/>
        <v>1</v>
      </c>
      <c r="P468" s="3490" t="str">
        <f>可抵押车位明细清单!L447</f>
        <v>-1层</v>
      </c>
      <c r="Q468" s="621">
        <f t="shared" si="73"/>
        <v>1</v>
      </c>
      <c r="R468" s="681">
        <f t="shared" ca="1" si="74"/>
        <v>11.901899999999999</v>
      </c>
      <c r="S468" s="620">
        <f t="shared" ca="1" si="65"/>
        <v>0</v>
      </c>
    </row>
    <row r="469" spans="1:19">
      <c r="A469" s="628" t="str">
        <f>可抵押车位明细清单!D448</f>
        <v>3#地库006</v>
      </c>
      <c r="B469" s="629">
        <f>可抵押车位明细清单!H448</f>
        <v>36.35</v>
      </c>
      <c r="C469" s="621">
        <f t="shared" si="66"/>
        <v>1</v>
      </c>
      <c r="D469" s="630"/>
      <c r="E469" s="621">
        <f t="shared" si="67"/>
        <v>1</v>
      </c>
      <c r="F469" s="630"/>
      <c r="G469" s="621">
        <f t="shared" si="68"/>
        <v>1</v>
      </c>
      <c r="H469" s="630"/>
      <c r="I469" s="621">
        <f t="shared" si="69"/>
        <v>1</v>
      </c>
      <c r="J469" s="630"/>
      <c r="K469" s="621">
        <f t="shared" si="70"/>
        <v>1</v>
      </c>
      <c r="L469" s="630" t="str">
        <f>可抵押车位明细清单!K448</f>
        <v>标准车位</v>
      </c>
      <c r="M469" s="621">
        <f t="shared" si="71"/>
        <v>1</v>
      </c>
      <c r="N469" s="630"/>
      <c r="O469" s="621">
        <f t="shared" si="72"/>
        <v>1</v>
      </c>
      <c r="P469" s="3490" t="str">
        <f>可抵押车位明细清单!L448</f>
        <v>-1层</v>
      </c>
      <c r="Q469" s="621">
        <f t="shared" si="73"/>
        <v>1</v>
      </c>
      <c r="R469" s="681">
        <f t="shared" ca="1" si="74"/>
        <v>11.901899999999999</v>
      </c>
      <c r="S469" s="620">
        <f t="shared" ca="1" si="65"/>
        <v>0</v>
      </c>
    </row>
    <row r="470" spans="1:19">
      <c r="A470" s="628" t="str">
        <f>可抵押车位明细清单!D449</f>
        <v>3#地库007</v>
      </c>
      <c r="B470" s="629">
        <f>可抵押车位明细清单!H449</f>
        <v>38.770000000000003</v>
      </c>
      <c r="C470" s="621">
        <f t="shared" si="66"/>
        <v>1</v>
      </c>
      <c r="D470" s="630"/>
      <c r="E470" s="621">
        <f t="shared" si="67"/>
        <v>1</v>
      </c>
      <c r="F470" s="630"/>
      <c r="G470" s="621">
        <f t="shared" si="68"/>
        <v>1</v>
      </c>
      <c r="H470" s="630"/>
      <c r="I470" s="621">
        <f t="shared" si="69"/>
        <v>1</v>
      </c>
      <c r="J470" s="630"/>
      <c r="K470" s="621">
        <f t="shared" si="70"/>
        <v>1</v>
      </c>
      <c r="L470" s="630" t="str">
        <f>可抵押车位明细清单!K449</f>
        <v>标准车位</v>
      </c>
      <c r="M470" s="621">
        <f t="shared" si="71"/>
        <v>1</v>
      </c>
      <c r="N470" s="630"/>
      <c r="O470" s="621">
        <f t="shared" si="72"/>
        <v>1</v>
      </c>
      <c r="P470" s="3490" t="str">
        <f>可抵押车位明细清单!L449</f>
        <v>-1层</v>
      </c>
      <c r="Q470" s="621">
        <f t="shared" si="73"/>
        <v>1</v>
      </c>
      <c r="R470" s="681">
        <f t="shared" ca="1" si="74"/>
        <v>11.901899999999999</v>
      </c>
      <c r="S470" s="620">
        <f t="shared" ca="1" si="65"/>
        <v>0</v>
      </c>
    </row>
    <row r="471" spans="1:19">
      <c r="A471" s="628" t="str">
        <f>可抵押车位明细清单!D450</f>
        <v>3#地库008</v>
      </c>
      <c r="B471" s="629">
        <f>可抵押车位明细清单!H450</f>
        <v>38.770000000000003</v>
      </c>
      <c r="C471" s="621">
        <f t="shared" si="66"/>
        <v>1</v>
      </c>
      <c r="D471" s="630"/>
      <c r="E471" s="621">
        <f t="shared" si="67"/>
        <v>1</v>
      </c>
      <c r="F471" s="630"/>
      <c r="G471" s="621">
        <f t="shared" si="68"/>
        <v>1</v>
      </c>
      <c r="H471" s="630"/>
      <c r="I471" s="621">
        <f t="shared" si="69"/>
        <v>1</v>
      </c>
      <c r="J471" s="630"/>
      <c r="K471" s="621">
        <f t="shared" si="70"/>
        <v>1</v>
      </c>
      <c r="L471" s="630" t="str">
        <f>可抵押车位明细清单!K450</f>
        <v>标准车位</v>
      </c>
      <c r="M471" s="621">
        <f t="shared" si="71"/>
        <v>1</v>
      </c>
      <c r="N471" s="630"/>
      <c r="O471" s="621">
        <f t="shared" si="72"/>
        <v>1</v>
      </c>
      <c r="P471" s="3490" t="str">
        <f>可抵押车位明细清单!L450</f>
        <v>-1层</v>
      </c>
      <c r="Q471" s="621">
        <f t="shared" si="73"/>
        <v>1</v>
      </c>
      <c r="R471" s="681">
        <f t="shared" ca="1" si="74"/>
        <v>11.901899999999999</v>
      </c>
      <c r="S471" s="620">
        <f t="shared" ca="1" si="65"/>
        <v>0</v>
      </c>
    </row>
    <row r="472" spans="1:19">
      <c r="A472" s="628" t="str">
        <f>可抵押车位明细清单!D451</f>
        <v>3#地库009</v>
      </c>
      <c r="B472" s="629">
        <f>可抵押车位明细清单!H451</f>
        <v>37.17</v>
      </c>
      <c r="C472" s="621">
        <f t="shared" si="66"/>
        <v>1</v>
      </c>
      <c r="D472" s="630"/>
      <c r="E472" s="621">
        <f t="shared" si="67"/>
        <v>1</v>
      </c>
      <c r="F472" s="630"/>
      <c r="G472" s="621">
        <f t="shared" si="68"/>
        <v>1</v>
      </c>
      <c r="H472" s="630"/>
      <c r="I472" s="621">
        <f t="shared" si="69"/>
        <v>1</v>
      </c>
      <c r="J472" s="630"/>
      <c r="K472" s="621">
        <f t="shared" si="70"/>
        <v>1</v>
      </c>
      <c r="L472" s="630" t="str">
        <f>可抵押车位明细清单!K451</f>
        <v>标准车位</v>
      </c>
      <c r="M472" s="621">
        <f t="shared" si="71"/>
        <v>1</v>
      </c>
      <c r="N472" s="630"/>
      <c r="O472" s="621">
        <f t="shared" si="72"/>
        <v>1</v>
      </c>
      <c r="P472" s="3490" t="str">
        <f>可抵押车位明细清单!L451</f>
        <v>-1层</v>
      </c>
      <c r="Q472" s="621">
        <f t="shared" si="73"/>
        <v>1</v>
      </c>
      <c r="R472" s="681">
        <f t="shared" ca="1" si="74"/>
        <v>11.901899999999999</v>
      </c>
      <c r="S472" s="620">
        <f t="shared" ref="S472:S535" ca="1" si="75">ROUND(R472*B472/10000,0)</f>
        <v>0</v>
      </c>
    </row>
    <row r="473" spans="1:19">
      <c r="A473" s="628" t="str">
        <f>可抵押车位明细清单!D452</f>
        <v>3#地库010</v>
      </c>
      <c r="B473" s="629">
        <f>可抵押车位明细清单!H452</f>
        <v>37.950000000000003</v>
      </c>
      <c r="C473" s="621">
        <f t="shared" ref="C473:C536" si="76">IF(B473="",1,(LOOKUP(B473,$3:$3,$4:$4)-LOOKUP($B$24,$3:$3,$4:$4)+100)/100)</f>
        <v>1</v>
      </c>
      <c r="D473" s="630"/>
      <c r="E473" s="621">
        <f t="shared" ref="E473:E536" si="77">(SUMIF($5:$5,D473,$6:$6)-SUMIF($5:$5,$D$24,$6:$6)+100)/100</f>
        <v>1</v>
      </c>
      <c r="F473" s="630"/>
      <c r="G473" s="621">
        <f t="shared" ref="G473:G536" si="78">(SUMIF($7:$7,F473,$8:$8)-SUMIF($7:$7,$F$24,$8:$8)+100)/100</f>
        <v>1</v>
      </c>
      <c r="H473" s="630"/>
      <c r="I473" s="621">
        <f t="shared" ref="I473:I536" si="79">(SUMIF($9:$9,H473,$10:$10)-SUMIF($9:$9,$H$24,$10:$10)+100)/100</f>
        <v>1</v>
      </c>
      <c r="J473" s="630"/>
      <c r="K473" s="621">
        <f t="shared" ref="K473:K536" si="80">(SUMIF($11:$11,J473,$12:$12)-SUMIF($11:$11,$J$24,$12:$12)+100)/100</f>
        <v>1</v>
      </c>
      <c r="L473" s="630" t="str">
        <f>可抵押车位明细清单!K452</f>
        <v>标准车位</v>
      </c>
      <c r="M473" s="621">
        <f t="shared" ref="M473:M536" si="81">(SUMIF($13:$13,L473,$14:$14)-SUMIF($13:$13,$L$24,$14:$14)+100)/100</f>
        <v>1</v>
      </c>
      <c r="N473" s="630"/>
      <c r="O473" s="621">
        <f t="shared" ref="O473:O536" si="82">(SUMIF($15:$15,N473,$16:$16)-SUMIF($15:$15,$N$24,$16:$16)+100)/100</f>
        <v>1</v>
      </c>
      <c r="P473" s="3490" t="str">
        <f>可抵押车位明细清单!L452</f>
        <v>-1层</v>
      </c>
      <c r="Q473" s="621">
        <f t="shared" ref="Q473:Q536" si="83">(SUMIF($17:$17,P473,$18:$18)-SUMIF($17:$17,$P$24,$18:$18)+100)/100</f>
        <v>1</v>
      </c>
      <c r="R473" s="681">
        <f t="shared" ref="R473:R536" ca="1" si="84">IF(B473="",0,ROUND($R$24*C473*E473*G473*I473*K473*M473*O473*Q473,4))</f>
        <v>11.901899999999999</v>
      </c>
      <c r="S473" s="620">
        <f t="shared" ca="1" si="75"/>
        <v>0</v>
      </c>
    </row>
    <row r="474" spans="1:19">
      <c r="A474" s="628" t="str">
        <f>可抵押车位明细清单!D453</f>
        <v>3#地库011</v>
      </c>
      <c r="B474" s="629">
        <f>可抵押车位明细清单!H453</f>
        <v>38.770000000000003</v>
      </c>
      <c r="C474" s="621">
        <f t="shared" si="76"/>
        <v>1</v>
      </c>
      <c r="D474" s="630"/>
      <c r="E474" s="621">
        <f t="shared" si="77"/>
        <v>1</v>
      </c>
      <c r="F474" s="630"/>
      <c r="G474" s="621">
        <f t="shared" si="78"/>
        <v>1</v>
      </c>
      <c r="H474" s="630"/>
      <c r="I474" s="621">
        <f t="shared" si="79"/>
        <v>1</v>
      </c>
      <c r="J474" s="630"/>
      <c r="K474" s="621">
        <f t="shared" si="80"/>
        <v>1</v>
      </c>
      <c r="L474" s="630" t="str">
        <f>可抵押车位明细清单!K453</f>
        <v>标准车位</v>
      </c>
      <c r="M474" s="621">
        <f t="shared" si="81"/>
        <v>1</v>
      </c>
      <c r="N474" s="630"/>
      <c r="O474" s="621">
        <f t="shared" si="82"/>
        <v>1</v>
      </c>
      <c r="P474" s="3490" t="str">
        <f>可抵押车位明细清单!L453</f>
        <v>-1层</v>
      </c>
      <c r="Q474" s="621">
        <f t="shared" si="83"/>
        <v>1</v>
      </c>
      <c r="R474" s="681">
        <f t="shared" ca="1" si="84"/>
        <v>11.901899999999999</v>
      </c>
      <c r="S474" s="620">
        <f t="shared" ca="1" si="75"/>
        <v>0</v>
      </c>
    </row>
    <row r="475" spans="1:19">
      <c r="A475" s="628" t="str">
        <f>可抵押车位明细清单!D454</f>
        <v>3#地库012</v>
      </c>
      <c r="B475" s="629">
        <f>可抵押车位明细清单!H454</f>
        <v>37.950000000000003</v>
      </c>
      <c r="C475" s="621">
        <f t="shared" si="76"/>
        <v>1</v>
      </c>
      <c r="D475" s="630"/>
      <c r="E475" s="621">
        <f t="shared" si="77"/>
        <v>1</v>
      </c>
      <c r="F475" s="630"/>
      <c r="G475" s="621">
        <f t="shared" si="78"/>
        <v>1</v>
      </c>
      <c r="H475" s="630"/>
      <c r="I475" s="621">
        <f t="shared" si="79"/>
        <v>1</v>
      </c>
      <c r="J475" s="630"/>
      <c r="K475" s="621">
        <f t="shared" si="80"/>
        <v>1</v>
      </c>
      <c r="L475" s="630" t="str">
        <f>可抵押车位明细清单!K454</f>
        <v>标准车位</v>
      </c>
      <c r="M475" s="621">
        <f t="shared" si="81"/>
        <v>1</v>
      </c>
      <c r="N475" s="630"/>
      <c r="O475" s="621">
        <f t="shared" si="82"/>
        <v>1</v>
      </c>
      <c r="P475" s="3490" t="str">
        <f>可抵押车位明细清单!L454</f>
        <v>-1层</v>
      </c>
      <c r="Q475" s="621">
        <f t="shared" si="83"/>
        <v>1</v>
      </c>
      <c r="R475" s="681">
        <f t="shared" ca="1" si="84"/>
        <v>11.901899999999999</v>
      </c>
      <c r="S475" s="620">
        <f t="shared" ca="1" si="75"/>
        <v>0</v>
      </c>
    </row>
    <row r="476" spans="1:19">
      <c r="A476" s="628" t="str">
        <f>可抵押车位明细清单!D455</f>
        <v>3#地库013</v>
      </c>
      <c r="B476" s="629">
        <f>可抵押车位明细清单!H455</f>
        <v>37.950000000000003</v>
      </c>
      <c r="C476" s="621">
        <f t="shared" si="76"/>
        <v>1</v>
      </c>
      <c r="D476" s="630"/>
      <c r="E476" s="621">
        <f t="shared" si="77"/>
        <v>1</v>
      </c>
      <c r="F476" s="630"/>
      <c r="G476" s="621">
        <f t="shared" si="78"/>
        <v>1</v>
      </c>
      <c r="H476" s="630"/>
      <c r="I476" s="621">
        <f t="shared" si="79"/>
        <v>1</v>
      </c>
      <c r="J476" s="630"/>
      <c r="K476" s="621">
        <f t="shared" si="80"/>
        <v>1</v>
      </c>
      <c r="L476" s="630" t="str">
        <f>可抵押车位明细清单!K455</f>
        <v>标准车位</v>
      </c>
      <c r="M476" s="621">
        <f t="shared" si="81"/>
        <v>1</v>
      </c>
      <c r="N476" s="630"/>
      <c r="O476" s="621">
        <f t="shared" si="82"/>
        <v>1</v>
      </c>
      <c r="P476" s="3490" t="str">
        <f>可抵押车位明细清单!L455</f>
        <v>-1层</v>
      </c>
      <c r="Q476" s="621">
        <f t="shared" si="83"/>
        <v>1</v>
      </c>
      <c r="R476" s="681">
        <f t="shared" ca="1" si="84"/>
        <v>11.901899999999999</v>
      </c>
      <c r="S476" s="620">
        <f t="shared" ca="1" si="75"/>
        <v>0</v>
      </c>
    </row>
    <row r="477" spans="1:19">
      <c r="A477" s="628" t="str">
        <f>可抵押车位明细清单!D456</f>
        <v>3#地库014</v>
      </c>
      <c r="B477" s="629">
        <f>可抵押车位明细清单!H456</f>
        <v>37.61</v>
      </c>
      <c r="C477" s="621">
        <f t="shared" si="76"/>
        <v>1</v>
      </c>
      <c r="D477" s="630"/>
      <c r="E477" s="621">
        <f t="shared" si="77"/>
        <v>1</v>
      </c>
      <c r="F477" s="630"/>
      <c r="G477" s="621">
        <f t="shared" si="78"/>
        <v>1</v>
      </c>
      <c r="H477" s="630"/>
      <c r="I477" s="621">
        <f t="shared" si="79"/>
        <v>1</v>
      </c>
      <c r="J477" s="630"/>
      <c r="K477" s="621">
        <f t="shared" si="80"/>
        <v>1</v>
      </c>
      <c r="L477" s="630" t="str">
        <f>可抵押车位明细清单!K456</f>
        <v>标准车位</v>
      </c>
      <c r="M477" s="621">
        <f t="shared" si="81"/>
        <v>1</v>
      </c>
      <c r="N477" s="630"/>
      <c r="O477" s="621">
        <f t="shared" si="82"/>
        <v>1</v>
      </c>
      <c r="P477" s="3490" t="str">
        <f>可抵押车位明细清单!L456</f>
        <v>-1层</v>
      </c>
      <c r="Q477" s="621">
        <f t="shared" si="83"/>
        <v>1</v>
      </c>
      <c r="R477" s="681">
        <f t="shared" ca="1" si="84"/>
        <v>11.901899999999999</v>
      </c>
      <c r="S477" s="620">
        <f t="shared" ca="1" si="75"/>
        <v>0</v>
      </c>
    </row>
    <row r="478" spans="1:19">
      <c r="A478" s="628" t="str">
        <f>可抵押车位明细清单!D457</f>
        <v>3#地库015</v>
      </c>
      <c r="B478" s="629">
        <f>可抵押车位明细清单!H457</f>
        <v>42.91</v>
      </c>
      <c r="C478" s="621">
        <f t="shared" si="76"/>
        <v>1</v>
      </c>
      <c r="D478" s="630"/>
      <c r="E478" s="621">
        <f t="shared" si="77"/>
        <v>1</v>
      </c>
      <c r="F478" s="630"/>
      <c r="G478" s="621">
        <f t="shared" si="78"/>
        <v>1</v>
      </c>
      <c r="H478" s="630"/>
      <c r="I478" s="621">
        <f t="shared" si="79"/>
        <v>1</v>
      </c>
      <c r="J478" s="630"/>
      <c r="K478" s="621">
        <f t="shared" si="80"/>
        <v>1</v>
      </c>
      <c r="L478" s="630" t="str">
        <f>可抵押车位明细清单!K457</f>
        <v>标准车位</v>
      </c>
      <c r="M478" s="621">
        <f t="shared" si="81"/>
        <v>1</v>
      </c>
      <c r="N478" s="630"/>
      <c r="O478" s="621">
        <f t="shared" si="82"/>
        <v>1</v>
      </c>
      <c r="P478" s="3490" t="str">
        <f>可抵押车位明细清单!L457</f>
        <v>-1层</v>
      </c>
      <c r="Q478" s="621">
        <f t="shared" si="83"/>
        <v>1</v>
      </c>
      <c r="R478" s="681">
        <f t="shared" ca="1" si="84"/>
        <v>11.901899999999999</v>
      </c>
      <c r="S478" s="620">
        <f t="shared" ca="1" si="75"/>
        <v>0</v>
      </c>
    </row>
    <row r="479" spans="1:19">
      <c r="A479" s="628" t="str">
        <f>可抵押车位明细清单!D458</f>
        <v>3#地库016</v>
      </c>
      <c r="B479" s="629">
        <f>可抵押车位明细清单!H458</f>
        <v>39.520000000000003</v>
      </c>
      <c r="C479" s="621">
        <f t="shared" si="76"/>
        <v>1</v>
      </c>
      <c r="D479" s="630"/>
      <c r="E479" s="621">
        <f t="shared" si="77"/>
        <v>1</v>
      </c>
      <c r="F479" s="630"/>
      <c r="G479" s="621">
        <f t="shared" si="78"/>
        <v>1</v>
      </c>
      <c r="H479" s="630"/>
      <c r="I479" s="621">
        <f t="shared" si="79"/>
        <v>1</v>
      </c>
      <c r="J479" s="630"/>
      <c r="K479" s="621">
        <f t="shared" si="80"/>
        <v>1</v>
      </c>
      <c r="L479" s="630" t="str">
        <f>可抵押车位明细清单!K458</f>
        <v>标准车位</v>
      </c>
      <c r="M479" s="621">
        <f t="shared" si="81"/>
        <v>1</v>
      </c>
      <c r="N479" s="630"/>
      <c r="O479" s="621">
        <f t="shared" si="82"/>
        <v>1</v>
      </c>
      <c r="P479" s="3490" t="str">
        <f>可抵押车位明细清单!L458</f>
        <v>-1层</v>
      </c>
      <c r="Q479" s="621">
        <f t="shared" si="83"/>
        <v>1</v>
      </c>
      <c r="R479" s="681">
        <f t="shared" ca="1" si="84"/>
        <v>11.901899999999999</v>
      </c>
      <c r="S479" s="620">
        <f t="shared" ca="1" si="75"/>
        <v>0</v>
      </c>
    </row>
    <row r="480" spans="1:19">
      <c r="A480" s="628" t="str">
        <f>可抵押车位明细清单!D459</f>
        <v>3#地库017</v>
      </c>
      <c r="B480" s="629">
        <f>可抵押车位明细清单!H459</f>
        <v>39.520000000000003</v>
      </c>
      <c r="C480" s="621">
        <f t="shared" si="76"/>
        <v>1</v>
      </c>
      <c r="D480" s="630"/>
      <c r="E480" s="621">
        <f t="shared" si="77"/>
        <v>1</v>
      </c>
      <c r="F480" s="630"/>
      <c r="G480" s="621">
        <f t="shared" si="78"/>
        <v>1</v>
      </c>
      <c r="H480" s="630"/>
      <c r="I480" s="621">
        <f t="shared" si="79"/>
        <v>1</v>
      </c>
      <c r="J480" s="630"/>
      <c r="K480" s="621">
        <f t="shared" si="80"/>
        <v>1</v>
      </c>
      <c r="L480" s="630" t="str">
        <f>可抵押车位明细清单!K459</f>
        <v>标准车位</v>
      </c>
      <c r="M480" s="621">
        <f t="shared" si="81"/>
        <v>1</v>
      </c>
      <c r="N480" s="630"/>
      <c r="O480" s="621">
        <f t="shared" si="82"/>
        <v>1</v>
      </c>
      <c r="P480" s="3490" t="str">
        <f>可抵押车位明细清单!L459</f>
        <v>-1层</v>
      </c>
      <c r="Q480" s="621">
        <f t="shared" si="83"/>
        <v>1</v>
      </c>
      <c r="R480" s="681">
        <f t="shared" ca="1" si="84"/>
        <v>11.901899999999999</v>
      </c>
      <c r="S480" s="620">
        <f t="shared" ca="1" si="75"/>
        <v>0</v>
      </c>
    </row>
    <row r="481" spans="1:19">
      <c r="A481" s="628" t="str">
        <f>可抵押车位明细清单!D460</f>
        <v>3#地库018</v>
      </c>
      <c r="B481" s="629">
        <f>可抵押车位明细清单!H460</f>
        <v>39.520000000000003</v>
      </c>
      <c r="C481" s="621">
        <f t="shared" si="76"/>
        <v>1</v>
      </c>
      <c r="D481" s="630"/>
      <c r="E481" s="621">
        <f t="shared" si="77"/>
        <v>1</v>
      </c>
      <c r="F481" s="630"/>
      <c r="G481" s="621">
        <f t="shared" si="78"/>
        <v>1</v>
      </c>
      <c r="H481" s="630"/>
      <c r="I481" s="621">
        <f t="shared" si="79"/>
        <v>1</v>
      </c>
      <c r="J481" s="630"/>
      <c r="K481" s="621">
        <f t="shared" si="80"/>
        <v>1</v>
      </c>
      <c r="L481" s="630" t="str">
        <f>可抵押车位明细清单!K460</f>
        <v>标准车位</v>
      </c>
      <c r="M481" s="621">
        <f t="shared" si="81"/>
        <v>1</v>
      </c>
      <c r="N481" s="630"/>
      <c r="O481" s="621">
        <f t="shared" si="82"/>
        <v>1</v>
      </c>
      <c r="P481" s="3490" t="str">
        <f>可抵押车位明细清单!L460</f>
        <v>-1层</v>
      </c>
      <c r="Q481" s="621">
        <f t="shared" si="83"/>
        <v>1</v>
      </c>
      <c r="R481" s="681">
        <f t="shared" ca="1" si="84"/>
        <v>11.901899999999999</v>
      </c>
      <c r="S481" s="620">
        <f t="shared" ca="1" si="75"/>
        <v>0</v>
      </c>
    </row>
    <row r="482" spans="1:19">
      <c r="A482" s="628" t="str">
        <f>可抵押车位明细清单!D461</f>
        <v>3#地库019</v>
      </c>
      <c r="B482" s="629">
        <f>可抵押车位明细清单!H461</f>
        <v>39.520000000000003</v>
      </c>
      <c r="C482" s="621">
        <f t="shared" si="76"/>
        <v>1</v>
      </c>
      <c r="D482" s="630"/>
      <c r="E482" s="621">
        <f t="shared" si="77"/>
        <v>1</v>
      </c>
      <c r="F482" s="630"/>
      <c r="G482" s="621">
        <f t="shared" si="78"/>
        <v>1</v>
      </c>
      <c r="H482" s="630"/>
      <c r="I482" s="621">
        <f t="shared" si="79"/>
        <v>1</v>
      </c>
      <c r="J482" s="630"/>
      <c r="K482" s="621">
        <f t="shared" si="80"/>
        <v>1</v>
      </c>
      <c r="L482" s="630" t="str">
        <f>可抵押车位明细清单!K461</f>
        <v>标准车位</v>
      </c>
      <c r="M482" s="621">
        <f t="shared" si="81"/>
        <v>1</v>
      </c>
      <c r="N482" s="630"/>
      <c r="O482" s="621">
        <f t="shared" si="82"/>
        <v>1</v>
      </c>
      <c r="P482" s="3490" t="str">
        <f>可抵押车位明细清单!L461</f>
        <v>-1层</v>
      </c>
      <c r="Q482" s="621">
        <f t="shared" si="83"/>
        <v>1</v>
      </c>
      <c r="R482" s="681">
        <f t="shared" ca="1" si="84"/>
        <v>11.901899999999999</v>
      </c>
      <c r="S482" s="620">
        <f t="shared" ca="1" si="75"/>
        <v>0</v>
      </c>
    </row>
    <row r="483" spans="1:19">
      <c r="A483" s="628" t="str">
        <f>可抵押车位明细清单!D462</f>
        <v>3#地库020</v>
      </c>
      <c r="B483" s="629">
        <f>可抵押车位明细清单!H462</f>
        <v>39.520000000000003</v>
      </c>
      <c r="C483" s="621">
        <f t="shared" si="76"/>
        <v>1</v>
      </c>
      <c r="D483" s="630"/>
      <c r="E483" s="621">
        <f t="shared" si="77"/>
        <v>1</v>
      </c>
      <c r="F483" s="630"/>
      <c r="G483" s="621">
        <f t="shared" si="78"/>
        <v>1</v>
      </c>
      <c r="H483" s="630"/>
      <c r="I483" s="621">
        <f t="shared" si="79"/>
        <v>1</v>
      </c>
      <c r="J483" s="630"/>
      <c r="K483" s="621">
        <f t="shared" si="80"/>
        <v>1</v>
      </c>
      <c r="L483" s="630" t="str">
        <f>可抵押车位明细清单!K462</f>
        <v>标准车位</v>
      </c>
      <c r="M483" s="621">
        <f t="shared" si="81"/>
        <v>1</v>
      </c>
      <c r="N483" s="630"/>
      <c r="O483" s="621">
        <f t="shared" si="82"/>
        <v>1</v>
      </c>
      <c r="P483" s="3490" t="str">
        <f>可抵押车位明细清单!L462</f>
        <v>-1层</v>
      </c>
      <c r="Q483" s="621">
        <f t="shared" si="83"/>
        <v>1</v>
      </c>
      <c r="R483" s="681">
        <f t="shared" ca="1" si="84"/>
        <v>11.901899999999999</v>
      </c>
      <c r="S483" s="620">
        <f t="shared" ca="1" si="75"/>
        <v>0</v>
      </c>
    </row>
    <row r="484" spans="1:19">
      <c r="A484" s="628" t="str">
        <f>可抵押车位明细清单!D463</f>
        <v>3#地库021</v>
      </c>
      <c r="B484" s="629">
        <f>可抵押车位明细清单!H463</f>
        <v>39.520000000000003</v>
      </c>
      <c r="C484" s="621">
        <f t="shared" si="76"/>
        <v>1</v>
      </c>
      <c r="D484" s="630"/>
      <c r="E484" s="621">
        <f t="shared" si="77"/>
        <v>1</v>
      </c>
      <c r="F484" s="630"/>
      <c r="G484" s="621">
        <f t="shared" si="78"/>
        <v>1</v>
      </c>
      <c r="H484" s="630"/>
      <c r="I484" s="621">
        <f t="shared" si="79"/>
        <v>1</v>
      </c>
      <c r="J484" s="630"/>
      <c r="K484" s="621">
        <f t="shared" si="80"/>
        <v>1</v>
      </c>
      <c r="L484" s="630" t="str">
        <f>可抵押车位明细清单!K463</f>
        <v>标准车位</v>
      </c>
      <c r="M484" s="621">
        <f t="shared" si="81"/>
        <v>1</v>
      </c>
      <c r="N484" s="630"/>
      <c r="O484" s="621">
        <f t="shared" si="82"/>
        <v>1</v>
      </c>
      <c r="P484" s="3490" t="str">
        <f>可抵押车位明细清单!L463</f>
        <v>-1层</v>
      </c>
      <c r="Q484" s="621">
        <f t="shared" si="83"/>
        <v>1</v>
      </c>
      <c r="R484" s="681">
        <f t="shared" ca="1" si="84"/>
        <v>11.901899999999999</v>
      </c>
      <c r="S484" s="620">
        <f t="shared" ca="1" si="75"/>
        <v>0</v>
      </c>
    </row>
    <row r="485" spans="1:19">
      <c r="A485" s="628" t="str">
        <f>可抵押车位明细清单!D464</f>
        <v>3#地库022</v>
      </c>
      <c r="B485" s="629">
        <f>可抵押车位明细清单!H464</f>
        <v>39.520000000000003</v>
      </c>
      <c r="C485" s="621">
        <f t="shared" si="76"/>
        <v>1</v>
      </c>
      <c r="D485" s="630"/>
      <c r="E485" s="621">
        <f t="shared" si="77"/>
        <v>1</v>
      </c>
      <c r="F485" s="630"/>
      <c r="G485" s="621">
        <f t="shared" si="78"/>
        <v>1</v>
      </c>
      <c r="H485" s="630"/>
      <c r="I485" s="621">
        <f t="shared" si="79"/>
        <v>1</v>
      </c>
      <c r="J485" s="630"/>
      <c r="K485" s="621">
        <f t="shared" si="80"/>
        <v>1</v>
      </c>
      <c r="L485" s="630" t="str">
        <f>可抵押车位明细清单!K464</f>
        <v>标准车位</v>
      </c>
      <c r="M485" s="621">
        <f t="shared" si="81"/>
        <v>1</v>
      </c>
      <c r="N485" s="630"/>
      <c r="O485" s="621">
        <f t="shared" si="82"/>
        <v>1</v>
      </c>
      <c r="P485" s="3490" t="str">
        <f>可抵押车位明细清单!L464</f>
        <v>-1层</v>
      </c>
      <c r="Q485" s="621">
        <f t="shared" si="83"/>
        <v>1</v>
      </c>
      <c r="R485" s="681">
        <f t="shared" ca="1" si="84"/>
        <v>11.901899999999999</v>
      </c>
      <c r="S485" s="620">
        <f t="shared" ca="1" si="75"/>
        <v>0</v>
      </c>
    </row>
    <row r="486" spans="1:19">
      <c r="A486" s="628" t="str">
        <f>可抵押车位明细清单!D465</f>
        <v>3#地库023</v>
      </c>
      <c r="B486" s="629">
        <f>可抵押车位明细清单!H465</f>
        <v>40.65</v>
      </c>
      <c r="C486" s="621">
        <f t="shared" si="76"/>
        <v>1</v>
      </c>
      <c r="D486" s="630"/>
      <c r="E486" s="621">
        <f t="shared" si="77"/>
        <v>1</v>
      </c>
      <c r="F486" s="630"/>
      <c r="G486" s="621">
        <f t="shared" si="78"/>
        <v>1</v>
      </c>
      <c r="H486" s="630"/>
      <c r="I486" s="621">
        <f t="shared" si="79"/>
        <v>1</v>
      </c>
      <c r="J486" s="630"/>
      <c r="K486" s="621">
        <f t="shared" si="80"/>
        <v>1</v>
      </c>
      <c r="L486" s="630" t="str">
        <f>可抵押车位明细清单!K465</f>
        <v>标准车位</v>
      </c>
      <c r="M486" s="621">
        <f t="shared" si="81"/>
        <v>1</v>
      </c>
      <c r="N486" s="630"/>
      <c r="O486" s="621">
        <f t="shared" si="82"/>
        <v>1</v>
      </c>
      <c r="P486" s="3490" t="str">
        <f>可抵押车位明细清单!L465</f>
        <v>-1层</v>
      </c>
      <c r="Q486" s="621">
        <f t="shared" si="83"/>
        <v>1</v>
      </c>
      <c r="R486" s="681">
        <f t="shared" ca="1" si="84"/>
        <v>11.901899999999999</v>
      </c>
      <c r="S486" s="620">
        <f t="shared" ca="1" si="75"/>
        <v>0</v>
      </c>
    </row>
    <row r="487" spans="1:19">
      <c r="A487" s="628" t="str">
        <f>可抵押车位明细清单!D466</f>
        <v>3#地库024</v>
      </c>
      <c r="B487" s="629">
        <f>可抵押车位明细清单!H466</f>
        <v>40.65</v>
      </c>
      <c r="C487" s="621">
        <f t="shared" si="76"/>
        <v>1</v>
      </c>
      <c r="D487" s="630"/>
      <c r="E487" s="621">
        <f t="shared" si="77"/>
        <v>1</v>
      </c>
      <c r="F487" s="630"/>
      <c r="G487" s="621">
        <f t="shared" si="78"/>
        <v>1</v>
      </c>
      <c r="H487" s="630"/>
      <c r="I487" s="621">
        <f t="shared" si="79"/>
        <v>1</v>
      </c>
      <c r="J487" s="630"/>
      <c r="K487" s="621">
        <f t="shared" si="80"/>
        <v>1</v>
      </c>
      <c r="L487" s="630" t="str">
        <f>可抵押车位明细清单!K466</f>
        <v>标准车位</v>
      </c>
      <c r="M487" s="621">
        <f t="shared" si="81"/>
        <v>1</v>
      </c>
      <c r="N487" s="630"/>
      <c r="O487" s="621">
        <f t="shared" si="82"/>
        <v>1</v>
      </c>
      <c r="P487" s="3490" t="str">
        <f>可抵押车位明细清单!L466</f>
        <v>-1层</v>
      </c>
      <c r="Q487" s="621">
        <f t="shared" si="83"/>
        <v>1</v>
      </c>
      <c r="R487" s="681">
        <f t="shared" ca="1" si="84"/>
        <v>11.901899999999999</v>
      </c>
      <c r="S487" s="620">
        <f t="shared" ca="1" si="75"/>
        <v>0</v>
      </c>
    </row>
    <row r="488" spans="1:19">
      <c r="A488" s="628" t="str">
        <f>可抵押车位明细清单!D467</f>
        <v>3#地库025</v>
      </c>
      <c r="B488" s="629">
        <f>可抵押车位明细清单!H467</f>
        <v>40.65</v>
      </c>
      <c r="C488" s="621">
        <f t="shared" si="76"/>
        <v>1</v>
      </c>
      <c r="D488" s="630"/>
      <c r="E488" s="621">
        <f t="shared" si="77"/>
        <v>1</v>
      </c>
      <c r="F488" s="630"/>
      <c r="G488" s="621">
        <f t="shared" si="78"/>
        <v>1</v>
      </c>
      <c r="H488" s="630"/>
      <c r="I488" s="621">
        <f t="shared" si="79"/>
        <v>1</v>
      </c>
      <c r="J488" s="630"/>
      <c r="K488" s="621">
        <f t="shared" si="80"/>
        <v>1</v>
      </c>
      <c r="L488" s="630" t="str">
        <f>可抵押车位明细清单!K467</f>
        <v>标准车位</v>
      </c>
      <c r="M488" s="621">
        <f t="shared" si="81"/>
        <v>1</v>
      </c>
      <c r="N488" s="630"/>
      <c r="O488" s="621">
        <f t="shared" si="82"/>
        <v>1</v>
      </c>
      <c r="P488" s="3490" t="str">
        <f>可抵押车位明细清单!L467</f>
        <v>-1层</v>
      </c>
      <c r="Q488" s="621">
        <f t="shared" si="83"/>
        <v>1</v>
      </c>
      <c r="R488" s="681">
        <f t="shared" ca="1" si="84"/>
        <v>11.901899999999999</v>
      </c>
      <c r="S488" s="620">
        <f t="shared" ca="1" si="75"/>
        <v>0</v>
      </c>
    </row>
    <row r="489" spans="1:19">
      <c r="A489" s="628" t="str">
        <f>可抵押车位明细清单!D468</f>
        <v>3#地库026</v>
      </c>
      <c r="B489" s="629">
        <f>可抵押车位明细清单!H468</f>
        <v>38.770000000000003</v>
      </c>
      <c r="C489" s="621">
        <f t="shared" si="76"/>
        <v>1</v>
      </c>
      <c r="D489" s="630"/>
      <c r="E489" s="621">
        <f t="shared" si="77"/>
        <v>1</v>
      </c>
      <c r="F489" s="630"/>
      <c r="G489" s="621">
        <f t="shared" si="78"/>
        <v>1</v>
      </c>
      <c r="H489" s="630"/>
      <c r="I489" s="621">
        <f t="shared" si="79"/>
        <v>1</v>
      </c>
      <c r="J489" s="630"/>
      <c r="K489" s="621">
        <f t="shared" si="80"/>
        <v>1</v>
      </c>
      <c r="L489" s="630" t="str">
        <f>可抵押车位明细清单!K468</f>
        <v>标准车位</v>
      </c>
      <c r="M489" s="621">
        <f t="shared" si="81"/>
        <v>1</v>
      </c>
      <c r="N489" s="630"/>
      <c r="O489" s="621">
        <f t="shared" si="82"/>
        <v>1</v>
      </c>
      <c r="P489" s="3490" t="str">
        <f>可抵押车位明细清单!L468</f>
        <v>-1层</v>
      </c>
      <c r="Q489" s="621">
        <f t="shared" si="83"/>
        <v>1</v>
      </c>
      <c r="R489" s="681">
        <f t="shared" ca="1" si="84"/>
        <v>11.901899999999999</v>
      </c>
      <c r="S489" s="620">
        <f t="shared" ca="1" si="75"/>
        <v>0</v>
      </c>
    </row>
    <row r="490" spans="1:19">
      <c r="A490" s="628" t="str">
        <f>可抵押车位明细清单!D469</f>
        <v>3#地库027</v>
      </c>
      <c r="B490" s="629">
        <f>可抵押车位明细清单!H469</f>
        <v>38.770000000000003</v>
      </c>
      <c r="C490" s="621">
        <f t="shared" si="76"/>
        <v>1</v>
      </c>
      <c r="D490" s="630"/>
      <c r="E490" s="621">
        <f t="shared" si="77"/>
        <v>1</v>
      </c>
      <c r="F490" s="630"/>
      <c r="G490" s="621">
        <f t="shared" si="78"/>
        <v>1</v>
      </c>
      <c r="H490" s="630"/>
      <c r="I490" s="621">
        <f t="shared" si="79"/>
        <v>1</v>
      </c>
      <c r="J490" s="630"/>
      <c r="K490" s="621">
        <f t="shared" si="80"/>
        <v>1</v>
      </c>
      <c r="L490" s="630" t="str">
        <f>可抵押车位明细清单!K469</f>
        <v>标准车位</v>
      </c>
      <c r="M490" s="621">
        <f t="shared" si="81"/>
        <v>1</v>
      </c>
      <c r="N490" s="630"/>
      <c r="O490" s="621">
        <f t="shared" si="82"/>
        <v>1</v>
      </c>
      <c r="P490" s="3490" t="str">
        <f>可抵押车位明细清单!L469</f>
        <v>-1层</v>
      </c>
      <c r="Q490" s="621">
        <f t="shared" si="83"/>
        <v>1</v>
      </c>
      <c r="R490" s="681">
        <f t="shared" ca="1" si="84"/>
        <v>11.901899999999999</v>
      </c>
      <c r="S490" s="620">
        <f t="shared" ca="1" si="75"/>
        <v>0</v>
      </c>
    </row>
    <row r="491" spans="1:19">
      <c r="A491" s="628" t="str">
        <f>可抵押车位明细清单!D470</f>
        <v>3#地库028</v>
      </c>
      <c r="B491" s="629">
        <f>可抵押车位明细清单!H470</f>
        <v>38.770000000000003</v>
      </c>
      <c r="C491" s="621">
        <f t="shared" si="76"/>
        <v>1</v>
      </c>
      <c r="D491" s="630"/>
      <c r="E491" s="621">
        <f t="shared" si="77"/>
        <v>1</v>
      </c>
      <c r="F491" s="630"/>
      <c r="G491" s="621">
        <f t="shared" si="78"/>
        <v>1</v>
      </c>
      <c r="H491" s="630"/>
      <c r="I491" s="621">
        <f t="shared" si="79"/>
        <v>1</v>
      </c>
      <c r="J491" s="630"/>
      <c r="K491" s="621">
        <f t="shared" si="80"/>
        <v>1</v>
      </c>
      <c r="L491" s="630" t="str">
        <f>可抵押车位明细清单!K470</f>
        <v>标准车位</v>
      </c>
      <c r="M491" s="621">
        <f t="shared" si="81"/>
        <v>1</v>
      </c>
      <c r="N491" s="630"/>
      <c r="O491" s="621">
        <f t="shared" si="82"/>
        <v>1</v>
      </c>
      <c r="P491" s="3490" t="str">
        <f>可抵押车位明细清单!L470</f>
        <v>-1层</v>
      </c>
      <c r="Q491" s="621">
        <f t="shared" si="83"/>
        <v>1</v>
      </c>
      <c r="R491" s="681">
        <f t="shared" ca="1" si="84"/>
        <v>11.901899999999999</v>
      </c>
      <c r="S491" s="620">
        <f t="shared" ca="1" si="75"/>
        <v>0</v>
      </c>
    </row>
    <row r="492" spans="1:19">
      <c r="A492" s="628" t="str">
        <f>可抵押车位明细清单!D471</f>
        <v>3#地库029</v>
      </c>
      <c r="B492" s="629">
        <f>可抵押车位明细清单!H471</f>
        <v>38.770000000000003</v>
      </c>
      <c r="C492" s="621">
        <f t="shared" si="76"/>
        <v>1</v>
      </c>
      <c r="D492" s="630"/>
      <c r="E492" s="621">
        <f t="shared" si="77"/>
        <v>1</v>
      </c>
      <c r="F492" s="630"/>
      <c r="G492" s="621">
        <f t="shared" si="78"/>
        <v>1</v>
      </c>
      <c r="H492" s="630"/>
      <c r="I492" s="621">
        <f t="shared" si="79"/>
        <v>1</v>
      </c>
      <c r="J492" s="630"/>
      <c r="K492" s="621">
        <f t="shared" si="80"/>
        <v>1</v>
      </c>
      <c r="L492" s="630" t="str">
        <f>可抵押车位明细清单!K471</f>
        <v>标准车位</v>
      </c>
      <c r="M492" s="621">
        <f t="shared" si="81"/>
        <v>1</v>
      </c>
      <c r="N492" s="630"/>
      <c r="O492" s="621">
        <f t="shared" si="82"/>
        <v>1</v>
      </c>
      <c r="P492" s="3490" t="str">
        <f>可抵押车位明细清单!L471</f>
        <v>-1层</v>
      </c>
      <c r="Q492" s="621">
        <f t="shared" si="83"/>
        <v>1</v>
      </c>
      <c r="R492" s="681">
        <f t="shared" ca="1" si="84"/>
        <v>11.901899999999999</v>
      </c>
      <c r="S492" s="620">
        <f t="shared" ca="1" si="75"/>
        <v>0</v>
      </c>
    </row>
    <row r="493" spans="1:19">
      <c r="A493" s="628" t="str">
        <f>可抵押车位明细清单!D472</f>
        <v>3#地库030</v>
      </c>
      <c r="B493" s="629">
        <f>可抵押车位明细清单!H472</f>
        <v>38.770000000000003</v>
      </c>
      <c r="C493" s="621">
        <f t="shared" si="76"/>
        <v>1</v>
      </c>
      <c r="D493" s="630"/>
      <c r="E493" s="621">
        <f t="shared" si="77"/>
        <v>1</v>
      </c>
      <c r="F493" s="630"/>
      <c r="G493" s="621">
        <f t="shared" si="78"/>
        <v>1</v>
      </c>
      <c r="H493" s="630"/>
      <c r="I493" s="621">
        <f t="shared" si="79"/>
        <v>1</v>
      </c>
      <c r="J493" s="630"/>
      <c r="K493" s="621">
        <f t="shared" si="80"/>
        <v>1</v>
      </c>
      <c r="L493" s="630" t="str">
        <f>可抵押车位明细清单!K472</f>
        <v>标准车位</v>
      </c>
      <c r="M493" s="621">
        <f t="shared" si="81"/>
        <v>1</v>
      </c>
      <c r="N493" s="630"/>
      <c r="O493" s="621">
        <f t="shared" si="82"/>
        <v>1</v>
      </c>
      <c r="P493" s="3490" t="str">
        <f>可抵押车位明细清单!L472</f>
        <v>-1层</v>
      </c>
      <c r="Q493" s="621">
        <f t="shared" si="83"/>
        <v>1</v>
      </c>
      <c r="R493" s="681">
        <f t="shared" ca="1" si="84"/>
        <v>11.901899999999999</v>
      </c>
      <c r="S493" s="620">
        <f t="shared" ca="1" si="75"/>
        <v>0</v>
      </c>
    </row>
    <row r="494" spans="1:19">
      <c r="A494" s="628" t="str">
        <f>可抵押车位明细清单!D473</f>
        <v>3#地库031</v>
      </c>
      <c r="B494" s="629">
        <f>可抵押车位明细清单!H473</f>
        <v>38.770000000000003</v>
      </c>
      <c r="C494" s="621">
        <f t="shared" si="76"/>
        <v>1</v>
      </c>
      <c r="D494" s="630"/>
      <c r="E494" s="621">
        <f t="shared" si="77"/>
        <v>1</v>
      </c>
      <c r="F494" s="630"/>
      <c r="G494" s="621">
        <f t="shared" si="78"/>
        <v>1</v>
      </c>
      <c r="H494" s="630"/>
      <c r="I494" s="621">
        <f t="shared" si="79"/>
        <v>1</v>
      </c>
      <c r="J494" s="630"/>
      <c r="K494" s="621">
        <f t="shared" si="80"/>
        <v>1</v>
      </c>
      <c r="L494" s="630" t="str">
        <f>可抵押车位明细清单!K473</f>
        <v>标准车位</v>
      </c>
      <c r="M494" s="621">
        <f t="shared" si="81"/>
        <v>1</v>
      </c>
      <c r="N494" s="630"/>
      <c r="O494" s="621">
        <f t="shared" si="82"/>
        <v>1</v>
      </c>
      <c r="P494" s="3490" t="str">
        <f>可抵押车位明细清单!L473</f>
        <v>-1层</v>
      </c>
      <c r="Q494" s="621">
        <f t="shared" si="83"/>
        <v>1</v>
      </c>
      <c r="R494" s="681">
        <f t="shared" ca="1" si="84"/>
        <v>11.901899999999999</v>
      </c>
      <c r="S494" s="620">
        <f t="shared" ca="1" si="75"/>
        <v>0</v>
      </c>
    </row>
    <row r="495" spans="1:19">
      <c r="A495" s="628" t="str">
        <f>可抵押车位明细清单!D474</f>
        <v>3#地库032</v>
      </c>
      <c r="B495" s="629">
        <f>可抵押车位明细清单!H474</f>
        <v>38.770000000000003</v>
      </c>
      <c r="C495" s="621">
        <f t="shared" si="76"/>
        <v>1</v>
      </c>
      <c r="D495" s="630"/>
      <c r="E495" s="621">
        <f t="shared" si="77"/>
        <v>1</v>
      </c>
      <c r="F495" s="630"/>
      <c r="G495" s="621">
        <f t="shared" si="78"/>
        <v>1</v>
      </c>
      <c r="H495" s="630"/>
      <c r="I495" s="621">
        <f t="shared" si="79"/>
        <v>1</v>
      </c>
      <c r="J495" s="630"/>
      <c r="K495" s="621">
        <f t="shared" si="80"/>
        <v>1</v>
      </c>
      <c r="L495" s="630" t="str">
        <f>可抵押车位明细清单!K474</f>
        <v>标准车位</v>
      </c>
      <c r="M495" s="621">
        <f t="shared" si="81"/>
        <v>1</v>
      </c>
      <c r="N495" s="630"/>
      <c r="O495" s="621">
        <f t="shared" si="82"/>
        <v>1</v>
      </c>
      <c r="P495" s="3490" t="str">
        <f>可抵押车位明细清单!L474</f>
        <v>-1层</v>
      </c>
      <c r="Q495" s="621">
        <f t="shared" si="83"/>
        <v>1</v>
      </c>
      <c r="R495" s="681">
        <f t="shared" ca="1" si="84"/>
        <v>11.901899999999999</v>
      </c>
      <c r="S495" s="620">
        <f t="shared" ca="1" si="75"/>
        <v>0</v>
      </c>
    </row>
    <row r="496" spans="1:19">
      <c r="A496" s="628" t="str">
        <f>可抵押车位明细清单!D475</f>
        <v>3#地库033</v>
      </c>
      <c r="B496" s="629">
        <f>可抵押车位明细清单!H475</f>
        <v>37.61</v>
      </c>
      <c r="C496" s="621">
        <f t="shared" si="76"/>
        <v>1</v>
      </c>
      <c r="D496" s="630"/>
      <c r="E496" s="621">
        <f t="shared" si="77"/>
        <v>1</v>
      </c>
      <c r="F496" s="630"/>
      <c r="G496" s="621">
        <f t="shared" si="78"/>
        <v>1</v>
      </c>
      <c r="H496" s="630"/>
      <c r="I496" s="621">
        <f t="shared" si="79"/>
        <v>1</v>
      </c>
      <c r="J496" s="630"/>
      <c r="K496" s="621">
        <f t="shared" si="80"/>
        <v>1</v>
      </c>
      <c r="L496" s="630" t="str">
        <f>可抵押车位明细清单!K475</f>
        <v>标准车位</v>
      </c>
      <c r="M496" s="621">
        <f t="shared" si="81"/>
        <v>1</v>
      </c>
      <c r="N496" s="630"/>
      <c r="O496" s="621">
        <f t="shared" si="82"/>
        <v>1</v>
      </c>
      <c r="P496" s="3490" t="str">
        <f>可抵押车位明细清单!L475</f>
        <v>-1层</v>
      </c>
      <c r="Q496" s="621">
        <f t="shared" si="83"/>
        <v>1</v>
      </c>
      <c r="R496" s="681">
        <f t="shared" ca="1" si="84"/>
        <v>11.901899999999999</v>
      </c>
      <c r="S496" s="620">
        <f t="shared" ca="1" si="75"/>
        <v>0</v>
      </c>
    </row>
    <row r="497" spans="1:19">
      <c r="A497" s="628" t="str">
        <f>可抵押车位明细清单!D476</f>
        <v>3#地库034</v>
      </c>
      <c r="B497" s="629">
        <f>可抵押车位明细清单!H476</f>
        <v>37.61</v>
      </c>
      <c r="C497" s="621">
        <f t="shared" si="76"/>
        <v>1</v>
      </c>
      <c r="D497" s="630"/>
      <c r="E497" s="621">
        <f t="shared" si="77"/>
        <v>1</v>
      </c>
      <c r="F497" s="630"/>
      <c r="G497" s="621">
        <f t="shared" si="78"/>
        <v>1</v>
      </c>
      <c r="H497" s="630"/>
      <c r="I497" s="621">
        <f t="shared" si="79"/>
        <v>1</v>
      </c>
      <c r="J497" s="630"/>
      <c r="K497" s="621">
        <f t="shared" si="80"/>
        <v>1</v>
      </c>
      <c r="L497" s="630" t="str">
        <f>可抵押车位明细清单!K476</f>
        <v>标准车位</v>
      </c>
      <c r="M497" s="621">
        <f t="shared" si="81"/>
        <v>1</v>
      </c>
      <c r="N497" s="630"/>
      <c r="O497" s="621">
        <f t="shared" si="82"/>
        <v>1</v>
      </c>
      <c r="P497" s="3490" t="str">
        <f>可抵押车位明细清单!L476</f>
        <v>-1层</v>
      </c>
      <c r="Q497" s="621">
        <f t="shared" si="83"/>
        <v>1</v>
      </c>
      <c r="R497" s="681">
        <f t="shared" ca="1" si="84"/>
        <v>11.901899999999999</v>
      </c>
      <c r="S497" s="620">
        <f t="shared" ca="1" si="75"/>
        <v>0</v>
      </c>
    </row>
    <row r="498" spans="1:19">
      <c r="A498" s="628" t="str">
        <f>可抵押车位明细清单!D477</f>
        <v>3#地库035</v>
      </c>
      <c r="B498" s="629">
        <f>可抵押车位明细清单!H477</f>
        <v>38.39</v>
      </c>
      <c r="C498" s="621">
        <f t="shared" si="76"/>
        <v>1</v>
      </c>
      <c r="D498" s="630"/>
      <c r="E498" s="621">
        <f t="shared" si="77"/>
        <v>1</v>
      </c>
      <c r="F498" s="630"/>
      <c r="G498" s="621">
        <f t="shared" si="78"/>
        <v>1</v>
      </c>
      <c r="H498" s="630"/>
      <c r="I498" s="621">
        <f t="shared" si="79"/>
        <v>1</v>
      </c>
      <c r="J498" s="630"/>
      <c r="K498" s="621">
        <f t="shared" si="80"/>
        <v>1</v>
      </c>
      <c r="L498" s="630" t="str">
        <f>可抵押车位明细清单!K477</f>
        <v>标准车位</v>
      </c>
      <c r="M498" s="621">
        <f t="shared" si="81"/>
        <v>1</v>
      </c>
      <c r="N498" s="630"/>
      <c r="O498" s="621">
        <f t="shared" si="82"/>
        <v>1</v>
      </c>
      <c r="P498" s="3490" t="str">
        <f>可抵押车位明细清单!L477</f>
        <v>-1层</v>
      </c>
      <c r="Q498" s="621">
        <f t="shared" si="83"/>
        <v>1</v>
      </c>
      <c r="R498" s="681">
        <f t="shared" ca="1" si="84"/>
        <v>11.901899999999999</v>
      </c>
      <c r="S498" s="620">
        <f t="shared" ca="1" si="75"/>
        <v>0</v>
      </c>
    </row>
    <row r="499" spans="1:19">
      <c r="A499" s="628" t="str">
        <f>可抵押车位明细清单!D478</f>
        <v>3#地库036</v>
      </c>
      <c r="B499" s="629">
        <f>可抵押车位明细清单!H478</f>
        <v>37.950000000000003</v>
      </c>
      <c r="C499" s="621">
        <f t="shared" si="76"/>
        <v>1</v>
      </c>
      <c r="D499" s="630"/>
      <c r="E499" s="621">
        <f t="shared" si="77"/>
        <v>1</v>
      </c>
      <c r="F499" s="630"/>
      <c r="G499" s="621">
        <f t="shared" si="78"/>
        <v>1</v>
      </c>
      <c r="H499" s="630"/>
      <c r="I499" s="621">
        <f t="shared" si="79"/>
        <v>1</v>
      </c>
      <c r="J499" s="630"/>
      <c r="K499" s="621">
        <f t="shared" si="80"/>
        <v>1</v>
      </c>
      <c r="L499" s="630" t="str">
        <f>可抵押车位明细清单!K478</f>
        <v>标准车位</v>
      </c>
      <c r="M499" s="621">
        <f t="shared" si="81"/>
        <v>1</v>
      </c>
      <c r="N499" s="630"/>
      <c r="O499" s="621">
        <f t="shared" si="82"/>
        <v>1</v>
      </c>
      <c r="P499" s="3490" t="str">
        <f>可抵押车位明细清单!L478</f>
        <v>-1层</v>
      </c>
      <c r="Q499" s="621">
        <f t="shared" si="83"/>
        <v>1</v>
      </c>
      <c r="R499" s="681">
        <f t="shared" ca="1" si="84"/>
        <v>11.901899999999999</v>
      </c>
      <c r="S499" s="620">
        <f t="shared" ca="1" si="75"/>
        <v>0</v>
      </c>
    </row>
    <row r="500" spans="1:19">
      <c r="A500" s="628" t="str">
        <f>可抵押车位明细清单!D479</f>
        <v>3#地库037</v>
      </c>
      <c r="B500" s="629">
        <f>可抵押车位明细清单!H479</f>
        <v>38.770000000000003</v>
      </c>
      <c r="C500" s="621">
        <f t="shared" si="76"/>
        <v>1</v>
      </c>
      <c r="D500" s="630"/>
      <c r="E500" s="621">
        <f t="shared" si="77"/>
        <v>1</v>
      </c>
      <c r="F500" s="630"/>
      <c r="G500" s="621">
        <f t="shared" si="78"/>
        <v>1</v>
      </c>
      <c r="H500" s="630"/>
      <c r="I500" s="621">
        <f t="shared" si="79"/>
        <v>1</v>
      </c>
      <c r="J500" s="630"/>
      <c r="K500" s="621">
        <f t="shared" si="80"/>
        <v>1</v>
      </c>
      <c r="L500" s="630" t="str">
        <f>可抵押车位明细清单!K479</f>
        <v>标准车位</v>
      </c>
      <c r="M500" s="621">
        <f t="shared" si="81"/>
        <v>1</v>
      </c>
      <c r="N500" s="630"/>
      <c r="O500" s="621">
        <f t="shared" si="82"/>
        <v>1</v>
      </c>
      <c r="P500" s="3490" t="str">
        <f>可抵押车位明细清单!L479</f>
        <v>-1层</v>
      </c>
      <c r="Q500" s="621">
        <f t="shared" si="83"/>
        <v>1</v>
      </c>
      <c r="R500" s="681">
        <f t="shared" ca="1" si="84"/>
        <v>11.901899999999999</v>
      </c>
      <c r="S500" s="620">
        <f t="shared" ca="1" si="75"/>
        <v>0</v>
      </c>
    </row>
    <row r="501" spans="1:19">
      <c r="A501" s="628" t="str">
        <f>可抵押车位明细清单!D480</f>
        <v>3#地库038</v>
      </c>
      <c r="B501" s="629">
        <f>可抵押车位明细清单!H480</f>
        <v>77.540000000000006</v>
      </c>
      <c r="C501" s="621">
        <f t="shared" si="76"/>
        <v>1</v>
      </c>
      <c r="D501" s="630"/>
      <c r="E501" s="621">
        <f t="shared" si="77"/>
        <v>1</v>
      </c>
      <c r="F501" s="630"/>
      <c r="G501" s="621">
        <f t="shared" si="78"/>
        <v>1</v>
      </c>
      <c r="H501" s="630"/>
      <c r="I501" s="621">
        <f t="shared" si="79"/>
        <v>1</v>
      </c>
      <c r="J501" s="630"/>
      <c r="K501" s="621">
        <f t="shared" si="80"/>
        <v>1</v>
      </c>
      <c r="L501" s="630" t="str">
        <f>可抵押车位明细清单!K480</f>
        <v>子母车位</v>
      </c>
      <c r="M501" s="621">
        <f t="shared" si="81"/>
        <v>1.5</v>
      </c>
      <c r="N501" s="630"/>
      <c r="O501" s="621">
        <f t="shared" si="82"/>
        <v>1</v>
      </c>
      <c r="P501" s="3490" t="str">
        <f>可抵押车位明细清单!L480</f>
        <v>-1层</v>
      </c>
      <c r="Q501" s="621">
        <f t="shared" si="83"/>
        <v>1</v>
      </c>
      <c r="R501" s="681">
        <f t="shared" ca="1" si="84"/>
        <v>17.852900000000002</v>
      </c>
      <c r="S501" s="620">
        <f t="shared" ca="1" si="75"/>
        <v>0</v>
      </c>
    </row>
    <row r="502" spans="1:19">
      <c r="A502" s="628" t="str">
        <f>可抵押车位明细清单!D481</f>
        <v>3#地库039</v>
      </c>
      <c r="B502" s="629">
        <f>可抵押车位明细清单!H481</f>
        <v>38.770000000000003</v>
      </c>
      <c r="C502" s="621">
        <f t="shared" si="76"/>
        <v>1</v>
      </c>
      <c r="D502" s="630"/>
      <c r="E502" s="621">
        <f t="shared" si="77"/>
        <v>1</v>
      </c>
      <c r="F502" s="630"/>
      <c r="G502" s="621">
        <f t="shared" si="78"/>
        <v>1</v>
      </c>
      <c r="H502" s="630"/>
      <c r="I502" s="621">
        <f t="shared" si="79"/>
        <v>1</v>
      </c>
      <c r="J502" s="630"/>
      <c r="K502" s="621">
        <f t="shared" si="80"/>
        <v>1</v>
      </c>
      <c r="L502" s="630" t="str">
        <f>可抵押车位明细清单!K481</f>
        <v>标准车位</v>
      </c>
      <c r="M502" s="621">
        <f t="shared" si="81"/>
        <v>1</v>
      </c>
      <c r="N502" s="630"/>
      <c r="O502" s="621">
        <f t="shared" si="82"/>
        <v>1</v>
      </c>
      <c r="P502" s="3490" t="str">
        <f>可抵押车位明细清单!L481</f>
        <v>-1层</v>
      </c>
      <c r="Q502" s="621">
        <f t="shared" si="83"/>
        <v>1</v>
      </c>
      <c r="R502" s="681">
        <f t="shared" ca="1" si="84"/>
        <v>11.901899999999999</v>
      </c>
      <c r="S502" s="620">
        <f t="shared" ca="1" si="75"/>
        <v>0</v>
      </c>
    </row>
    <row r="503" spans="1:19">
      <c r="A503" s="628" t="str">
        <f>可抵押车位明细清单!D482</f>
        <v>3#地库040</v>
      </c>
      <c r="B503" s="629">
        <f>可抵押车位明细清单!H482</f>
        <v>38.770000000000003</v>
      </c>
      <c r="C503" s="621">
        <f t="shared" si="76"/>
        <v>1</v>
      </c>
      <c r="D503" s="630"/>
      <c r="E503" s="621">
        <f t="shared" si="77"/>
        <v>1</v>
      </c>
      <c r="F503" s="630"/>
      <c r="G503" s="621">
        <f t="shared" si="78"/>
        <v>1</v>
      </c>
      <c r="H503" s="630"/>
      <c r="I503" s="621">
        <f t="shared" si="79"/>
        <v>1</v>
      </c>
      <c r="J503" s="630"/>
      <c r="K503" s="621">
        <f t="shared" si="80"/>
        <v>1</v>
      </c>
      <c r="L503" s="630" t="str">
        <f>可抵押车位明细清单!K482</f>
        <v>标准车位</v>
      </c>
      <c r="M503" s="621">
        <f t="shared" si="81"/>
        <v>1</v>
      </c>
      <c r="N503" s="630"/>
      <c r="O503" s="621">
        <f t="shared" si="82"/>
        <v>1</v>
      </c>
      <c r="P503" s="3490" t="str">
        <f>可抵押车位明细清单!L482</f>
        <v>-1层</v>
      </c>
      <c r="Q503" s="621">
        <f t="shared" si="83"/>
        <v>1</v>
      </c>
      <c r="R503" s="681">
        <f t="shared" ca="1" si="84"/>
        <v>11.901899999999999</v>
      </c>
      <c r="S503" s="620">
        <f t="shared" ca="1" si="75"/>
        <v>0</v>
      </c>
    </row>
    <row r="504" spans="1:19">
      <c r="A504" s="628" t="str">
        <f>可抵押车位明细清单!D483</f>
        <v>3#地库041</v>
      </c>
      <c r="B504" s="629">
        <f>可抵押车位明细清单!H483</f>
        <v>38.71</v>
      </c>
      <c r="C504" s="621">
        <f t="shared" si="76"/>
        <v>1</v>
      </c>
      <c r="D504" s="630"/>
      <c r="E504" s="621">
        <f t="shared" si="77"/>
        <v>1</v>
      </c>
      <c r="F504" s="630"/>
      <c r="G504" s="621">
        <f t="shared" si="78"/>
        <v>1</v>
      </c>
      <c r="H504" s="630"/>
      <c r="I504" s="621">
        <f t="shared" si="79"/>
        <v>1</v>
      </c>
      <c r="J504" s="630"/>
      <c r="K504" s="621">
        <f t="shared" si="80"/>
        <v>1</v>
      </c>
      <c r="L504" s="630" t="str">
        <f>可抵押车位明细清单!K483</f>
        <v>标准车位</v>
      </c>
      <c r="M504" s="621">
        <f t="shared" si="81"/>
        <v>1</v>
      </c>
      <c r="N504" s="630"/>
      <c r="O504" s="621">
        <f t="shared" si="82"/>
        <v>1</v>
      </c>
      <c r="P504" s="3490" t="str">
        <f>可抵押车位明细清单!L483</f>
        <v>-1层</v>
      </c>
      <c r="Q504" s="621">
        <f t="shared" si="83"/>
        <v>1</v>
      </c>
      <c r="R504" s="681">
        <f t="shared" ca="1" si="84"/>
        <v>11.901899999999999</v>
      </c>
      <c r="S504" s="620">
        <f t="shared" ca="1" si="75"/>
        <v>0</v>
      </c>
    </row>
    <row r="505" spans="1:19">
      <c r="A505" s="628" t="str">
        <f>可抵押车位明细清单!D484</f>
        <v>3#地库042</v>
      </c>
      <c r="B505" s="629">
        <f>可抵押车位明细清单!H484</f>
        <v>44.41</v>
      </c>
      <c r="C505" s="621">
        <f t="shared" si="76"/>
        <v>1</v>
      </c>
      <c r="D505" s="630"/>
      <c r="E505" s="621">
        <f t="shared" si="77"/>
        <v>1</v>
      </c>
      <c r="F505" s="630"/>
      <c r="G505" s="621">
        <f t="shared" si="78"/>
        <v>1</v>
      </c>
      <c r="H505" s="630"/>
      <c r="I505" s="621">
        <f t="shared" si="79"/>
        <v>1</v>
      </c>
      <c r="J505" s="630"/>
      <c r="K505" s="621">
        <f t="shared" si="80"/>
        <v>1</v>
      </c>
      <c r="L505" s="630" t="str">
        <f>可抵押车位明细清单!K484</f>
        <v>标准车位</v>
      </c>
      <c r="M505" s="621">
        <f t="shared" si="81"/>
        <v>1</v>
      </c>
      <c r="N505" s="630"/>
      <c r="O505" s="621">
        <f t="shared" si="82"/>
        <v>1</v>
      </c>
      <c r="P505" s="3490" t="str">
        <f>可抵押车位明细清单!L484</f>
        <v>-1层</v>
      </c>
      <c r="Q505" s="621">
        <f t="shared" si="83"/>
        <v>1</v>
      </c>
      <c r="R505" s="681">
        <f t="shared" ca="1" si="84"/>
        <v>11.901899999999999</v>
      </c>
      <c r="S505" s="620">
        <f t="shared" ca="1" si="75"/>
        <v>0</v>
      </c>
    </row>
    <row r="506" spans="1:19">
      <c r="A506" s="628" t="str">
        <f>可抵押车位明细清单!D485</f>
        <v>3#地库043</v>
      </c>
      <c r="B506" s="629">
        <f>可抵押车位明细清单!H485</f>
        <v>44.41</v>
      </c>
      <c r="C506" s="621">
        <f t="shared" si="76"/>
        <v>1</v>
      </c>
      <c r="D506" s="630"/>
      <c r="E506" s="621">
        <f t="shared" si="77"/>
        <v>1</v>
      </c>
      <c r="F506" s="630"/>
      <c r="G506" s="621">
        <f t="shared" si="78"/>
        <v>1</v>
      </c>
      <c r="H506" s="630"/>
      <c r="I506" s="621">
        <f t="shared" si="79"/>
        <v>1</v>
      </c>
      <c r="J506" s="630"/>
      <c r="K506" s="621">
        <f t="shared" si="80"/>
        <v>1</v>
      </c>
      <c r="L506" s="630" t="str">
        <f>可抵押车位明细清单!K485</f>
        <v>标准车位</v>
      </c>
      <c r="M506" s="621">
        <f t="shared" si="81"/>
        <v>1</v>
      </c>
      <c r="N506" s="630"/>
      <c r="O506" s="621">
        <f t="shared" si="82"/>
        <v>1</v>
      </c>
      <c r="P506" s="3490" t="str">
        <f>可抵押车位明细清单!L485</f>
        <v>-1层</v>
      </c>
      <c r="Q506" s="621">
        <f t="shared" si="83"/>
        <v>1</v>
      </c>
      <c r="R506" s="681">
        <f t="shared" ca="1" si="84"/>
        <v>11.901899999999999</v>
      </c>
      <c r="S506" s="620">
        <f t="shared" ca="1" si="75"/>
        <v>0</v>
      </c>
    </row>
    <row r="507" spans="1:19">
      <c r="A507" s="628" t="str">
        <f>可抵押车位明细清单!D486</f>
        <v>3#地库044</v>
      </c>
      <c r="B507" s="629">
        <f>可抵押车位明细清单!H486</f>
        <v>38.39</v>
      </c>
      <c r="C507" s="621">
        <f t="shared" si="76"/>
        <v>1</v>
      </c>
      <c r="D507" s="630"/>
      <c r="E507" s="621">
        <f t="shared" si="77"/>
        <v>1</v>
      </c>
      <c r="F507" s="630"/>
      <c r="G507" s="621">
        <f t="shared" si="78"/>
        <v>1</v>
      </c>
      <c r="H507" s="630"/>
      <c r="I507" s="621">
        <f t="shared" si="79"/>
        <v>1</v>
      </c>
      <c r="J507" s="630"/>
      <c r="K507" s="621">
        <f t="shared" si="80"/>
        <v>1</v>
      </c>
      <c r="L507" s="630" t="str">
        <f>可抵押车位明细清单!K486</f>
        <v>标准车位</v>
      </c>
      <c r="M507" s="621">
        <f t="shared" si="81"/>
        <v>1</v>
      </c>
      <c r="N507" s="630"/>
      <c r="O507" s="621">
        <f t="shared" si="82"/>
        <v>1</v>
      </c>
      <c r="P507" s="3490" t="str">
        <f>可抵押车位明细清单!L486</f>
        <v>-1层</v>
      </c>
      <c r="Q507" s="621">
        <f t="shared" si="83"/>
        <v>1</v>
      </c>
      <c r="R507" s="681">
        <f t="shared" ca="1" si="84"/>
        <v>11.901899999999999</v>
      </c>
      <c r="S507" s="620">
        <f t="shared" ca="1" si="75"/>
        <v>0</v>
      </c>
    </row>
    <row r="508" spans="1:19">
      <c r="A508" s="628" t="str">
        <f>可抵押车位明细清单!D487</f>
        <v>3#地库045</v>
      </c>
      <c r="B508" s="629">
        <f>可抵押车位明细清单!H487</f>
        <v>39.520000000000003</v>
      </c>
      <c r="C508" s="621">
        <f t="shared" si="76"/>
        <v>1</v>
      </c>
      <c r="D508" s="630"/>
      <c r="E508" s="621">
        <f t="shared" si="77"/>
        <v>1</v>
      </c>
      <c r="F508" s="630"/>
      <c r="G508" s="621">
        <f t="shared" si="78"/>
        <v>1</v>
      </c>
      <c r="H508" s="630"/>
      <c r="I508" s="621">
        <f t="shared" si="79"/>
        <v>1</v>
      </c>
      <c r="J508" s="630"/>
      <c r="K508" s="621">
        <f t="shared" si="80"/>
        <v>1</v>
      </c>
      <c r="L508" s="630" t="str">
        <f>可抵押车位明细清单!K487</f>
        <v>标准车位</v>
      </c>
      <c r="M508" s="621">
        <f t="shared" si="81"/>
        <v>1</v>
      </c>
      <c r="N508" s="630"/>
      <c r="O508" s="621">
        <f t="shared" si="82"/>
        <v>1</v>
      </c>
      <c r="P508" s="3490" t="str">
        <f>可抵押车位明细清单!L487</f>
        <v>-1层</v>
      </c>
      <c r="Q508" s="621">
        <f t="shared" si="83"/>
        <v>1</v>
      </c>
      <c r="R508" s="681">
        <f t="shared" ca="1" si="84"/>
        <v>11.901899999999999</v>
      </c>
      <c r="S508" s="620">
        <f t="shared" ca="1" si="75"/>
        <v>0</v>
      </c>
    </row>
    <row r="509" spans="1:19">
      <c r="A509" s="628" t="str">
        <f>可抵押车位明细清单!D488</f>
        <v>3#地库046</v>
      </c>
      <c r="B509" s="629">
        <f>可抵押车位明细清单!H488</f>
        <v>39.520000000000003</v>
      </c>
      <c r="C509" s="621">
        <f t="shared" si="76"/>
        <v>1</v>
      </c>
      <c r="D509" s="630"/>
      <c r="E509" s="621">
        <f t="shared" si="77"/>
        <v>1</v>
      </c>
      <c r="F509" s="630"/>
      <c r="G509" s="621">
        <f t="shared" si="78"/>
        <v>1</v>
      </c>
      <c r="H509" s="630"/>
      <c r="I509" s="621">
        <f t="shared" si="79"/>
        <v>1</v>
      </c>
      <c r="J509" s="630"/>
      <c r="K509" s="621">
        <f t="shared" si="80"/>
        <v>1</v>
      </c>
      <c r="L509" s="630" t="str">
        <f>可抵押车位明细清单!K488</f>
        <v>标准车位</v>
      </c>
      <c r="M509" s="621">
        <f t="shared" si="81"/>
        <v>1</v>
      </c>
      <c r="N509" s="630"/>
      <c r="O509" s="621">
        <f t="shared" si="82"/>
        <v>1</v>
      </c>
      <c r="P509" s="3490" t="str">
        <f>可抵押车位明细清单!L488</f>
        <v>-1层</v>
      </c>
      <c r="Q509" s="621">
        <f t="shared" si="83"/>
        <v>1</v>
      </c>
      <c r="R509" s="681">
        <f t="shared" ca="1" si="84"/>
        <v>11.901899999999999</v>
      </c>
      <c r="S509" s="620">
        <f t="shared" ca="1" si="75"/>
        <v>0</v>
      </c>
    </row>
    <row r="510" spans="1:19">
      <c r="A510" s="628" t="str">
        <f>可抵押车位明细清单!D489</f>
        <v>3#地库047</v>
      </c>
      <c r="B510" s="629">
        <f>可抵押车位明细清单!H489</f>
        <v>40.340000000000003</v>
      </c>
      <c r="C510" s="621">
        <f t="shared" si="76"/>
        <v>1</v>
      </c>
      <c r="D510" s="630"/>
      <c r="E510" s="621">
        <f t="shared" si="77"/>
        <v>1</v>
      </c>
      <c r="F510" s="630"/>
      <c r="G510" s="621">
        <f t="shared" si="78"/>
        <v>1</v>
      </c>
      <c r="H510" s="630"/>
      <c r="I510" s="621">
        <f t="shared" si="79"/>
        <v>1</v>
      </c>
      <c r="J510" s="630"/>
      <c r="K510" s="621">
        <f t="shared" si="80"/>
        <v>1</v>
      </c>
      <c r="L510" s="630" t="str">
        <f>可抵押车位明细清单!K489</f>
        <v>标准车位</v>
      </c>
      <c r="M510" s="621">
        <f t="shared" si="81"/>
        <v>1</v>
      </c>
      <c r="N510" s="630"/>
      <c r="O510" s="621">
        <f t="shared" si="82"/>
        <v>1</v>
      </c>
      <c r="P510" s="3490" t="str">
        <f>可抵押车位明细清单!L489</f>
        <v>-1层</v>
      </c>
      <c r="Q510" s="621">
        <f t="shared" si="83"/>
        <v>1</v>
      </c>
      <c r="R510" s="681">
        <f t="shared" ca="1" si="84"/>
        <v>11.901899999999999</v>
      </c>
      <c r="S510" s="620">
        <f t="shared" ca="1" si="75"/>
        <v>0</v>
      </c>
    </row>
    <row r="511" spans="1:19">
      <c r="A511" s="628" t="str">
        <f>可抵押车位明细清单!D490</f>
        <v>3#地库048</v>
      </c>
      <c r="B511" s="629">
        <f>可抵押车位明细清单!H490</f>
        <v>37.89</v>
      </c>
      <c r="C511" s="621">
        <f t="shared" si="76"/>
        <v>1</v>
      </c>
      <c r="D511" s="630"/>
      <c r="E511" s="621">
        <f t="shared" si="77"/>
        <v>1</v>
      </c>
      <c r="F511" s="630"/>
      <c r="G511" s="621">
        <f t="shared" si="78"/>
        <v>1</v>
      </c>
      <c r="H511" s="630"/>
      <c r="I511" s="621">
        <f t="shared" si="79"/>
        <v>1</v>
      </c>
      <c r="J511" s="630"/>
      <c r="K511" s="621">
        <f t="shared" si="80"/>
        <v>1</v>
      </c>
      <c r="L511" s="630" t="str">
        <f>可抵押车位明细清单!K490</f>
        <v>标准车位</v>
      </c>
      <c r="M511" s="621">
        <f t="shared" si="81"/>
        <v>1</v>
      </c>
      <c r="N511" s="630"/>
      <c r="O511" s="621">
        <f t="shared" si="82"/>
        <v>1</v>
      </c>
      <c r="P511" s="3490" t="str">
        <f>可抵押车位明细清单!L490</f>
        <v>-1层</v>
      </c>
      <c r="Q511" s="621">
        <f t="shared" si="83"/>
        <v>1</v>
      </c>
      <c r="R511" s="681">
        <f t="shared" ca="1" si="84"/>
        <v>11.901899999999999</v>
      </c>
      <c r="S511" s="620">
        <f t="shared" ca="1" si="75"/>
        <v>0</v>
      </c>
    </row>
    <row r="512" spans="1:19">
      <c r="A512" s="628" t="str">
        <f>可抵押车位明细清单!D491</f>
        <v>3#地库049</v>
      </c>
      <c r="B512" s="629">
        <f>可抵押车位明细清单!H491</f>
        <v>39.520000000000003</v>
      </c>
      <c r="C512" s="621">
        <f t="shared" si="76"/>
        <v>1</v>
      </c>
      <c r="D512" s="630"/>
      <c r="E512" s="621">
        <f t="shared" si="77"/>
        <v>1</v>
      </c>
      <c r="F512" s="630"/>
      <c r="G512" s="621">
        <f t="shared" si="78"/>
        <v>1</v>
      </c>
      <c r="H512" s="630"/>
      <c r="I512" s="621">
        <f t="shared" si="79"/>
        <v>1</v>
      </c>
      <c r="J512" s="630"/>
      <c r="K512" s="621">
        <f t="shared" si="80"/>
        <v>1</v>
      </c>
      <c r="L512" s="630" t="str">
        <f>可抵押车位明细清单!K491</f>
        <v>标准车位</v>
      </c>
      <c r="M512" s="621">
        <f t="shared" si="81"/>
        <v>1</v>
      </c>
      <c r="N512" s="630"/>
      <c r="O512" s="621">
        <f t="shared" si="82"/>
        <v>1</v>
      </c>
      <c r="P512" s="3490" t="str">
        <f>可抵押车位明细清单!L491</f>
        <v>-1层</v>
      </c>
      <c r="Q512" s="621">
        <f t="shared" si="83"/>
        <v>1</v>
      </c>
      <c r="R512" s="681">
        <f t="shared" ca="1" si="84"/>
        <v>11.901899999999999</v>
      </c>
      <c r="S512" s="620">
        <f t="shared" ca="1" si="75"/>
        <v>0</v>
      </c>
    </row>
    <row r="513" spans="1:19">
      <c r="A513" s="628" t="str">
        <f>可抵押车位明细清单!D492</f>
        <v>3#地库050</v>
      </c>
      <c r="B513" s="629">
        <f>可抵押车位明细清单!H492</f>
        <v>39.520000000000003</v>
      </c>
      <c r="C513" s="621">
        <f t="shared" si="76"/>
        <v>1</v>
      </c>
      <c r="D513" s="630"/>
      <c r="E513" s="621">
        <f t="shared" si="77"/>
        <v>1</v>
      </c>
      <c r="F513" s="630"/>
      <c r="G513" s="621">
        <f t="shared" si="78"/>
        <v>1</v>
      </c>
      <c r="H513" s="630"/>
      <c r="I513" s="621">
        <f t="shared" si="79"/>
        <v>1</v>
      </c>
      <c r="J513" s="630"/>
      <c r="K513" s="621">
        <f t="shared" si="80"/>
        <v>1</v>
      </c>
      <c r="L513" s="630" t="str">
        <f>可抵押车位明细清单!K492</f>
        <v>标准车位</v>
      </c>
      <c r="M513" s="621">
        <f t="shared" si="81"/>
        <v>1</v>
      </c>
      <c r="N513" s="630"/>
      <c r="O513" s="621">
        <f t="shared" si="82"/>
        <v>1</v>
      </c>
      <c r="P513" s="3490" t="str">
        <f>可抵押车位明细清单!L492</f>
        <v>-1层</v>
      </c>
      <c r="Q513" s="621">
        <f t="shared" si="83"/>
        <v>1</v>
      </c>
      <c r="R513" s="681">
        <f t="shared" ca="1" si="84"/>
        <v>11.901899999999999</v>
      </c>
      <c r="S513" s="620">
        <f t="shared" ca="1" si="75"/>
        <v>0</v>
      </c>
    </row>
    <row r="514" spans="1:19">
      <c r="A514" s="628" t="str">
        <f>可抵押车位明细清单!D493</f>
        <v>3#地库051</v>
      </c>
      <c r="B514" s="629">
        <f>可抵押车位明细清单!H493</f>
        <v>39.520000000000003</v>
      </c>
      <c r="C514" s="621">
        <f t="shared" si="76"/>
        <v>1</v>
      </c>
      <c r="D514" s="630"/>
      <c r="E514" s="621">
        <f t="shared" si="77"/>
        <v>1</v>
      </c>
      <c r="F514" s="630"/>
      <c r="G514" s="621">
        <f t="shared" si="78"/>
        <v>1</v>
      </c>
      <c r="H514" s="630"/>
      <c r="I514" s="621">
        <f t="shared" si="79"/>
        <v>1</v>
      </c>
      <c r="J514" s="630"/>
      <c r="K514" s="621">
        <f t="shared" si="80"/>
        <v>1</v>
      </c>
      <c r="L514" s="630" t="str">
        <f>可抵押车位明细清单!K493</f>
        <v>标准车位</v>
      </c>
      <c r="M514" s="621">
        <f t="shared" si="81"/>
        <v>1</v>
      </c>
      <c r="N514" s="630"/>
      <c r="O514" s="621">
        <f t="shared" si="82"/>
        <v>1</v>
      </c>
      <c r="P514" s="3490" t="str">
        <f>可抵押车位明细清单!L493</f>
        <v>-1层</v>
      </c>
      <c r="Q514" s="621">
        <f t="shared" si="83"/>
        <v>1</v>
      </c>
      <c r="R514" s="681">
        <f t="shared" ca="1" si="84"/>
        <v>11.901899999999999</v>
      </c>
      <c r="S514" s="620">
        <f t="shared" ca="1" si="75"/>
        <v>0</v>
      </c>
    </row>
    <row r="515" spans="1:19">
      <c r="A515" s="628" t="str">
        <f>可抵押车位明细清单!D494</f>
        <v>3#地库052</v>
      </c>
      <c r="B515" s="629">
        <f>可抵押车位明细清单!H494</f>
        <v>39.520000000000003</v>
      </c>
      <c r="C515" s="621">
        <f t="shared" si="76"/>
        <v>1</v>
      </c>
      <c r="D515" s="630"/>
      <c r="E515" s="621">
        <f t="shared" si="77"/>
        <v>1</v>
      </c>
      <c r="F515" s="630"/>
      <c r="G515" s="621">
        <f t="shared" si="78"/>
        <v>1</v>
      </c>
      <c r="H515" s="630"/>
      <c r="I515" s="621">
        <f t="shared" si="79"/>
        <v>1</v>
      </c>
      <c r="J515" s="630"/>
      <c r="K515" s="621">
        <f t="shared" si="80"/>
        <v>1</v>
      </c>
      <c r="L515" s="630" t="str">
        <f>可抵押车位明细清单!K494</f>
        <v>标准车位</v>
      </c>
      <c r="M515" s="621">
        <f t="shared" si="81"/>
        <v>1</v>
      </c>
      <c r="N515" s="630"/>
      <c r="O515" s="621">
        <f t="shared" si="82"/>
        <v>1</v>
      </c>
      <c r="P515" s="3490" t="str">
        <f>可抵押车位明细清单!L494</f>
        <v>-1层</v>
      </c>
      <c r="Q515" s="621">
        <f t="shared" si="83"/>
        <v>1</v>
      </c>
      <c r="R515" s="681">
        <f t="shared" ca="1" si="84"/>
        <v>11.901899999999999</v>
      </c>
      <c r="S515" s="620">
        <f t="shared" ca="1" si="75"/>
        <v>0</v>
      </c>
    </row>
    <row r="516" spans="1:19">
      <c r="A516" s="628" t="str">
        <f>可抵押车位明细清单!D495</f>
        <v>3#地库053</v>
      </c>
      <c r="B516" s="629">
        <f>可抵押车位明细清单!H495</f>
        <v>36.229999999999997</v>
      </c>
      <c r="C516" s="621">
        <f t="shared" si="76"/>
        <v>1</v>
      </c>
      <c r="D516" s="630"/>
      <c r="E516" s="621">
        <f t="shared" si="77"/>
        <v>1</v>
      </c>
      <c r="F516" s="630"/>
      <c r="G516" s="621">
        <f t="shared" si="78"/>
        <v>1</v>
      </c>
      <c r="H516" s="630"/>
      <c r="I516" s="621">
        <f t="shared" si="79"/>
        <v>1</v>
      </c>
      <c r="J516" s="630"/>
      <c r="K516" s="621">
        <f t="shared" si="80"/>
        <v>1</v>
      </c>
      <c r="L516" s="630" t="str">
        <f>可抵押车位明细清单!K495</f>
        <v>标准车位</v>
      </c>
      <c r="M516" s="621">
        <f t="shared" si="81"/>
        <v>1</v>
      </c>
      <c r="N516" s="630"/>
      <c r="O516" s="621">
        <f t="shared" si="82"/>
        <v>1</v>
      </c>
      <c r="P516" s="3490" t="str">
        <f>可抵押车位明细清单!L495</f>
        <v>-1层</v>
      </c>
      <c r="Q516" s="621">
        <f t="shared" si="83"/>
        <v>1</v>
      </c>
      <c r="R516" s="681">
        <f t="shared" ca="1" si="84"/>
        <v>11.901899999999999</v>
      </c>
      <c r="S516" s="620">
        <f t="shared" ca="1" si="75"/>
        <v>0</v>
      </c>
    </row>
    <row r="517" spans="1:19">
      <c r="A517" s="628" t="str">
        <f>可抵押车位明细清单!D496</f>
        <v>3#地库054</v>
      </c>
      <c r="B517" s="629">
        <f>可抵押车位明细清单!H496</f>
        <v>39.520000000000003</v>
      </c>
      <c r="C517" s="621">
        <f t="shared" si="76"/>
        <v>1</v>
      </c>
      <c r="D517" s="630"/>
      <c r="E517" s="621">
        <f t="shared" si="77"/>
        <v>1</v>
      </c>
      <c r="F517" s="630"/>
      <c r="G517" s="621">
        <f t="shared" si="78"/>
        <v>1</v>
      </c>
      <c r="H517" s="630"/>
      <c r="I517" s="621">
        <f t="shared" si="79"/>
        <v>1</v>
      </c>
      <c r="J517" s="630"/>
      <c r="K517" s="621">
        <f t="shared" si="80"/>
        <v>1</v>
      </c>
      <c r="L517" s="630" t="str">
        <f>可抵押车位明细清单!K496</f>
        <v>标准车位</v>
      </c>
      <c r="M517" s="621">
        <f t="shared" si="81"/>
        <v>1</v>
      </c>
      <c r="N517" s="630"/>
      <c r="O517" s="621">
        <f t="shared" si="82"/>
        <v>1</v>
      </c>
      <c r="P517" s="3490" t="str">
        <f>可抵押车位明细清单!L496</f>
        <v>-1层</v>
      </c>
      <c r="Q517" s="621">
        <f t="shared" si="83"/>
        <v>1</v>
      </c>
      <c r="R517" s="681">
        <f t="shared" ca="1" si="84"/>
        <v>11.901899999999999</v>
      </c>
      <c r="S517" s="620">
        <f t="shared" ca="1" si="75"/>
        <v>0</v>
      </c>
    </row>
    <row r="518" spans="1:19">
      <c r="A518" s="628" t="str">
        <f>可抵押车位明细清单!D497</f>
        <v>3#地库055</v>
      </c>
      <c r="B518" s="629">
        <f>可抵押车位明细清单!H497</f>
        <v>39.520000000000003</v>
      </c>
      <c r="C518" s="621">
        <f t="shared" si="76"/>
        <v>1</v>
      </c>
      <c r="D518" s="630"/>
      <c r="E518" s="621">
        <f t="shared" si="77"/>
        <v>1</v>
      </c>
      <c r="F518" s="630"/>
      <c r="G518" s="621">
        <f t="shared" si="78"/>
        <v>1</v>
      </c>
      <c r="H518" s="630"/>
      <c r="I518" s="621">
        <f t="shared" si="79"/>
        <v>1</v>
      </c>
      <c r="J518" s="630"/>
      <c r="K518" s="621">
        <f t="shared" si="80"/>
        <v>1</v>
      </c>
      <c r="L518" s="630" t="str">
        <f>可抵押车位明细清单!K497</f>
        <v>标准车位</v>
      </c>
      <c r="M518" s="621">
        <f t="shared" si="81"/>
        <v>1</v>
      </c>
      <c r="N518" s="630"/>
      <c r="O518" s="621">
        <f t="shared" si="82"/>
        <v>1</v>
      </c>
      <c r="P518" s="3490" t="str">
        <f>可抵押车位明细清单!L497</f>
        <v>-1层</v>
      </c>
      <c r="Q518" s="621">
        <f t="shared" si="83"/>
        <v>1</v>
      </c>
      <c r="R518" s="681">
        <f t="shared" ca="1" si="84"/>
        <v>11.901899999999999</v>
      </c>
      <c r="S518" s="620">
        <f t="shared" ca="1" si="75"/>
        <v>0</v>
      </c>
    </row>
    <row r="519" spans="1:19">
      <c r="A519" s="628" t="str">
        <f>可抵押车位明细清单!D498</f>
        <v>3#地库056</v>
      </c>
      <c r="B519" s="629">
        <f>可抵押车位明细清单!H498</f>
        <v>39.520000000000003</v>
      </c>
      <c r="C519" s="621">
        <f t="shared" si="76"/>
        <v>1</v>
      </c>
      <c r="D519" s="630"/>
      <c r="E519" s="621">
        <f t="shared" si="77"/>
        <v>1</v>
      </c>
      <c r="F519" s="630"/>
      <c r="G519" s="621">
        <f t="shared" si="78"/>
        <v>1</v>
      </c>
      <c r="H519" s="630"/>
      <c r="I519" s="621">
        <f t="shared" si="79"/>
        <v>1</v>
      </c>
      <c r="J519" s="630"/>
      <c r="K519" s="621">
        <f t="shared" si="80"/>
        <v>1</v>
      </c>
      <c r="L519" s="630" t="str">
        <f>可抵押车位明细清单!K498</f>
        <v>标准车位</v>
      </c>
      <c r="M519" s="621">
        <f t="shared" si="81"/>
        <v>1</v>
      </c>
      <c r="N519" s="630"/>
      <c r="O519" s="621">
        <f t="shared" si="82"/>
        <v>1</v>
      </c>
      <c r="P519" s="3490" t="str">
        <f>可抵押车位明细清单!L498</f>
        <v>-1层</v>
      </c>
      <c r="Q519" s="621">
        <f t="shared" si="83"/>
        <v>1</v>
      </c>
      <c r="R519" s="681">
        <f t="shared" ca="1" si="84"/>
        <v>11.901899999999999</v>
      </c>
      <c r="S519" s="620">
        <f t="shared" ca="1" si="75"/>
        <v>0</v>
      </c>
    </row>
    <row r="520" spans="1:19">
      <c r="A520" s="628" t="str">
        <f>可抵押车位明细清单!D499</f>
        <v>3#地库057</v>
      </c>
      <c r="B520" s="629">
        <f>可抵押车位明细清单!H499</f>
        <v>39.520000000000003</v>
      </c>
      <c r="C520" s="621">
        <f t="shared" si="76"/>
        <v>1</v>
      </c>
      <c r="D520" s="630"/>
      <c r="E520" s="621">
        <f t="shared" si="77"/>
        <v>1</v>
      </c>
      <c r="F520" s="630"/>
      <c r="G520" s="621">
        <f t="shared" si="78"/>
        <v>1</v>
      </c>
      <c r="H520" s="630"/>
      <c r="I520" s="621">
        <f t="shared" si="79"/>
        <v>1</v>
      </c>
      <c r="J520" s="630"/>
      <c r="K520" s="621">
        <f t="shared" si="80"/>
        <v>1</v>
      </c>
      <c r="L520" s="630" t="str">
        <f>可抵押车位明细清单!K499</f>
        <v>标准车位</v>
      </c>
      <c r="M520" s="621">
        <f t="shared" si="81"/>
        <v>1</v>
      </c>
      <c r="N520" s="630"/>
      <c r="O520" s="621">
        <f t="shared" si="82"/>
        <v>1</v>
      </c>
      <c r="P520" s="3490" t="str">
        <f>可抵押车位明细清单!L499</f>
        <v>-1层</v>
      </c>
      <c r="Q520" s="621">
        <f t="shared" si="83"/>
        <v>1</v>
      </c>
      <c r="R520" s="681">
        <f t="shared" ca="1" si="84"/>
        <v>11.901899999999999</v>
      </c>
      <c r="S520" s="620">
        <f t="shared" ca="1" si="75"/>
        <v>0</v>
      </c>
    </row>
    <row r="521" spans="1:19">
      <c r="A521" s="628" t="str">
        <f>可抵押车位明细清单!D500</f>
        <v>3#地库058</v>
      </c>
      <c r="B521" s="629">
        <f>可抵押车位明细清单!H500</f>
        <v>39.520000000000003</v>
      </c>
      <c r="C521" s="621">
        <f t="shared" si="76"/>
        <v>1</v>
      </c>
      <c r="D521" s="630"/>
      <c r="E521" s="621">
        <f t="shared" si="77"/>
        <v>1</v>
      </c>
      <c r="F521" s="630"/>
      <c r="G521" s="621">
        <f t="shared" si="78"/>
        <v>1</v>
      </c>
      <c r="H521" s="630"/>
      <c r="I521" s="621">
        <f t="shared" si="79"/>
        <v>1</v>
      </c>
      <c r="J521" s="630"/>
      <c r="K521" s="621">
        <f t="shared" si="80"/>
        <v>1</v>
      </c>
      <c r="L521" s="630" t="str">
        <f>可抵押车位明细清单!K500</f>
        <v>标准车位</v>
      </c>
      <c r="M521" s="621">
        <f t="shared" si="81"/>
        <v>1</v>
      </c>
      <c r="N521" s="630"/>
      <c r="O521" s="621">
        <f t="shared" si="82"/>
        <v>1</v>
      </c>
      <c r="P521" s="3490" t="str">
        <f>可抵押车位明细清单!L500</f>
        <v>-1层</v>
      </c>
      <c r="Q521" s="621">
        <f t="shared" si="83"/>
        <v>1</v>
      </c>
      <c r="R521" s="681">
        <f t="shared" ca="1" si="84"/>
        <v>11.901899999999999</v>
      </c>
      <c r="S521" s="620">
        <f t="shared" ca="1" si="75"/>
        <v>0</v>
      </c>
    </row>
    <row r="522" spans="1:19">
      <c r="A522" s="628" t="str">
        <f>可抵押车位明细清单!D501</f>
        <v>3#地库059</v>
      </c>
      <c r="B522" s="629">
        <f>可抵押车位明细清单!H501</f>
        <v>39.520000000000003</v>
      </c>
      <c r="C522" s="621">
        <f t="shared" si="76"/>
        <v>1</v>
      </c>
      <c r="D522" s="630"/>
      <c r="E522" s="621">
        <f t="shared" si="77"/>
        <v>1</v>
      </c>
      <c r="F522" s="630"/>
      <c r="G522" s="621">
        <f t="shared" si="78"/>
        <v>1</v>
      </c>
      <c r="H522" s="630"/>
      <c r="I522" s="621">
        <f t="shared" si="79"/>
        <v>1</v>
      </c>
      <c r="J522" s="630"/>
      <c r="K522" s="621">
        <f t="shared" si="80"/>
        <v>1</v>
      </c>
      <c r="L522" s="630" t="str">
        <f>可抵押车位明细清单!K501</f>
        <v>标准车位</v>
      </c>
      <c r="M522" s="621">
        <f t="shared" si="81"/>
        <v>1</v>
      </c>
      <c r="N522" s="630"/>
      <c r="O522" s="621">
        <f t="shared" si="82"/>
        <v>1</v>
      </c>
      <c r="P522" s="3490" t="str">
        <f>可抵押车位明细清单!L501</f>
        <v>-1层</v>
      </c>
      <c r="Q522" s="621">
        <f t="shared" si="83"/>
        <v>1</v>
      </c>
      <c r="R522" s="681">
        <f t="shared" ca="1" si="84"/>
        <v>11.901899999999999</v>
      </c>
      <c r="S522" s="620">
        <f t="shared" ca="1" si="75"/>
        <v>0</v>
      </c>
    </row>
    <row r="523" spans="1:19">
      <c r="A523" s="628" t="str">
        <f>可抵押车位明细清单!D502</f>
        <v>3#地库060</v>
      </c>
      <c r="B523" s="629">
        <f>可抵押车位明细清单!H502</f>
        <v>39.520000000000003</v>
      </c>
      <c r="C523" s="621">
        <f t="shared" si="76"/>
        <v>1</v>
      </c>
      <c r="D523" s="630"/>
      <c r="E523" s="621">
        <f t="shared" si="77"/>
        <v>1</v>
      </c>
      <c r="F523" s="630"/>
      <c r="G523" s="621">
        <f t="shared" si="78"/>
        <v>1</v>
      </c>
      <c r="H523" s="630"/>
      <c r="I523" s="621">
        <f t="shared" si="79"/>
        <v>1</v>
      </c>
      <c r="J523" s="630"/>
      <c r="K523" s="621">
        <f t="shared" si="80"/>
        <v>1</v>
      </c>
      <c r="L523" s="630" t="str">
        <f>可抵押车位明细清单!K502</f>
        <v>标准车位</v>
      </c>
      <c r="M523" s="621">
        <f t="shared" si="81"/>
        <v>1</v>
      </c>
      <c r="N523" s="630"/>
      <c r="O523" s="621">
        <f t="shared" si="82"/>
        <v>1</v>
      </c>
      <c r="P523" s="3490" t="str">
        <f>可抵押车位明细清单!L502</f>
        <v>-1层</v>
      </c>
      <c r="Q523" s="621">
        <f t="shared" si="83"/>
        <v>1</v>
      </c>
      <c r="R523" s="681">
        <f t="shared" ca="1" si="84"/>
        <v>11.901899999999999</v>
      </c>
      <c r="S523" s="620">
        <f t="shared" ca="1" si="75"/>
        <v>0</v>
      </c>
    </row>
    <row r="524" spans="1:19">
      <c r="A524" s="628" t="str">
        <f>可抵押车位明细清单!D503</f>
        <v>3#地库061</v>
      </c>
      <c r="B524" s="629">
        <f>可抵押车位明细清单!H503</f>
        <v>39.520000000000003</v>
      </c>
      <c r="C524" s="621">
        <f t="shared" si="76"/>
        <v>1</v>
      </c>
      <c r="D524" s="630"/>
      <c r="E524" s="621">
        <f t="shared" si="77"/>
        <v>1</v>
      </c>
      <c r="F524" s="630"/>
      <c r="G524" s="621">
        <f t="shared" si="78"/>
        <v>1</v>
      </c>
      <c r="H524" s="630"/>
      <c r="I524" s="621">
        <f t="shared" si="79"/>
        <v>1</v>
      </c>
      <c r="J524" s="630"/>
      <c r="K524" s="621">
        <f t="shared" si="80"/>
        <v>1</v>
      </c>
      <c r="L524" s="630" t="str">
        <f>可抵押车位明细清单!K503</f>
        <v>标准车位</v>
      </c>
      <c r="M524" s="621">
        <f t="shared" si="81"/>
        <v>1</v>
      </c>
      <c r="N524" s="630"/>
      <c r="O524" s="621">
        <f t="shared" si="82"/>
        <v>1</v>
      </c>
      <c r="P524" s="3490" t="str">
        <f>可抵押车位明细清单!L503</f>
        <v>-1层</v>
      </c>
      <c r="Q524" s="621">
        <f t="shared" si="83"/>
        <v>1</v>
      </c>
      <c r="R524" s="681">
        <f t="shared" ca="1" si="84"/>
        <v>11.901899999999999</v>
      </c>
      <c r="S524" s="620">
        <f t="shared" ca="1" si="75"/>
        <v>0</v>
      </c>
    </row>
    <row r="525" spans="1:19">
      <c r="A525" s="628" t="str">
        <f>可抵押车位明细清单!D504</f>
        <v>3#地库062</v>
      </c>
      <c r="B525" s="629">
        <f>可抵押车位明细清单!H504</f>
        <v>39.520000000000003</v>
      </c>
      <c r="C525" s="621">
        <f t="shared" si="76"/>
        <v>1</v>
      </c>
      <c r="D525" s="630"/>
      <c r="E525" s="621">
        <f t="shared" si="77"/>
        <v>1</v>
      </c>
      <c r="F525" s="630"/>
      <c r="G525" s="621">
        <f t="shared" si="78"/>
        <v>1</v>
      </c>
      <c r="H525" s="630"/>
      <c r="I525" s="621">
        <f t="shared" si="79"/>
        <v>1</v>
      </c>
      <c r="J525" s="630"/>
      <c r="K525" s="621">
        <f t="shared" si="80"/>
        <v>1</v>
      </c>
      <c r="L525" s="630" t="str">
        <f>可抵押车位明细清单!K504</f>
        <v>标准车位</v>
      </c>
      <c r="M525" s="621">
        <f t="shared" si="81"/>
        <v>1</v>
      </c>
      <c r="N525" s="630"/>
      <c r="O525" s="621">
        <f t="shared" si="82"/>
        <v>1</v>
      </c>
      <c r="P525" s="3490" t="str">
        <f>可抵押车位明细清单!L504</f>
        <v>-1层</v>
      </c>
      <c r="Q525" s="621">
        <f t="shared" si="83"/>
        <v>1</v>
      </c>
      <c r="R525" s="681">
        <f t="shared" ca="1" si="84"/>
        <v>11.901899999999999</v>
      </c>
      <c r="S525" s="620">
        <f t="shared" ca="1" si="75"/>
        <v>0</v>
      </c>
    </row>
    <row r="526" spans="1:19">
      <c r="A526" s="628" t="str">
        <f>可抵押车位明细清单!D505</f>
        <v>3#地库063</v>
      </c>
      <c r="B526" s="629">
        <f>可抵押车位明细清单!H505</f>
        <v>39.520000000000003</v>
      </c>
      <c r="C526" s="621">
        <f t="shared" si="76"/>
        <v>1</v>
      </c>
      <c r="D526" s="630"/>
      <c r="E526" s="621">
        <f t="shared" si="77"/>
        <v>1</v>
      </c>
      <c r="F526" s="630"/>
      <c r="G526" s="621">
        <f t="shared" si="78"/>
        <v>1</v>
      </c>
      <c r="H526" s="630"/>
      <c r="I526" s="621">
        <f t="shared" si="79"/>
        <v>1</v>
      </c>
      <c r="J526" s="630"/>
      <c r="K526" s="621">
        <f t="shared" si="80"/>
        <v>1</v>
      </c>
      <c r="L526" s="630" t="str">
        <f>可抵押车位明细清单!K505</f>
        <v>标准车位</v>
      </c>
      <c r="M526" s="621">
        <f t="shared" si="81"/>
        <v>1</v>
      </c>
      <c r="N526" s="630"/>
      <c r="O526" s="621">
        <f t="shared" si="82"/>
        <v>1</v>
      </c>
      <c r="P526" s="3490" t="str">
        <f>可抵押车位明细清单!L505</f>
        <v>-1层</v>
      </c>
      <c r="Q526" s="621">
        <f t="shared" si="83"/>
        <v>1</v>
      </c>
      <c r="R526" s="681">
        <f t="shared" ca="1" si="84"/>
        <v>11.901899999999999</v>
      </c>
      <c r="S526" s="620">
        <f t="shared" ca="1" si="75"/>
        <v>0</v>
      </c>
    </row>
    <row r="527" spans="1:19">
      <c r="A527" s="628" t="str">
        <f>可抵押车位明细清单!D506</f>
        <v>3#地库064</v>
      </c>
      <c r="B527" s="629">
        <f>可抵押车位明细清单!H506</f>
        <v>38.770000000000003</v>
      </c>
      <c r="C527" s="621">
        <f t="shared" si="76"/>
        <v>1</v>
      </c>
      <c r="D527" s="630"/>
      <c r="E527" s="621">
        <f t="shared" si="77"/>
        <v>1</v>
      </c>
      <c r="F527" s="630"/>
      <c r="G527" s="621">
        <f t="shared" si="78"/>
        <v>1</v>
      </c>
      <c r="H527" s="630"/>
      <c r="I527" s="621">
        <f t="shared" si="79"/>
        <v>1</v>
      </c>
      <c r="J527" s="630"/>
      <c r="K527" s="621">
        <f t="shared" si="80"/>
        <v>1</v>
      </c>
      <c r="L527" s="630" t="str">
        <f>可抵押车位明细清单!K506</f>
        <v>标准车位</v>
      </c>
      <c r="M527" s="621">
        <f t="shared" si="81"/>
        <v>1</v>
      </c>
      <c r="N527" s="630"/>
      <c r="O527" s="621">
        <f t="shared" si="82"/>
        <v>1</v>
      </c>
      <c r="P527" s="3490" t="str">
        <f>可抵押车位明细清单!L506</f>
        <v>-1层</v>
      </c>
      <c r="Q527" s="621">
        <f t="shared" si="83"/>
        <v>1</v>
      </c>
      <c r="R527" s="681">
        <f t="shared" ca="1" si="84"/>
        <v>11.901899999999999</v>
      </c>
      <c r="S527" s="620">
        <f t="shared" ca="1" si="75"/>
        <v>0</v>
      </c>
    </row>
    <row r="528" spans="1:19">
      <c r="A528" s="628" t="str">
        <f>可抵押车位明细清单!D507</f>
        <v>3#地库065</v>
      </c>
      <c r="B528" s="629">
        <f>可抵押车位明细清单!H507</f>
        <v>38.770000000000003</v>
      </c>
      <c r="C528" s="621">
        <f t="shared" si="76"/>
        <v>1</v>
      </c>
      <c r="D528" s="630"/>
      <c r="E528" s="621">
        <f t="shared" si="77"/>
        <v>1</v>
      </c>
      <c r="F528" s="630"/>
      <c r="G528" s="621">
        <f t="shared" si="78"/>
        <v>1</v>
      </c>
      <c r="H528" s="630"/>
      <c r="I528" s="621">
        <f t="shared" si="79"/>
        <v>1</v>
      </c>
      <c r="J528" s="630"/>
      <c r="K528" s="621">
        <f t="shared" si="80"/>
        <v>1</v>
      </c>
      <c r="L528" s="630" t="str">
        <f>可抵押车位明细清单!K507</f>
        <v>标准车位</v>
      </c>
      <c r="M528" s="621">
        <f t="shared" si="81"/>
        <v>1</v>
      </c>
      <c r="N528" s="630"/>
      <c r="O528" s="621">
        <f t="shared" si="82"/>
        <v>1</v>
      </c>
      <c r="P528" s="3490" t="str">
        <f>可抵押车位明细清单!L507</f>
        <v>-1层</v>
      </c>
      <c r="Q528" s="621">
        <f t="shared" si="83"/>
        <v>1</v>
      </c>
      <c r="R528" s="681">
        <f t="shared" ca="1" si="84"/>
        <v>11.901899999999999</v>
      </c>
      <c r="S528" s="620">
        <f t="shared" ca="1" si="75"/>
        <v>0</v>
      </c>
    </row>
    <row r="529" spans="1:19">
      <c r="A529" s="628" t="str">
        <f>可抵押车位明细清单!D508</f>
        <v>3#地库066</v>
      </c>
      <c r="B529" s="629">
        <f>可抵押车位明细清单!H508</f>
        <v>36.130000000000003</v>
      </c>
      <c r="C529" s="621">
        <f t="shared" si="76"/>
        <v>1</v>
      </c>
      <c r="D529" s="630"/>
      <c r="E529" s="621">
        <f t="shared" si="77"/>
        <v>1</v>
      </c>
      <c r="F529" s="630"/>
      <c r="G529" s="621">
        <f t="shared" si="78"/>
        <v>1</v>
      </c>
      <c r="H529" s="630"/>
      <c r="I529" s="621">
        <f t="shared" si="79"/>
        <v>1</v>
      </c>
      <c r="J529" s="630"/>
      <c r="K529" s="621">
        <f t="shared" si="80"/>
        <v>1</v>
      </c>
      <c r="L529" s="630" t="str">
        <f>可抵押车位明细清单!K508</f>
        <v>标准车位</v>
      </c>
      <c r="M529" s="621">
        <f t="shared" si="81"/>
        <v>1</v>
      </c>
      <c r="N529" s="630"/>
      <c r="O529" s="621">
        <f t="shared" si="82"/>
        <v>1</v>
      </c>
      <c r="P529" s="3490" t="str">
        <f>可抵押车位明细清单!L508</f>
        <v>-1层</v>
      </c>
      <c r="Q529" s="621">
        <f t="shared" si="83"/>
        <v>1</v>
      </c>
      <c r="R529" s="681">
        <f t="shared" ca="1" si="84"/>
        <v>11.901899999999999</v>
      </c>
      <c r="S529" s="620">
        <f t="shared" ca="1" si="75"/>
        <v>0</v>
      </c>
    </row>
    <row r="530" spans="1:19">
      <c r="A530" s="628" t="str">
        <f>可抵押车位明细清单!D509</f>
        <v>3#地库067</v>
      </c>
      <c r="B530" s="629">
        <f>可抵押车位明细清单!H509</f>
        <v>39.14</v>
      </c>
      <c r="C530" s="621">
        <f t="shared" si="76"/>
        <v>1</v>
      </c>
      <c r="D530" s="630"/>
      <c r="E530" s="621">
        <f t="shared" si="77"/>
        <v>1</v>
      </c>
      <c r="F530" s="630"/>
      <c r="G530" s="621">
        <f t="shared" si="78"/>
        <v>1</v>
      </c>
      <c r="H530" s="630"/>
      <c r="I530" s="621">
        <f t="shared" si="79"/>
        <v>1</v>
      </c>
      <c r="J530" s="630"/>
      <c r="K530" s="621">
        <f t="shared" si="80"/>
        <v>1</v>
      </c>
      <c r="L530" s="630" t="str">
        <f>可抵押车位明细清单!K509</f>
        <v>标准车位</v>
      </c>
      <c r="M530" s="621">
        <f t="shared" si="81"/>
        <v>1</v>
      </c>
      <c r="N530" s="630"/>
      <c r="O530" s="621">
        <f t="shared" si="82"/>
        <v>1</v>
      </c>
      <c r="P530" s="3490" t="str">
        <f>可抵押车位明细清单!L509</f>
        <v>-1层</v>
      </c>
      <c r="Q530" s="621">
        <f t="shared" si="83"/>
        <v>1</v>
      </c>
      <c r="R530" s="681">
        <f t="shared" ca="1" si="84"/>
        <v>11.901899999999999</v>
      </c>
      <c r="S530" s="620">
        <f t="shared" ca="1" si="75"/>
        <v>0</v>
      </c>
    </row>
    <row r="531" spans="1:19">
      <c r="A531" s="628" t="str">
        <f>可抵押车位明细清单!D510</f>
        <v>3#地库068</v>
      </c>
      <c r="B531" s="629">
        <f>可抵押车位明细清单!H510</f>
        <v>39.14</v>
      </c>
      <c r="C531" s="621">
        <f t="shared" si="76"/>
        <v>1</v>
      </c>
      <c r="D531" s="630"/>
      <c r="E531" s="621">
        <f t="shared" si="77"/>
        <v>1</v>
      </c>
      <c r="F531" s="630"/>
      <c r="G531" s="621">
        <f t="shared" si="78"/>
        <v>1</v>
      </c>
      <c r="H531" s="630"/>
      <c r="I531" s="621">
        <f t="shared" si="79"/>
        <v>1</v>
      </c>
      <c r="J531" s="630"/>
      <c r="K531" s="621">
        <f t="shared" si="80"/>
        <v>1</v>
      </c>
      <c r="L531" s="630" t="str">
        <f>可抵押车位明细清单!K510</f>
        <v>标准车位</v>
      </c>
      <c r="M531" s="621">
        <f t="shared" si="81"/>
        <v>1</v>
      </c>
      <c r="N531" s="630"/>
      <c r="O531" s="621">
        <f t="shared" si="82"/>
        <v>1</v>
      </c>
      <c r="P531" s="3490" t="str">
        <f>可抵押车位明细清单!L510</f>
        <v>-1层</v>
      </c>
      <c r="Q531" s="621">
        <f t="shared" si="83"/>
        <v>1</v>
      </c>
      <c r="R531" s="681">
        <f t="shared" ca="1" si="84"/>
        <v>11.901899999999999</v>
      </c>
      <c r="S531" s="620">
        <f t="shared" ca="1" si="75"/>
        <v>0</v>
      </c>
    </row>
    <row r="532" spans="1:19">
      <c r="A532" s="628" t="str">
        <f>可抵押车位明细清单!D511</f>
        <v>3#地库069</v>
      </c>
      <c r="B532" s="629">
        <f>可抵押车位明细清单!H511</f>
        <v>39.14</v>
      </c>
      <c r="C532" s="621">
        <f t="shared" si="76"/>
        <v>1</v>
      </c>
      <c r="D532" s="630"/>
      <c r="E532" s="621">
        <f t="shared" si="77"/>
        <v>1</v>
      </c>
      <c r="F532" s="630"/>
      <c r="G532" s="621">
        <f t="shared" si="78"/>
        <v>1</v>
      </c>
      <c r="H532" s="630"/>
      <c r="I532" s="621">
        <f t="shared" si="79"/>
        <v>1</v>
      </c>
      <c r="J532" s="630"/>
      <c r="K532" s="621">
        <f t="shared" si="80"/>
        <v>1</v>
      </c>
      <c r="L532" s="630" t="str">
        <f>可抵押车位明细清单!K511</f>
        <v>标准车位</v>
      </c>
      <c r="M532" s="621">
        <f t="shared" si="81"/>
        <v>1</v>
      </c>
      <c r="N532" s="630"/>
      <c r="O532" s="621">
        <f t="shared" si="82"/>
        <v>1</v>
      </c>
      <c r="P532" s="3490" t="str">
        <f>可抵押车位明细清单!L511</f>
        <v>-1层</v>
      </c>
      <c r="Q532" s="621">
        <f t="shared" si="83"/>
        <v>1</v>
      </c>
      <c r="R532" s="681">
        <f t="shared" ca="1" si="84"/>
        <v>11.901899999999999</v>
      </c>
      <c r="S532" s="620">
        <f t="shared" ca="1" si="75"/>
        <v>0</v>
      </c>
    </row>
    <row r="533" spans="1:19">
      <c r="A533" s="628" t="str">
        <f>可抵押车位明细清单!D512</f>
        <v>3#地库070</v>
      </c>
      <c r="B533" s="629">
        <f>可抵押车位明细清单!H512</f>
        <v>40.65</v>
      </c>
      <c r="C533" s="621">
        <f t="shared" si="76"/>
        <v>1</v>
      </c>
      <c r="D533" s="630"/>
      <c r="E533" s="621">
        <f t="shared" si="77"/>
        <v>1</v>
      </c>
      <c r="F533" s="630"/>
      <c r="G533" s="621">
        <f t="shared" si="78"/>
        <v>1</v>
      </c>
      <c r="H533" s="630"/>
      <c r="I533" s="621">
        <f t="shared" si="79"/>
        <v>1</v>
      </c>
      <c r="J533" s="630"/>
      <c r="K533" s="621">
        <f t="shared" si="80"/>
        <v>1</v>
      </c>
      <c r="L533" s="630" t="str">
        <f>可抵押车位明细清单!K512</f>
        <v>标准车位</v>
      </c>
      <c r="M533" s="621">
        <f t="shared" si="81"/>
        <v>1</v>
      </c>
      <c r="N533" s="630"/>
      <c r="O533" s="621">
        <f t="shared" si="82"/>
        <v>1</v>
      </c>
      <c r="P533" s="3490" t="str">
        <f>可抵押车位明细清单!L512</f>
        <v>-1层</v>
      </c>
      <c r="Q533" s="621">
        <f t="shared" si="83"/>
        <v>1</v>
      </c>
      <c r="R533" s="681">
        <f t="shared" ca="1" si="84"/>
        <v>11.901899999999999</v>
      </c>
      <c r="S533" s="620">
        <f t="shared" ca="1" si="75"/>
        <v>0</v>
      </c>
    </row>
    <row r="534" spans="1:19">
      <c r="A534" s="628" t="str">
        <f>可抵押车位明细清单!D513</f>
        <v>3#地库071</v>
      </c>
      <c r="B534" s="629">
        <f>可抵押车位明细清单!H513</f>
        <v>40.65</v>
      </c>
      <c r="C534" s="621">
        <f t="shared" si="76"/>
        <v>1</v>
      </c>
      <c r="D534" s="630"/>
      <c r="E534" s="621">
        <f t="shared" si="77"/>
        <v>1</v>
      </c>
      <c r="F534" s="630"/>
      <c r="G534" s="621">
        <f t="shared" si="78"/>
        <v>1</v>
      </c>
      <c r="H534" s="630"/>
      <c r="I534" s="621">
        <f t="shared" si="79"/>
        <v>1</v>
      </c>
      <c r="J534" s="630"/>
      <c r="K534" s="621">
        <f t="shared" si="80"/>
        <v>1</v>
      </c>
      <c r="L534" s="630" t="str">
        <f>可抵押车位明细清单!K513</f>
        <v>标准车位</v>
      </c>
      <c r="M534" s="621">
        <f t="shared" si="81"/>
        <v>1</v>
      </c>
      <c r="N534" s="630"/>
      <c r="O534" s="621">
        <f t="shared" si="82"/>
        <v>1</v>
      </c>
      <c r="P534" s="3490" t="str">
        <f>可抵押车位明细清单!L513</f>
        <v>-1层</v>
      </c>
      <c r="Q534" s="621">
        <f t="shared" si="83"/>
        <v>1</v>
      </c>
      <c r="R534" s="681">
        <f t="shared" ca="1" si="84"/>
        <v>11.901899999999999</v>
      </c>
      <c r="S534" s="620">
        <f t="shared" ca="1" si="75"/>
        <v>0</v>
      </c>
    </row>
    <row r="535" spans="1:19">
      <c r="A535" s="628" t="str">
        <f>可抵押车位明细清单!D514</f>
        <v>3#地库072</v>
      </c>
      <c r="B535" s="629">
        <f>可抵押车位明细清单!H514</f>
        <v>38.24</v>
      </c>
      <c r="C535" s="621">
        <f t="shared" si="76"/>
        <v>1</v>
      </c>
      <c r="D535" s="630"/>
      <c r="E535" s="621">
        <f t="shared" si="77"/>
        <v>1</v>
      </c>
      <c r="F535" s="630"/>
      <c r="G535" s="621">
        <f t="shared" si="78"/>
        <v>1</v>
      </c>
      <c r="H535" s="630"/>
      <c r="I535" s="621">
        <f t="shared" si="79"/>
        <v>1</v>
      </c>
      <c r="J535" s="630"/>
      <c r="K535" s="621">
        <f t="shared" si="80"/>
        <v>1</v>
      </c>
      <c r="L535" s="630" t="str">
        <f>可抵押车位明细清单!K514</f>
        <v>标准车位</v>
      </c>
      <c r="M535" s="621">
        <f t="shared" si="81"/>
        <v>1</v>
      </c>
      <c r="N535" s="630"/>
      <c r="O535" s="621">
        <f t="shared" si="82"/>
        <v>1</v>
      </c>
      <c r="P535" s="3490" t="str">
        <f>可抵押车位明细清单!L514</f>
        <v>-1层</v>
      </c>
      <c r="Q535" s="621">
        <f t="shared" si="83"/>
        <v>1</v>
      </c>
      <c r="R535" s="681">
        <f t="shared" ca="1" si="84"/>
        <v>11.901899999999999</v>
      </c>
      <c r="S535" s="620">
        <f t="shared" ca="1" si="75"/>
        <v>0</v>
      </c>
    </row>
    <row r="536" spans="1:19">
      <c r="A536" s="628" t="str">
        <f>可抵押车位明细清单!D515</f>
        <v>3#地库073</v>
      </c>
      <c r="B536" s="629">
        <f>可抵押车位明细清单!H515</f>
        <v>38.24</v>
      </c>
      <c r="C536" s="621">
        <f t="shared" si="76"/>
        <v>1</v>
      </c>
      <c r="D536" s="630"/>
      <c r="E536" s="621">
        <f t="shared" si="77"/>
        <v>1</v>
      </c>
      <c r="F536" s="630"/>
      <c r="G536" s="621">
        <f t="shared" si="78"/>
        <v>1</v>
      </c>
      <c r="H536" s="630"/>
      <c r="I536" s="621">
        <f t="shared" si="79"/>
        <v>1</v>
      </c>
      <c r="J536" s="630"/>
      <c r="K536" s="621">
        <f t="shared" si="80"/>
        <v>1</v>
      </c>
      <c r="L536" s="630" t="str">
        <f>可抵押车位明细清单!K515</f>
        <v>标准车位</v>
      </c>
      <c r="M536" s="621">
        <f t="shared" si="81"/>
        <v>1</v>
      </c>
      <c r="N536" s="630"/>
      <c r="O536" s="621">
        <f t="shared" si="82"/>
        <v>1</v>
      </c>
      <c r="P536" s="3490" t="str">
        <f>可抵押车位明细清单!L515</f>
        <v>-1层</v>
      </c>
      <c r="Q536" s="621">
        <f t="shared" si="83"/>
        <v>1</v>
      </c>
      <c r="R536" s="681">
        <f t="shared" ca="1" si="84"/>
        <v>11.901899999999999</v>
      </c>
      <c r="S536" s="620">
        <f t="shared" ref="S536:S599" ca="1" si="85">ROUND(R536*B536/10000,0)</f>
        <v>0</v>
      </c>
    </row>
    <row r="537" spans="1:19">
      <c r="A537" s="628" t="str">
        <f>可抵押车位明细清单!D516</f>
        <v>3#地库074</v>
      </c>
      <c r="B537" s="629">
        <f>可抵押车位明细清单!H516</f>
        <v>38.24</v>
      </c>
      <c r="C537" s="621">
        <f t="shared" ref="C537:C600" si="86">IF(B537="",1,(LOOKUP(B537,$3:$3,$4:$4)-LOOKUP($B$24,$3:$3,$4:$4)+100)/100)</f>
        <v>1</v>
      </c>
      <c r="D537" s="630"/>
      <c r="E537" s="621">
        <f t="shared" ref="E537:E600" si="87">(SUMIF($5:$5,D537,$6:$6)-SUMIF($5:$5,$D$24,$6:$6)+100)/100</f>
        <v>1</v>
      </c>
      <c r="F537" s="630"/>
      <c r="G537" s="621">
        <f t="shared" ref="G537:G600" si="88">(SUMIF($7:$7,F537,$8:$8)-SUMIF($7:$7,$F$24,$8:$8)+100)/100</f>
        <v>1</v>
      </c>
      <c r="H537" s="630"/>
      <c r="I537" s="621">
        <f t="shared" ref="I537:I600" si="89">(SUMIF($9:$9,H537,$10:$10)-SUMIF($9:$9,$H$24,$10:$10)+100)/100</f>
        <v>1</v>
      </c>
      <c r="J537" s="630"/>
      <c r="K537" s="621">
        <f t="shared" ref="K537:K600" si="90">(SUMIF($11:$11,J537,$12:$12)-SUMIF($11:$11,$J$24,$12:$12)+100)/100</f>
        <v>1</v>
      </c>
      <c r="L537" s="630" t="str">
        <f>可抵押车位明细清单!K516</f>
        <v>标准车位</v>
      </c>
      <c r="M537" s="621">
        <f t="shared" ref="M537:M600" si="91">(SUMIF($13:$13,L537,$14:$14)-SUMIF($13:$13,$L$24,$14:$14)+100)/100</f>
        <v>1</v>
      </c>
      <c r="N537" s="630"/>
      <c r="O537" s="621">
        <f t="shared" ref="O537:O600" si="92">(SUMIF($15:$15,N537,$16:$16)-SUMIF($15:$15,$N$24,$16:$16)+100)/100</f>
        <v>1</v>
      </c>
      <c r="P537" s="3490" t="str">
        <f>可抵押车位明细清单!L516</f>
        <v>-1层</v>
      </c>
      <c r="Q537" s="621">
        <f t="shared" ref="Q537:Q600" si="93">(SUMIF($17:$17,P537,$18:$18)-SUMIF($17:$17,$P$24,$18:$18)+100)/100</f>
        <v>1</v>
      </c>
      <c r="R537" s="681">
        <f t="shared" ref="R537:R600" ca="1" si="94">IF(B537="",0,ROUND($R$24*C537*E537*G537*I537*K537*M537*O537*Q537,4))</f>
        <v>11.901899999999999</v>
      </c>
      <c r="S537" s="620">
        <f t="shared" ca="1" si="85"/>
        <v>0</v>
      </c>
    </row>
    <row r="538" spans="1:19">
      <c r="A538" s="628" t="str">
        <f>可抵押车位明细清单!D517</f>
        <v>3#地库075</v>
      </c>
      <c r="B538" s="629">
        <f>可抵押车位明细清单!H517</f>
        <v>37.89</v>
      </c>
      <c r="C538" s="621">
        <f t="shared" si="86"/>
        <v>1</v>
      </c>
      <c r="D538" s="630"/>
      <c r="E538" s="621">
        <f t="shared" si="87"/>
        <v>1</v>
      </c>
      <c r="F538" s="630"/>
      <c r="G538" s="621">
        <f t="shared" si="88"/>
        <v>1</v>
      </c>
      <c r="H538" s="630"/>
      <c r="I538" s="621">
        <f t="shared" si="89"/>
        <v>1</v>
      </c>
      <c r="J538" s="630"/>
      <c r="K538" s="621">
        <f t="shared" si="90"/>
        <v>1</v>
      </c>
      <c r="L538" s="630" t="str">
        <f>可抵押车位明细清单!K517</f>
        <v>标准车位</v>
      </c>
      <c r="M538" s="621">
        <f t="shared" si="91"/>
        <v>1</v>
      </c>
      <c r="N538" s="630"/>
      <c r="O538" s="621">
        <f t="shared" si="92"/>
        <v>1</v>
      </c>
      <c r="P538" s="3490" t="str">
        <f>可抵押车位明细清单!L517</f>
        <v>-1层</v>
      </c>
      <c r="Q538" s="621">
        <f t="shared" si="93"/>
        <v>1</v>
      </c>
      <c r="R538" s="681">
        <f t="shared" ca="1" si="94"/>
        <v>11.901899999999999</v>
      </c>
      <c r="S538" s="620">
        <f t="shared" ca="1" si="85"/>
        <v>0</v>
      </c>
    </row>
    <row r="539" spans="1:19">
      <c r="A539" s="628" t="str">
        <f>可抵押车位明细清单!D518</f>
        <v>3#地库076</v>
      </c>
      <c r="B539" s="629">
        <f>可抵押车位明细清单!H518</f>
        <v>37.89</v>
      </c>
      <c r="C539" s="621">
        <f t="shared" si="86"/>
        <v>1</v>
      </c>
      <c r="D539" s="630"/>
      <c r="E539" s="621">
        <f t="shared" si="87"/>
        <v>1</v>
      </c>
      <c r="F539" s="630"/>
      <c r="G539" s="621">
        <f t="shared" si="88"/>
        <v>1</v>
      </c>
      <c r="H539" s="630"/>
      <c r="I539" s="621">
        <f t="shared" si="89"/>
        <v>1</v>
      </c>
      <c r="J539" s="630"/>
      <c r="K539" s="621">
        <f t="shared" si="90"/>
        <v>1</v>
      </c>
      <c r="L539" s="630" t="str">
        <f>可抵押车位明细清单!K518</f>
        <v>标准车位</v>
      </c>
      <c r="M539" s="621">
        <f t="shared" si="91"/>
        <v>1</v>
      </c>
      <c r="N539" s="630"/>
      <c r="O539" s="621">
        <f t="shared" si="92"/>
        <v>1</v>
      </c>
      <c r="P539" s="3490" t="str">
        <f>可抵押车位明细清单!L518</f>
        <v>-1层</v>
      </c>
      <c r="Q539" s="621">
        <f t="shared" si="93"/>
        <v>1</v>
      </c>
      <c r="R539" s="681">
        <f t="shared" ca="1" si="94"/>
        <v>11.901899999999999</v>
      </c>
      <c r="S539" s="620">
        <f t="shared" ca="1" si="85"/>
        <v>0</v>
      </c>
    </row>
    <row r="540" spans="1:19">
      <c r="A540" s="628" t="str">
        <f>可抵押车位明细清单!D519</f>
        <v>3#地库077</v>
      </c>
      <c r="B540" s="629">
        <f>可抵押车位明细清单!H519</f>
        <v>37.89</v>
      </c>
      <c r="C540" s="621">
        <f t="shared" si="86"/>
        <v>1</v>
      </c>
      <c r="D540" s="630"/>
      <c r="E540" s="621">
        <f t="shared" si="87"/>
        <v>1</v>
      </c>
      <c r="F540" s="630"/>
      <c r="G540" s="621">
        <f t="shared" si="88"/>
        <v>1</v>
      </c>
      <c r="H540" s="630"/>
      <c r="I540" s="621">
        <f t="shared" si="89"/>
        <v>1</v>
      </c>
      <c r="J540" s="630"/>
      <c r="K540" s="621">
        <f t="shared" si="90"/>
        <v>1</v>
      </c>
      <c r="L540" s="630" t="str">
        <f>可抵押车位明细清单!K519</f>
        <v>标准车位</v>
      </c>
      <c r="M540" s="621">
        <f t="shared" si="91"/>
        <v>1</v>
      </c>
      <c r="N540" s="630"/>
      <c r="O540" s="621">
        <f t="shared" si="92"/>
        <v>1</v>
      </c>
      <c r="P540" s="3490" t="str">
        <f>可抵押车位明细清单!L519</f>
        <v>-1层</v>
      </c>
      <c r="Q540" s="621">
        <f t="shared" si="93"/>
        <v>1</v>
      </c>
      <c r="R540" s="681">
        <f t="shared" ca="1" si="94"/>
        <v>11.901899999999999</v>
      </c>
      <c r="S540" s="620">
        <f t="shared" ca="1" si="85"/>
        <v>0</v>
      </c>
    </row>
    <row r="541" spans="1:19">
      <c r="A541" s="628" t="str">
        <f>可抵押车位明细清单!D520</f>
        <v>3#地库078</v>
      </c>
      <c r="B541" s="629">
        <f>可抵押车位明细清单!H520</f>
        <v>39.520000000000003</v>
      </c>
      <c r="C541" s="621">
        <f t="shared" si="86"/>
        <v>1</v>
      </c>
      <c r="D541" s="630"/>
      <c r="E541" s="621">
        <f t="shared" si="87"/>
        <v>1</v>
      </c>
      <c r="F541" s="630"/>
      <c r="G541" s="621">
        <f t="shared" si="88"/>
        <v>1</v>
      </c>
      <c r="H541" s="630"/>
      <c r="I541" s="621">
        <f t="shared" si="89"/>
        <v>1</v>
      </c>
      <c r="J541" s="630"/>
      <c r="K541" s="621">
        <f t="shared" si="90"/>
        <v>1</v>
      </c>
      <c r="L541" s="630" t="str">
        <f>可抵押车位明细清单!K520</f>
        <v>标准车位</v>
      </c>
      <c r="M541" s="621">
        <f t="shared" si="91"/>
        <v>1</v>
      </c>
      <c r="N541" s="630"/>
      <c r="O541" s="621">
        <f t="shared" si="92"/>
        <v>1</v>
      </c>
      <c r="P541" s="3490" t="str">
        <f>可抵押车位明细清单!L520</f>
        <v>-1层</v>
      </c>
      <c r="Q541" s="621">
        <f t="shared" si="93"/>
        <v>1</v>
      </c>
      <c r="R541" s="681">
        <f t="shared" ca="1" si="94"/>
        <v>11.901899999999999</v>
      </c>
      <c r="S541" s="620">
        <f t="shared" ca="1" si="85"/>
        <v>0</v>
      </c>
    </row>
    <row r="542" spans="1:19">
      <c r="A542" s="628" t="str">
        <f>可抵押车位明细清单!D521</f>
        <v>3#地库079</v>
      </c>
      <c r="B542" s="629">
        <f>可抵押车位明细清单!H521</f>
        <v>39.520000000000003</v>
      </c>
      <c r="C542" s="621">
        <f t="shared" si="86"/>
        <v>1</v>
      </c>
      <c r="D542" s="630"/>
      <c r="E542" s="621">
        <f t="shared" si="87"/>
        <v>1</v>
      </c>
      <c r="F542" s="630"/>
      <c r="G542" s="621">
        <f t="shared" si="88"/>
        <v>1</v>
      </c>
      <c r="H542" s="630"/>
      <c r="I542" s="621">
        <f t="shared" si="89"/>
        <v>1</v>
      </c>
      <c r="J542" s="630"/>
      <c r="K542" s="621">
        <f t="shared" si="90"/>
        <v>1</v>
      </c>
      <c r="L542" s="630" t="str">
        <f>可抵押车位明细清单!K521</f>
        <v>标准车位</v>
      </c>
      <c r="M542" s="621">
        <f t="shared" si="91"/>
        <v>1</v>
      </c>
      <c r="N542" s="630"/>
      <c r="O542" s="621">
        <f t="shared" si="92"/>
        <v>1</v>
      </c>
      <c r="P542" s="3490" t="str">
        <f>可抵押车位明细清单!L521</f>
        <v>-1层</v>
      </c>
      <c r="Q542" s="621">
        <f t="shared" si="93"/>
        <v>1</v>
      </c>
      <c r="R542" s="681">
        <f t="shared" ca="1" si="94"/>
        <v>11.901899999999999</v>
      </c>
      <c r="S542" s="620">
        <f t="shared" ca="1" si="85"/>
        <v>0</v>
      </c>
    </row>
    <row r="543" spans="1:19">
      <c r="A543" s="628" t="str">
        <f>可抵押车位明细清单!D522</f>
        <v>3#地库080</v>
      </c>
      <c r="B543" s="629">
        <f>可抵押车位明细清单!H522</f>
        <v>38.71</v>
      </c>
      <c r="C543" s="621">
        <f t="shared" si="86"/>
        <v>1</v>
      </c>
      <c r="D543" s="630"/>
      <c r="E543" s="621">
        <f t="shared" si="87"/>
        <v>1</v>
      </c>
      <c r="F543" s="630"/>
      <c r="G543" s="621">
        <f t="shared" si="88"/>
        <v>1</v>
      </c>
      <c r="H543" s="630"/>
      <c r="I543" s="621">
        <f t="shared" si="89"/>
        <v>1</v>
      </c>
      <c r="J543" s="630"/>
      <c r="K543" s="621">
        <f t="shared" si="90"/>
        <v>1</v>
      </c>
      <c r="L543" s="630" t="str">
        <f>可抵押车位明细清单!K522</f>
        <v>标准车位</v>
      </c>
      <c r="M543" s="621">
        <f t="shared" si="91"/>
        <v>1</v>
      </c>
      <c r="N543" s="630"/>
      <c r="O543" s="621">
        <f t="shared" si="92"/>
        <v>1</v>
      </c>
      <c r="P543" s="3490" t="str">
        <f>可抵押车位明细清单!L522</f>
        <v>-1层</v>
      </c>
      <c r="Q543" s="621">
        <f t="shared" si="93"/>
        <v>1</v>
      </c>
      <c r="R543" s="681">
        <f t="shared" ca="1" si="94"/>
        <v>11.901899999999999</v>
      </c>
      <c r="S543" s="620">
        <f t="shared" ca="1" si="85"/>
        <v>0</v>
      </c>
    </row>
    <row r="544" spans="1:19">
      <c r="A544" s="628" t="str">
        <f>可抵押车位明细清单!D523</f>
        <v>3#地库081</v>
      </c>
      <c r="B544" s="629">
        <f>可抵押车位明细清单!H523</f>
        <v>39.520000000000003</v>
      </c>
      <c r="C544" s="621">
        <f t="shared" si="86"/>
        <v>1</v>
      </c>
      <c r="D544" s="630"/>
      <c r="E544" s="621">
        <f t="shared" si="87"/>
        <v>1</v>
      </c>
      <c r="F544" s="630"/>
      <c r="G544" s="621">
        <f t="shared" si="88"/>
        <v>1</v>
      </c>
      <c r="H544" s="630"/>
      <c r="I544" s="621">
        <f t="shared" si="89"/>
        <v>1</v>
      </c>
      <c r="J544" s="630"/>
      <c r="K544" s="621">
        <f t="shared" si="90"/>
        <v>1</v>
      </c>
      <c r="L544" s="630" t="str">
        <f>可抵押车位明细清单!K523</f>
        <v>标准车位</v>
      </c>
      <c r="M544" s="621">
        <f t="shared" si="91"/>
        <v>1</v>
      </c>
      <c r="N544" s="630"/>
      <c r="O544" s="621">
        <f t="shared" si="92"/>
        <v>1</v>
      </c>
      <c r="P544" s="3490" t="str">
        <f>可抵押车位明细清单!L523</f>
        <v>-1层</v>
      </c>
      <c r="Q544" s="621">
        <f t="shared" si="93"/>
        <v>1</v>
      </c>
      <c r="R544" s="681">
        <f t="shared" ca="1" si="94"/>
        <v>11.901899999999999</v>
      </c>
      <c r="S544" s="620">
        <f t="shared" ca="1" si="85"/>
        <v>0</v>
      </c>
    </row>
    <row r="545" spans="1:19">
      <c r="A545" s="628" t="str">
        <f>可抵押车位明细清单!D524</f>
        <v>3#地库082</v>
      </c>
      <c r="B545" s="629">
        <f>可抵押车位明细清单!H524</f>
        <v>39.520000000000003</v>
      </c>
      <c r="C545" s="621">
        <f t="shared" si="86"/>
        <v>1</v>
      </c>
      <c r="D545" s="630"/>
      <c r="E545" s="621">
        <f t="shared" si="87"/>
        <v>1</v>
      </c>
      <c r="F545" s="630"/>
      <c r="G545" s="621">
        <f t="shared" si="88"/>
        <v>1</v>
      </c>
      <c r="H545" s="630"/>
      <c r="I545" s="621">
        <f t="shared" si="89"/>
        <v>1</v>
      </c>
      <c r="J545" s="630"/>
      <c r="K545" s="621">
        <f t="shared" si="90"/>
        <v>1</v>
      </c>
      <c r="L545" s="630" t="str">
        <f>可抵押车位明细清单!K524</f>
        <v>标准车位</v>
      </c>
      <c r="M545" s="621">
        <f t="shared" si="91"/>
        <v>1</v>
      </c>
      <c r="N545" s="630"/>
      <c r="O545" s="621">
        <f t="shared" si="92"/>
        <v>1</v>
      </c>
      <c r="P545" s="3490" t="str">
        <f>可抵押车位明细清单!L524</f>
        <v>-1层</v>
      </c>
      <c r="Q545" s="621">
        <f t="shared" si="93"/>
        <v>1</v>
      </c>
      <c r="R545" s="681">
        <f t="shared" ca="1" si="94"/>
        <v>11.901899999999999</v>
      </c>
      <c r="S545" s="620">
        <f t="shared" ca="1" si="85"/>
        <v>0</v>
      </c>
    </row>
    <row r="546" spans="1:19">
      <c r="A546" s="628" t="str">
        <f>可抵押车位明细清单!D525</f>
        <v>3#地库083</v>
      </c>
      <c r="B546" s="629">
        <f>可抵押车位明细清单!H525</f>
        <v>39.520000000000003</v>
      </c>
      <c r="C546" s="621">
        <f t="shared" si="86"/>
        <v>1</v>
      </c>
      <c r="D546" s="630"/>
      <c r="E546" s="621">
        <f t="shared" si="87"/>
        <v>1</v>
      </c>
      <c r="F546" s="630"/>
      <c r="G546" s="621">
        <f t="shared" si="88"/>
        <v>1</v>
      </c>
      <c r="H546" s="630"/>
      <c r="I546" s="621">
        <f t="shared" si="89"/>
        <v>1</v>
      </c>
      <c r="J546" s="630"/>
      <c r="K546" s="621">
        <f t="shared" si="90"/>
        <v>1</v>
      </c>
      <c r="L546" s="630" t="str">
        <f>可抵押车位明细清单!K525</f>
        <v>标准车位</v>
      </c>
      <c r="M546" s="621">
        <f t="shared" si="91"/>
        <v>1</v>
      </c>
      <c r="N546" s="630"/>
      <c r="O546" s="621">
        <f t="shared" si="92"/>
        <v>1</v>
      </c>
      <c r="P546" s="3490" t="str">
        <f>可抵押车位明细清单!L525</f>
        <v>-1层</v>
      </c>
      <c r="Q546" s="621">
        <f t="shared" si="93"/>
        <v>1</v>
      </c>
      <c r="R546" s="681">
        <f t="shared" ca="1" si="94"/>
        <v>11.901899999999999</v>
      </c>
      <c r="S546" s="620">
        <f t="shared" ca="1" si="85"/>
        <v>0</v>
      </c>
    </row>
    <row r="547" spans="1:19">
      <c r="A547" s="628" t="str">
        <f>可抵押车位明细清单!D526</f>
        <v>3#地库084</v>
      </c>
      <c r="B547" s="629">
        <f>可抵押车位明细清单!H526</f>
        <v>38.71</v>
      </c>
      <c r="C547" s="621">
        <f t="shared" si="86"/>
        <v>1</v>
      </c>
      <c r="D547" s="630"/>
      <c r="E547" s="621">
        <f t="shared" si="87"/>
        <v>1</v>
      </c>
      <c r="F547" s="630"/>
      <c r="G547" s="621">
        <f t="shared" si="88"/>
        <v>1</v>
      </c>
      <c r="H547" s="630"/>
      <c r="I547" s="621">
        <f t="shared" si="89"/>
        <v>1</v>
      </c>
      <c r="J547" s="630"/>
      <c r="K547" s="621">
        <f t="shared" si="90"/>
        <v>1</v>
      </c>
      <c r="L547" s="630" t="str">
        <f>可抵押车位明细清单!K526</f>
        <v>标准车位</v>
      </c>
      <c r="M547" s="621">
        <f t="shared" si="91"/>
        <v>1</v>
      </c>
      <c r="N547" s="630"/>
      <c r="O547" s="621">
        <f t="shared" si="92"/>
        <v>1</v>
      </c>
      <c r="P547" s="3490" t="str">
        <f>可抵押车位明细清单!L526</f>
        <v>-1层</v>
      </c>
      <c r="Q547" s="621">
        <f t="shared" si="93"/>
        <v>1</v>
      </c>
      <c r="R547" s="681">
        <f t="shared" ca="1" si="94"/>
        <v>11.901899999999999</v>
      </c>
      <c r="S547" s="620">
        <f t="shared" ca="1" si="85"/>
        <v>0</v>
      </c>
    </row>
    <row r="548" spans="1:19">
      <c r="A548" s="628" t="str">
        <f>可抵押车位明细清单!D527</f>
        <v>3#地库085</v>
      </c>
      <c r="B548" s="629">
        <f>可抵押车位明细清单!H527</f>
        <v>38.39</v>
      </c>
      <c r="C548" s="621">
        <f t="shared" si="86"/>
        <v>1</v>
      </c>
      <c r="D548" s="630"/>
      <c r="E548" s="621">
        <f t="shared" si="87"/>
        <v>1</v>
      </c>
      <c r="F548" s="630"/>
      <c r="G548" s="621">
        <f t="shared" si="88"/>
        <v>1</v>
      </c>
      <c r="H548" s="630"/>
      <c r="I548" s="621">
        <f t="shared" si="89"/>
        <v>1</v>
      </c>
      <c r="J548" s="630"/>
      <c r="K548" s="621">
        <f t="shared" si="90"/>
        <v>1</v>
      </c>
      <c r="L548" s="630" t="str">
        <f>可抵押车位明细清单!K527</f>
        <v>标准车位</v>
      </c>
      <c r="M548" s="621">
        <f t="shared" si="91"/>
        <v>1</v>
      </c>
      <c r="N548" s="630"/>
      <c r="O548" s="621">
        <f t="shared" si="92"/>
        <v>1</v>
      </c>
      <c r="P548" s="3490" t="str">
        <f>可抵押车位明细清单!L527</f>
        <v>-1层</v>
      </c>
      <c r="Q548" s="621">
        <f t="shared" si="93"/>
        <v>1</v>
      </c>
      <c r="R548" s="681">
        <f t="shared" ca="1" si="94"/>
        <v>11.901899999999999</v>
      </c>
      <c r="S548" s="620">
        <f t="shared" ca="1" si="85"/>
        <v>0</v>
      </c>
    </row>
    <row r="549" spans="1:19">
      <c r="A549" s="628" t="str">
        <f>可抵押车位明细清单!D528</f>
        <v>3#地库086</v>
      </c>
      <c r="B549" s="629">
        <f>可抵押车位明细清单!H528</f>
        <v>38.71</v>
      </c>
      <c r="C549" s="621">
        <f t="shared" si="86"/>
        <v>1</v>
      </c>
      <c r="D549" s="630"/>
      <c r="E549" s="621">
        <f t="shared" si="87"/>
        <v>1</v>
      </c>
      <c r="F549" s="630"/>
      <c r="G549" s="621">
        <f t="shared" si="88"/>
        <v>1</v>
      </c>
      <c r="H549" s="630"/>
      <c r="I549" s="621">
        <f t="shared" si="89"/>
        <v>1</v>
      </c>
      <c r="J549" s="630"/>
      <c r="K549" s="621">
        <f t="shared" si="90"/>
        <v>1</v>
      </c>
      <c r="L549" s="630" t="str">
        <f>可抵押车位明细清单!K528</f>
        <v>标准车位</v>
      </c>
      <c r="M549" s="621">
        <f t="shared" si="91"/>
        <v>1</v>
      </c>
      <c r="N549" s="630"/>
      <c r="O549" s="621">
        <f t="shared" si="92"/>
        <v>1</v>
      </c>
      <c r="P549" s="3490" t="str">
        <f>可抵押车位明细清单!L528</f>
        <v>-1层</v>
      </c>
      <c r="Q549" s="621">
        <f t="shared" si="93"/>
        <v>1</v>
      </c>
      <c r="R549" s="681">
        <f t="shared" ca="1" si="94"/>
        <v>11.901899999999999</v>
      </c>
      <c r="S549" s="620">
        <f t="shared" ca="1" si="85"/>
        <v>0</v>
      </c>
    </row>
    <row r="550" spans="1:19">
      <c r="A550" s="628" t="str">
        <f>可抵押车位明细清单!D529</f>
        <v>3#地库087</v>
      </c>
      <c r="B550" s="629">
        <f>可抵押车位明细清单!H529</f>
        <v>39.520000000000003</v>
      </c>
      <c r="C550" s="621">
        <f t="shared" si="86"/>
        <v>1</v>
      </c>
      <c r="D550" s="630"/>
      <c r="E550" s="621">
        <f t="shared" si="87"/>
        <v>1</v>
      </c>
      <c r="F550" s="630"/>
      <c r="G550" s="621">
        <f t="shared" si="88"/>
        <v>1</v>
      </c>
      <c r="H550" s="630"/>
      <c r="I550" s="621">
        <f t="shared" si="89"/>
        <v>1</v>
      </c>
      <c r="J550" s="630"/>
      <c r="K550" s="621">
        <f t="shared" si="90"/>
        <v>1</v>
      </c>
      <c r="L550" s="630" t="str">
        <f>可抵押车位明细清单!K529</f>
        <v>标准车位</v>
      </c>
      <c r="M550" s="621">
        <f t="shared" si="91"/>
        <v>1</v>
      </c>
      <c r="N550" s="630"/>
      <c r="O550" s="621">
        <f t="shared" si="92"/>
        <v>1</v>
      </c>
      <c r="P550" s="3490" t="str">
        <f>可抵押车位明细清单!L529</f>
        <v>-1层</v>
      </c>
      <c r="Q550" s="621">
        <f t="shared" si="93"/>
        <v>1</v>
      </c>
      <c r="R550" s="681">
        <f t="shared" ca="1" si="94"/>
        <v>11.901899999999999</v>
      </c>
      <c r="S550" s="620">
        <f t="shared" ca="1" si="85"/>
        <v>0</v>
      </c>
    </row>
    <row r="551" spans="1:19">
      <c r="A551" s="628" t="str">
        <f>可抵押车位明细清单!D530</f>
        <v>3#地库088</v>
      </c>
      <c r="B551" s="629">
        <f>可抵押车位明细清单!H530</f>
        <v>39.520000000000003</v>
      </c>
      <c r="C551" s="621">
        <f t="shared" si="86"/>
        <v>1</v>
      </c>
      <c r="D551" s="630"/>
      <c r="E551" s="621">
        <f t="shared" si="87"/>
        <v>1</v>
      </c>
      <c r="F551" s="630"/>
      <c r="G551" s="621">
        <f t="shared" si="88"/>
        <v>1</v>
      </c>
      <c r="H551" s="630"/>
      <c r="I551" s="621">
        <f t="shared" si="89"/>
        <v>1</v>
      </c>
      <c r="J551" s="630"/>
      <c r="K551" s="621">
        <f t="shared" si="90"/>
        <v>1</v>
      </c>
      <c r="L551" s="630" t="str">
        <f>可抵押车位明细清单!K530</f>
        <v>标准车位</v>
      </c>
      <c r="M551" s="621">
        <f t="shared" si="91"/>
        <v>1</v>
      </c>
      <c r="N551" s="630"/>
      <c r="O551" s="621">
        <f t="shared" si="92"/>
        <v>1</v>
      </c>
      <c r="P551" s="3490" t="str">
        <f>可抵押车位明细清单!L530</f>
        <v>-1层</v>
      </c>
      <c r="Q551" s="621">
        <f t="shared" si="93"/>
        <v>1</v>
      </c>
      <c r="R551" s="681">
        <f t="shared" ca="1" si="94"/>
        <v>11.901899999999999</v>
      </c>
      <c r="S551" s="620">
        <f t="shared" ca="1" si="85"/>
        <v>0</v>
      </c>
    </row>
    <row r="552" spans="1:19">
      <c r="A552" s="628" t="str">
        <f>可抵押车位明细清单!D531</f>
        <v>3#地库089</v>
      </c>
      <c r="B552" s="629">
        <f>可抵押车位明细清单!H531</f>
        <v>39.520000000000003</v>
      </c>
      <c r="C552" s="621">
        <f t="shared" si="86"/>
        <v>1</v>
      </c>
      <c r="D552" s="630"/>
      <c r="E552" s="621">
        <f t="shared" si="87"/>
        <v>1</v>
      </c>
      <c r="F552" s="630"/>
      <c r="G552" s="621">
        <f t="shared" si="88"/>
        <v>1</v>
      </c>
      <c r="H552" s="630"/>
      <c r="I552" s="621">
        <f t="shared" si="89"/>
        <v>1</v>
      </c>
      <c r="J552" s="630"/>
      <c r="K552" s="621">
        <f t="shared" si="90"/>
        <v>1</v>
      </c>
      <c r="L552" s="630" t="str">
        <f>可抵押车位明细清单!K531</f>
        <v>标准车位</v>
      </c>
      <c r="M552" s="621">
        <f t="shared" si="91"/>
        <v>1</v>
      </c>
      <c r="N552" s="630"/>
      <c r="O552" s="621">
        <f t="shared" si="92"/>
        <v>1</v>
      </c>
      <c r="P552" s="3490" t="str">
        <f>可抵押车位明细清单!L531</f>
        <v>-1层</v>
      </c>
      <c r="Q552" s="621">
        <f t="shared" si="93"/>
        <v>1</v>
      </c>
      <c r="R552" s="681">
        <f t="shared" ca="1" si="94"/>
        <v>11.901899999999999</v>
      </c>
      <c r="S552" s="620">
        <f t="shared" ca="1" si="85"/>
        <v>0</v>
      </c>
    </row>
    <row r="553" spans="1:19">
      <c r="A553" s="628" t="str">
        <f>可抵押车位明细清单!D532</f>
        <v>3#地库090</v>
      </c>
      <c r="B553" s="629">
        <f>可抵押车位明细清单!H532</f>
        <v>38.71</v>
      </c>
      <c r="C553" s="621">
        <f t="shared" si="86"/>
        <v>1</v>
      </c>
      <c r="D553" s="630"/>
      <c r="E553" s="621">
        <f t="shared" si="87"/>
        <v>1</v>
      </c>
      <c r="F553" s="630"/>
      <c r="G553" s="621">
        <f t="shared" si="88"/>
        <v>1</v>
      </c>
      <c r="H553" s="630"/>
      <c r="I553" s="621">
        <f t="shared" si="89"/>
        <v>1</v>
      </c>
      <c r="J553" s="630"/>
      <c r="K553" s="621">
        <f t="shared" si="90"/>
        <v>1</v>
      </c>
      <c r="L553" s="630" t="str">
        <f>可抵押车位明细清单!K532</f>
        <v>标准车位</v>
      </c>
      <c r="M553" s="621">
        <f t="shared" si="91"/>
        <v>1</v>
      </c>
      <c r="N553" s="630"/>
      <c r="O553" s="621">
        <f t="shared" si="92"/>
        <v>1</v>
      </c>
      <c r="P553" s="3490" t="str">
        <f>可抵押车位明细清单!L532</f>
        <v>-1层</v>
      </c>
      <c r="Q553" s="621">
        <f t="shared" si="93"/>
        <v>1</v>
      </c>
      <c r="R553" s="681">
        <f t="shared" ca="1" si="94"/>
        <v>11.901899999999999</v>
      </c>
      <c r="S553" s="620">
        <f t="shared" ca="1" si="85"/>
        <v>0</v>
      </c>
    </row>
    <row r="554" spans="1:19">
      <c r="A554" s="628" t="str">
        <f>可抵押车位明细清单!D533</f>
        <v>3#地库091</v>
      </c>
      <c r="B554" s="629">
        <f>可抵押车位明细清单!H533</f>
        <v>39.520000000000003</v>
      </c>
      <c r="C554" s="621">
        <f t="shared" si="86"/>
        <v>1</v>
      </c>
      <c r="D554" s="630"/>
      <c r="E554" s="621">
        <f t="shared" si="87"/>
        <v>1</v>
      </c>
      <c r="F554" s="630"/>
      <c r="G554" s="621">
        <f t="shared" si="88"/>
        <v>1</v>
      </c>
      <c r="H554" s="630"/>
      <c r="I554" s="621">
        <f t="shared" si="89"/>
        <v>1</v>
      </c>
      <c r="J554" s="630"/>
      <c r="K554" s="621">
        <f t="shared" si="90"/>
        <v>1</v>
      </c>
      <c r="L554" s="630" t="str">
        <f>可抵押车位明细清单!K533</f>
        <v>标准车位</v>
      </c>
      <c r="M554" s="621">
        <f t="shared" si="91"/>
        <v>1</v>
      </c>
      <c r="N554" s="630"/>
      <c r="O554" s="621">
        <f t="shared" si="92"/>
        <v>1</v>
      </c>
      <c r="P554" s="3490" t="str">
        <f>可抵押车位明细清单!L533</f>
        <v>-1层</v>
      </c>
      <c r="Q554" s="621">
        <f t="shared" si="93"/>
        <v>1</v>
      </c>
      <c r="R554" s="681">
        <f t="shared" ca="1" si="94"/>
        <v>11.901899999999999</v>
      </c>
      <c r="S554" s="620">
        <f t="shared" ca="1" si="85"/>
        <v>0</v>
      </c>
    </row>
    <row r="555" spans="1:19">
      <c r="A555" s="628" t="str">
        <f>可抵押车位明细清单!D534</f>
        <v>3#地库092</v>
      </c>
      <c r="B555" s="629">
        <f>可抵押车位明细清单!H534</f>
        <v>39.520000000000003</v>
      </c>
      <c r="C555" s="621">
        <f t="shared" si="86"/>
        <v>1</v>
      </c>
      <c r="D555" s="630"/>
      <c r="E555" s="621">
        <f t="shared" si="87"/>
        <v>1</v>
      </c>
      <c r="F555" s="630"/>
      <c r="G555" s="621">
        <f t="shared" si="88"/>
        <v>1</v>
      </c>
      <c r="H555" s="630"/>
      <c r="I555" s="621">
        <f t="shared" si="89"/>
        <v>1</v>
      </c>
      <c r="J555" s="630"/>
      <c r="K555" s="621">
        <f t="shared" si="90"/>
        <v>1</v>
      </c>
      <c r="L555" s="630" t="str">
        <f>可抵押车位明细清单!K534</f>
        <v>标准车位</v>
      </c>
      <c r="M555" s="621">
        <f t="shared" si="91"/>
        <v>1</v>
      </c>
      <c r="N555" s="630"/>
      <c r="O555" s="621">
        <f t="shared" si="92"/>
        <v>1</v>
      </c>
      <c r="P555" s="3490" t="str">
        <f>可抵押车位明细清单!L534</f>
        <v>-1层</v>
      </c>
      <c r="Q555" s="621">
        <f t="shared" si="93"/>
        <v>1</v>
      </c>
      <c r="R555" s="681">
        <f t="shared" ca="1" si="94"/>
        <v>11.901899999999999</v>
      </c>
      <c r="S555" s="620">
        <f t="shared" ca="1" si="85"/>
        <v>0</v>
      </c>
    </row>
    <row r="556" spans="1:19">
      <c r="A556" s="628" t="str">
        <f>可抵押车位明细清单!D535</f>
        <v>3#地库093</v>
      </c>
      <c r="B556" s="629">
        <f>可抵押车位明细清单!H535</f>
        <v>37.89</v>
      </c>
      <c r="C556" s="621">
        <f t="shared" si="86"/>
        <v>1</v>
      </c>
      <c r="D556" s="630"/>
      <c r="E556" s="621">
        <f t="shared" si="87"/>
        <v>1</v>
      </c>
      <c r="F556" s="630"/>
      <c r="G556" s="621">
        <f t="shared" si="88"/>
        <v>1</v>
      </c>
      <c r="H556" s="630"/>
      <c r="I556" s="621">
        <f t="shared" si="89"/>
        <v>1</v>
      </c>
      <c r="J556" s="630"/>
      <c r="K556" s="621">
        <f t="shared" si="90"/>
        <v>1</v>
      </c>
      <c r="L556" s="630" t="str">
        <f>可抵押车位明细清单!K535</f>
        <v>标准车位</v>
      </c>
      <c r="M556" s="621">
        <f t="shared" si="91"/>
        <v>1</v>
      </c>
      <c r="N556" s="630"/>
      <c r="O556" s="621">
        <f t="shared" si="92"/>
        <v>1</v>
      </c>
      <c r="P556" s="3490" t="str">
        <f>可抵押车位明细清单!L535</f>
        <v>-1层</v>
      </c>
      <c r="Q556" s="621">
        <f t="shared" si="93"/>
        <v>1</v>
      </c>
      <c r="R556" s="681">
        <f t="shared" ca="1" si="94"/>
        <v>11.901899999999999</v>
      </c>
      <c r="S556" s="620">
        <f t="shared" ca="1" si="85"/>
        <v>0</v>
      </c>
    </row>
    <row r="557" spans="1:19">
      <c r="A557" s="628" t="str">
        <f>可抵押车位明细清单!D536</f>
        <v>3#地库094</v>
      </c>
      <c r="B557" s="629">
        <f>可抵押车位明细清单!H536</f>
        <v>37.89</v>
      </c>
      <c r="C557" s="621">
        <f t="shared" si="86"/>
        <v>1</v>
      </c>
      <c r="D557" s="630"/>
      <c r="E557" s="621">
        <f t="shared" si="87"/>
        <v>1</v>
      </c>
      <c r="F557" s="630"/>
      <c r="G557" s="621">
        <f t="shared" si="88"/>
        <v>1</v>
      </c>
      <c r="H557" s="630"/>
      <c r="I557" s="621">
        <f t="shared" si="89"/>
        <v>1</v>
      </c>
      <c r="J557" s="630"/>
      <c r="K557" s="621">
        <f t="shared" si="90"/>
        <v>1</v>
      </c>
      <c r="L557" s="630" t="str">
        <f>可抵押车位明细清单!K536</f>
        <v>标准车位</v>
      </c>
      <c r="M557" s="621">
        <f t="shared" si="91"/>
        <v>1</v>
      </c>
      <c r="N557" s="630"/>
      <c r="O557" s="621">
        <f t="shared" si="92"/>
        <v>1</v>
      </c>
      <c r="P557" s="3490" t="str">
        <f>可抵押车位明细清单!L536</f>
        <v>-1层</v>
      </c>
      <c r="Q557" s="621">
        <f t="shared" si="93"/>
        <v>1</v>
      </c>
      <c r="R557" s="681">
        <f t="shared" ca="1" si="94"/>
        <v>11.901899999999999</v>
      </c>
      <c r="S557" s="620">
        <f t="shared" ca="1" si="85"/>
        <v>0</v>
      </c>
    </row>
    <row r="558" spans="1:19">
      <c r="A558" s="628" t="str">
        <f>可抵押车位明细清单!D537</f>
        <v>3#地库095</v>
      </c>
      <c r="B558" s="629">
        <f>可抵押车位明细清单!H537</f>
        <v>37.89</v>
      </c>
      <c r="C558" s="621">
        <f t="shared" si="86"/>
        <v>1</v>
      </c>
      <c r="D558" s="630"/>
      <c r="E558" s="621">
        <f t="shared" si="87"/>
        <v>1</v>
      </c>
      <c r="F558" s="630"/>
      <c r="G558" s="621">
        <f t="shared" si="88"/>
        <v>1</v>
      </c>
      <c r="H558" s="630"/>
      <c r="I558" s="621">
        <f t="shared" si="89"/>
        <v>1</v>
      </c>
      <c r="J558" s="630"/>
      <c r="K558" s="621">
        <f t="shared" si="90"/>
        <v>1</v>
      </c>
      <c r="L558" s="630" t="str">
        <f>可抵押车位明细清单!K537</f>
        <v>标准车位</v>
      </c>
      <c r="M558" s="621">
        <f t="shared" si="91"/>
        <v>1</v>
      </c>
      <c r="N558" s="630"/>
      <c r="O558" s="621">
        <f t="shared" si="92"/>
        <v>1</v>
      </c>
      <c r="P558" s="3490" t="str">
        <f>可抵押车位明细清单!L537</f>
        <v>-1层</v>
      </c>
      <c r="Q558" s="621">
        <f t="shared" si="93"/>
        <v>1</v>
      </c>
      <c r="R558" s="681">
        <f t="shared" ca="1" si="94"/>
        <v>11.901899999999999</v>
      </c>
      <c r="S558" s="620">
        <f t="shared" ca="1" si="85"/>
        <v>0</v>
      </c>
    </row>
    <row r="559" spans="1:19">
      <c r="A559" s="628" t="str">
        <f>可抵押车位明细清单!D538</f>
        <v>3#地库096</v>
      </c>
      <c r="B559" s="629">
        <f>可抵押车位明细清单!H538</f>
        <v>41.4</v>
      </c>
      <c r="C559" s="621">
        <f t="shared" si="86"/>
        <v>1</v>
      </c>
      <c r="D559" s="630"/>
      <c r="E559" s="621">
        <f t="shared" si="87"/>
        <v>1</v>
      </c>
      <c r="F559" s="630"/>
      <c r="G559" s="621">
        <f t="shared" si="88"/>
        <v>1</v>
      </c>
      <c r="H559" s="630"/>
      <c r="I559" s="621">
        <f t="shared" si="89"/>
        <v>1</v>
      </c>
      <c r="J559" s="630"/>
      <c r="K559" s="621">
        <f t="shared" si="90"/>
        <v>1</v>
      </c>
      <c r="L559" s="630" t="str">
        <f>可抵押车位明细清单!K538</f>
        <v>标准车位</v>
      </c>
      <c r="M559" s="621">
        <f t="shared" si="91"/>
        <v>1</v>
      </c>
      <c r="N559" s="630"/>
      <c r="O559" s="621">
        <f t="shared" si="92"/>
        <v>1</v>
      </c>
      <c r="P559" s="3490" t="str">
        <f>可抵押车位明细清单!L538</f>
        <v>-1层</v>
      </c>
      <c r="Q559" s="621">
        <f t="shared" si="93"/>
        <v>1</v>
      </c>
      <c r="R559" s="681">
        <f t="shared" ca="1" si="94"/>
        <v>11.901899999999999</v>
      </c>
      <c r="S559" s="620">
        <f t="shared" ca="1" si="85"/>
        <v>0</v>
      </c>
    </row>
    <row r="560" spans="1:19">
      <c r="A560" s="628" t="str">
        <f>可抵押车位明细清单!D539</f>
        <v>3#地库097</v>
      </c>
      <c r="B560" s="629">
        <f>可抵押车位明细清单!H539</f>
        <v>41.4</v>
      </c>
      <c r="C560" s="621">
        <f t="shared" si="86"/>
        <v>1</v>
      </c>
      <c r="D560" s="630"/>
      <c r="E560" s="621">
        <f t="shared" si="87"/>
        <v>1</v>
      </c>
      <c r="F560" s="630"/>
      <c r="G560" s="621">
        <f t="shared" si="88"/>
        <v>1</v>
      </c>
      <c r="H560" s="630"/>
      <c r="I560" s="621">
        <f t="shared" si="89"/>
        <v>1</v>
      </c>
      <c r="J560" s="630"/>
      <c r="K560" s="621">
        <f t="shared" si="90"/>
        <v>1</v>
      </c>
      <c r="L560" s="630" t="str">
        <f>可抵押车位明细清单!K539</f>
        <v>标准车位</v>
      </c>
      <c r="M560" s="621">
        <f t="shared" si="91"/>
        <v>1</v>
      </c>
      <c r="N560" s="630"/>
      <c r="O560" s="621">
        <f t="shared" si="92"/>
        <v>1</v>
      </c>
      <c r="P560" s="3490" t="str">
        <f>可抵押车位明细清单!L539</f>
        <v>-1层</v>
      </c>
      <c r="Q560" s="621">
        <f t="shared" si="93"/>
        <v>1</v>
      </c>
      <c r="R560" s="681">
        <f t="shared" ca="1" si="94"/>
        <v>11.901899999999999</v>
      </c>
      <c r="S560" s="620">
        <f t="shared" ca="1" si="85"/>
        <v>0</v>
      </c>
    </row>
    <row r="561" spans="1:19">
      <c r="A561" s="628" t="str">
        <f>可抵押车位明细清单!D540</f>
        <v>3#地库098</v>
      </c>
      <c r="B561" s="629">
        <f>可抵押车位明细清单!H540</f>
        <v>38.770000000000003</v>
      </c>
      <c r="C561" s="621">
        <f t="shared" si="86"/>
        <v>1</v>
      </c>
      <c r="D561" s="630"/>
      <c r="E561" s="621">
        <f t="shared" si="87"/>
        <v>1</v>
      </c>
      <c r="F561" s="630"/>
      <c r="G561" s="621">
        <f t="shared" si="88"/>
        <v>1</v>
      </c>
      <c r="H561" s="630"/>
      <c r="I561" s="621">
        <f t="shared" si="89"/>
        <v>1</v>
      </c>
      <c r="J561" s="630"/>
      <c r="K561" s="621">
        <f t="shared" si="90"/>
        <v>1</v>
      </c>
      <c r="L561" s="630" t="str">
        <f>可抵押车位明细清单!K540</f>
        <v>标准车位</v>
      </c>
      <c r="M561" s="621">
        <f t="shared" si="91"/>
        <v>1</v>
      </c>
      <c r="N561" s="630"/>
      <c r="O561" s="621">
        <f t="shared" si="92"/>
        <v>1</v>
      </c>
      <c r="P561" s="3490" t="str">
        <f>可抵押车位明细清单!L540</f>
        <v>-1层</v>
      </c>
      <c r="Q561" s="621">
        <f t="shared" si="93"/>
        <v>1</v>
      </c>
      <c r="R561" s="681">
        <f t="shared" ca="1" si="94"/>
        <v>11.901899999999999</v>
      </c>
      <c r="S561" s="620">
        <f t="shared" ca="1" si="85"/>
        <v>0</v>
      </c>
    </row>
    <row r="562" spans="1:19">
      <c r="A562" s="628" t="str">
        <f>可抵押车位明细清单!D541</f>
        <v>3#地库099</v>
      </c>
      <c r="B562" s="629">
        <f>可抵押车位明细清单!H541</f>
        <v>38.770000000000003</v>
      </c>
      <c r="C562" s="621">
        <f t="shared" si="86"/>
        <v>1</v>
      </c>
      <c r="D562" s="630"/>
      <c r="E562" s="621">
        <f t="shared" si="87"/>
        <v>1</v>
      </c>
      <c r="F562" s="630"/>
      <c r="G562" s="621">
        <f t="shared" si="88"/>
        <v>1</v>
      </c>
      <c r="H562" s="630"/>
      <c r="I562" s="621">
        <f t="shared" si="89"/>
        <v>1</v>
      </c>
      <c r="J562" s="630"/>
      <c r="K562" s="621">
        <f t="shared" si="90"/>
        <v>1</v>
      </c>
      <c r="L562" s="630" t="str">
        <f>可抵押车位明细清单!K541</f>
        <v>标准车位</v>
      </c>
      <c r="M562" s="621">
        <f t="shared" si="91"/>
        <v>1</v>
      </c>
      <c r="N562" s="630"/>
      <c r="O562" s="621">
        <f t="shared" si="92"/>
        <v>1</v>
      </c>
      <c r="P562" s="3490" t="str">
        <f>可抵押车位明细清单!L541</f>
        <v>-1层</v>
      </c>
      <c r="Q562" s="621">
        <f t="shared" si="93"/>
        <v>1</v>
      </c>
      <c r="R562" s="681">
        <f t="shared" ca="1" si="94"/>
        <v>11.901899999999999</v>
      </c>
      <c r="S562" s="620">
        <f t="shared" ca="1" si="85"/>
        <v>0</v>
      </c>
    </row>
    <row r="563" spans="1:19">
      <c r="A563" s="628" t="str">
        <f>可抵押车位明细清单!D542</f>
        <v>3#地库100</v>
      </c>
      <c r="B563" s="629">
        <f>可抵押车位明细清单!H542</f>
        <v>37.950000000000003</v>
      </c>
      <c r="C563" s="621">
        <f t="shared" si="86"/>
        <v>1</v>
      </c>
      <c r="D563" s="630"/>
      <c r="E563" s="621">
        <f t="shared" si="87"/>
        <v>1</v>
      </c>
      <c r="F563" s="630"/>
      <c r="G563" s="621">
        <f t="shared" si="88"/>
        <v>1</v>
      </c>
      <c r="H563" s="630"/>
      <c r="I563" s="621">
        <f t="shared" si="89"/>
        <v>1</v>
      </c>
      <c r="J563" s="630"/>
      <c r="K563" s="621">
        <f t="shared" si="90"/>
        <v>1</v>
      </c>
      <c r="L563" s="630" t="str">
        <f>可抵押车位明细清单!K542</f>
        <v>标准车位</v>
      </c>
      <c r="M563" s="621">
        <f t="shared" si="91"/>
        <v>1</v>
      </c>
      <c r="N563" s="630"/>
      <c r="O563" s="621">
        <f t="shared" si="92"/>
        <v>1</v>
      </c>
      <c r="P563" s="3490" t="str">
        <f>可抵押车位明细清单!L542</f>
        <v>-1层</v>
      </c>
      <c r="Q563" s="621">
        <f t="shared" si="93"/>
        <v>1</v>
      </c>
      <c r="R563" s="681">
        <f t="shared" ca="1" si="94"/>
        <v>11.901899999999999</v>
      </c>
      <c r="S563" s="620">
        <f t="shared" ca="1" si="85"/>
        <v>0</v>
      </c>
    </row>
    <row r="564" spans="1:19">
      <c r="A564" s="628" t="str">
        <f>可抵押车位明细清单!D543</f>
        <v>3#地库101</v>
      </c>
      <c r="B564" s="629">
        <f>可抵押车位明细清单!H543</f>
        <v>37.950000000000003</v>
      </c>
      <c r="C564" s="621">
        <f t="shared" si="86"/>
        <v>1</v>
      </c>
      <c r="D564" s="630"/>
      <c r="E564" s="621">
        <f t="shared" si="87"/>
        <v>1</v>
      </c>
      <c r="F564" s="630"/>
      <c r="G564" s="621">
        <f t="shared" si="88"/>
        <v>1</v>
      </c>
      <c r="H564" s="630"/>
      <c r="I564" s="621">
        <f t="shared" si="89"/>
        <v>1</v>
      </c>
      <c r="J564" s="630"/>
      <c r="K564" s="621">
        <f t="shared" si="90"/>
        <v>1</v>
      </c>
      <c r="L564" s="630" t="str">
        <f>可抵押车位明细清单!K543</f>
        <v>标准车位</v>
      </c>
      <c r="M564" s="621">
        <f t="shared" si="91"/>
        <v>1</v>
      </c>
      <c r="N564" s="630"/>
      <c r="O564" s="621">
        <f t="shared" si="92"/>
        <v>1</v>
      </c>
      <c r="P564" s="3490" t="str">
        <f>可抵押车位明细清单!L543</f>
        <v>-1层</v>
      </c>
      <c r="Q564" s="621">
        <f t="shared" si="93"/>
        <v>1</v>
      </c>
      <c r="R564" s="681">
        <f t="shared" ca="1" si="94"/>
        <v>11.901899999999999</v>
      </c>
      <c r="S564" s="620">
        <f t="shared" ca="1" si="85"/>
        <v>0</v>
      </c>
    </row>
    <row r="565" spans="1:19">
      <c r="A565" s="628" t="str">
        <f>可抵押车位明细清单!D544</f>
        <v>3#地库102</v>
      </c>
      <c r="B565" s="629">
        <f>可抵押车位明细清单!H544</f>
        <v>78.89</v>
      </c>
      <c r="C565" s="621">
        <f t="shared" si="86"/>
        <v>1</v>
      </c>
      <c r="D565" s="630"/>
      <c r="E565" s="621">
        <f t="shared" si="87"/>
        <v>1</v>
      </c>
      <c r="F565" s="630"/>
      <c r="G565" s="621">
        <f t="shared" si="88"/>
        <v>1</v>
      </c>
      <c r="H565" s="630"/>
      <c r="I565" s="621">
        <f t="shared" si="89"/>
        <v>1</v>
      </c>
      <c r="J565" s="630"/>
      <c r="K565" s="621">
        <f t="shared" si="90"/>
        <v>1</v>
      </c>
      <c r="L565" s="630" t="str">
        <f>可抵押车位明细清单!K544</f>
        <v>子母车位</v>
      </c>
      <c r="M565" s="621">
        <f t="shared" si="91"/>
        <v>1.5</v>
      </c>
      <c r="N565" s="630"/>
      <c r="O565" s="621">
        <f t="shared" si="92"/>
        <v>1</v>
      </c>
      <c r="P565" s="3490" t="str">
        <f>可抵押车位明细清单!L544</f>
        <v>-1层</v>
      </c>
      <c r="Q565" s="621">
        <f t="shared" si="93"/>
        <v>1</v>
      </c>
      <c r="R565" s="681">
        <f t="shared" ca="1" si="94"/>
        <v>17.852900000000002</v>
      </c>
      <c r="S565" s="620">
        <f t="shared" ca="1" si="85"/>
        <v>0</v>
      </c>
    </row>
    <row r="566" spans="1:19">
      <c r="A566" s="628" t="str">
        <f>可抵押车位明细清单!D545</f>
        <v>3#地库103</v>
      </c>
      <c r="B566" s="629">
        <f>可抵押车位明细清单!H545</f>
        <v>77.569999999999993</v>
      </c>
      <c r="C566" s="621">
        <f t="shared" si="86"/>
        <v>1</v>
      </c>
      <c r="D566" s="630"/>
      <c r="E566" s="621">
        <f t="shared" si="87"/>
        <v>1</v>
      </c>
      <c r="F566" s="630"/>
      <c r="G566" s="621">
        <f t="shared" si="88"/>
        <v>1</v>
      </c>
      <c r="H566" s="630"/>
      <c r="I566" s="621">
        <f t="shared" si="89"/>
        <v>1</v>
      </c>
      <c r="J566" s="630"/>
      <c r="K566" s="621">
        <f t="shared" si="90"/>
        <v>1</v>
      </c>
      <c r="L566" s="630" t="str">
        <f>可抵押车位明细清单!K545</f>
        <v>子母车位</v>
      </c>
      <c r="M566" s="621">
        <f t="shared" si="91"/>
        <v>1.5</v>
      </c>
      <c r="N566" s="630"/>
      <c r="O566" s="621">
        <f t="shared" si="92"/>
        <v>1</v>
      </c>
      <c r="P566" s="3490" t="str">
        <f>可抵押车位明细清单!L545</f>
        <v>-1层</v>
      </c>
      <c r="Q566" s="621">
        <f t="shared" si="93"/>
        <v>1</v>
      </c>
      <c r="R566" s="681">
        <f t="shared" ca="1" si="94"/>
        <v>17.852900000000002</v>
      </c>
      <c r="S566" s="620">
        <f t="shared" ca="1" si="85"/>
        <v>0</v>
      </c>
    </row>
    <row r="567" spans="1:19">
      <c r="A567" s="628" t="str">
        <f>可抵押车位明细清单!D546</f>
        <v>3#地库104</v>
      </c>
      <c r="B567" s="629">
        <f>可抵押车位明细清单!H546</f>
        <v>39.14</v>
      </c>
      <c r="C567" s="621">
        <f t="shared" si="86"/>
        <v>1</v>
      </c>
      <c r="D567" s="630"/>
      <c r="E567" s="621">
        <f t="shared" si="87"/>
        <v>1</v>
      </c>
      <c r="F567" s="630"/>
      <c r="G567" s="621">
        <f t="shared" si="88"/>
        <v>1</v>
      </c>
      <c r="H567" s="630"/>
      <c r="I567" s="621">
        <f t="shared" si="89"/>
        <v>1</v>
      </c>
      <c r="J567" s="630"/>
      <c r="K567" s="621">
        <f t="shared" si="90"/>
        <v>1</v>
      </c>
      <c r="L567" s="630" t="str">
        <f>可抵押车位明细清单!K546</f>
        <v>标准车位</v>
      </c>
      <c r="M567" s="621">
        <f t="shared" si="91"/>
        <v>1</v>
      </c>
      <c r="N567" s="630"/>
      <c r="O567" s="621">
        <f t="shared" si="92"/>
        <v>1</v>
      </c>
      <c r="P567" s="3490" t="str">
        <f>可抵押车位明细清单!L546</f>
        <v>-1层</v>
      </c>
      <c r="Q567" s="621">
        <f t="shared" si="93"/>
        <v>1</v>
      </c>
      <c r="R567" s="681">
        <f t="shared" ca="1" si="94"/>
        <v>11.901899999999999</v>
      </c>
      <c r="S567" s="620">
        <f t="shared" ca="1" si="85"/>
        <v>0</v>
      </c>
    </row>
    <row r="568" spans="1:19">
      <c r="A568" s="628" t="str">
        <f>可抵押车位明细清单!D547</f>
        <v>3#地库105</v>
      </c>
      <c r="B568" s="629">
        <f>可抵押车位明细清单!H547</f>
        <v>39.14</v>
      </c>
      <c r="C568" s="621">
        <f t="shared" si="86"/>
        <v>1</v>
      </c>
      <c r="D568" s="630"/>
      <c r="E568" s="621">
        <f t="shared" si="87"/>
        <v>1</v>
      </c>
      <c r="F568" s="630"/>
      <c r="G568" s="621">
        <f t="shared" si="88"/>
        <v>1</v>
      </c>
      <c r="H568" s="630"/>
      <c r="I568" s="621">
        <f t="shared" si="89"/>
        <v>1</v>
      </c>
      <c r="J568" s="630"/>
      <c r="K568" s="621">
        <f t="shared" si="90"/>
        <v>1</v>
      </c>
      <c r="L568" s="630" t="str">
        <f>可抵押车位明细清单!K547</f>
        <v>标准车位</v>
      </c>
      <c r="M568" s="621">
        <f t="shared" si="91"/>
        <v>1</v>
      </c>
      <c r="N568" s="630"/>
      <c r="O568" s="621">
        <f t="shared" si="92"/>
        <v>1</v>
      </c>
      <c r="P568" s="3490" t="str">
        <f>可抵押车位明细清单!L547</f>
        <v>-1层</v>
      </c>
      <c r="Q568" s="621">
        <f t="shared" si="93"/>
        <v>1</v>
      </c>
      <c r="R568" s="681">
        <f t="shared" ca="1" si="94"/>
        <v>11.901899999999999</v>
      </c>
      <c r="S568" s="620">
        <f t="shared" ca="1" si="85"/>
        <v>0</v>
      </c>
    </row>
    <row r="569" spans="1:19">
      <c r="A569" s="628" t="str">
        <f>可抵押车位明细清单!D548</f>
        <v>3#地库106</v>
      </c>
      <c r="B569" s="629">
        <f>可抵押车位明细清单!H548</f>
        <v>38.39</v>
      </c>
      <c r="C569" s="621">
        <f t="shared" si="86"/>
        <v>1</v>
      </c>
      <c r="D569" s="630"/>
      <c r="E569" s="621">
        <f t="shared" si="87"/>
        <v>1</v>
      </c>
      <c r="F569" s="630"/>
      <c r="G569" s="621">
        <f t="shared" si="88"/>
        <v>1</v>
      </c>
      <c r="H569" s="630"/>
      <c r="I569" s="621">
        <f t="shared" si="89"/>
        <v>1</v>
      </c>
      <c r="J569" s="630"/>
      <c r="K569" s="621">
        <f t="shared" si="90"/>
        <v>1</v>
      </c>
      <c r="L569" s="630" t="str">
        <f>可抵押车位明细清单!K548</f>
        <v>标准车位</v>
      </c>
      <c r="M569" s="621">
        <f t="shared" si="91"/>
        <v>1</v>
      </c>
      <c r="N569" s="630"/>
      <c r="O569" s="621">
        <f t="shared" si="92"/>
        <v>1</v>
      </c>
      <c r="P569" s="3490" t="str">
        <f>可抵押车位明细清单!L548</f>
        <v>-1层</v>
      </c>
      <c r="Q569" s="621">
        <f t="shared" si="93"/>
        <v>1</v>
      </c>
      <c r="R569" s="681">
        <f t="shared" ca="1" si="94"/>
        <v>11.901899999999999</v>
      </c>
      <c r="S569" s="620">
        <f t="shared" ca="1" si="85"/>
        <v>0</v>
      </c>
    </row>
    <row r="570" spans="1:19">
      <c r="A570" s="628" t="str">
        <f>可抵押车位明细清单!D549</f>
        <v>3#地库107</v>
      </c>
      <c r="B570" s="629">
        <f>可抵押车位明细清单!H549</f>
        <v>37.61</v>
      </c>
      <c r="C570" s="621">
        <f t="shared" si="86"/>
        <v>1</v>
      </c>
      <c r="D570" s="630"/>
      <c r="E570" s="621">
        <f t="shared" si="87"/>
        <v>1</v>
      </c>
      <c r="F570" s="630"/>
      <c r="G570" s="621">
        <f t="shared" si="88"/>
        <v>1</v>
      </c>
      <c r="H570" s="630"/>
      <c r="I570" s="621">
        <f t="shared" si="89"/>
        <v>1</v>
      </c>
      <c r="J570" s="630"/>
      <c r="K570" s="621">
        <f t="shared" si="90"/>
        <v>1</v>
      </c>
      <c r="L570" s="630" t="str">
        <f>可抵押车位明细清单!K549</f>
        <v>标准车位</v>
      </c>
      <c r="M570" s="621">
        <f t="shared" si="91"/>
        <v>1</v>
      </c>
      <c r="N570" s="630"/>
      <c r="O570" s="621">
        <f t="shared" si="92"/>
        <v>1</v>
      </c>
      <c r="P570" s="3490" t="str">
        <f>可抵押车位明细清单!L549</f>
        <v>-1层</v>
      </c>
      <c r="Q570" s="621">
        <f t="shared" si="93"/>
        <v>1</v>
      </c>
      <c r="R570" s="681">
        <f t="shared" ca="1" si="94"/>
        <v>11.901899999999999</v>
      </c>
      <c r="S570" s="620">
        <f t="shared" ca="1" si="85"/>
        <v>0</v>
      </c>
    </row>
    <row r="571" spans="1:19">
      <c r="A571" s="628" t="str">
        <f>可抵押车位明细清单!D550</f>
        <v>3#地库108</v>
      </c>
      <c r="B571" s="629">
        <f>可抵押车位明细清单!H550</f>
        <v>36.79</v>
      </c>
      <c r="C571" s="621">
        <f t="shared" si="86"/>
        <v>1</v>
      </c>
      <c r="D571" s="630"/>
      <c r="E571" s="621">
        <f t="shared" si="87"/>
        <v>1</v>
      </c>
      <c r="F571" s="630"/>
      <c r="G571" s="621">
        <f t="shared" si="88"/>
        <v>1</v>
      </c>
      <c r="H571" s="630"/>
      <c r="I571" s="621">
        <f t="shared" si="89"/>
        <v>1</v>
      </c>
      <c r="J571" s="630"/>
      <c r="K571" s="621">
        <f t="shared" si="90"/>
        <v>1</v>
      </c>
      <c r="L571" s="630" t="str">
        <f>可抵押车位明细清单!K550</f>
        <v>标准车位</v>
      </c>
      <c r="M571" s="621">
        <f t="shared" si="91"/>
        <v>1</v>
      </c>
      <c r="N571" s="630"/>
      <c r="O571" s="621">
        <f t="shared" si="92"/>
        <v>1</v>
      </c>
      <c r="P571" s="3490" t="str">
        <f>可抵押车位明细清单!L550</f>
        <v>-1层</v>
      </c>
      <c r="Q571" s="621">
        <f t="shared" si="93"/>
        <v>1</v>
      </c>
      <c r="R571" s="681">
        <f t="shared" ca="1" si="94"/>
        <v>11.901899999999999</v>
      </c>
      <c r="S571" s="620">
        <f t="shared" ca="1" si="85"/>
        <v>0</v>
      </c>
    </row>
    <row r="572" spans="1:19">
      <c r="A572" s="628" t="str">
        <f>可抵押车位明细清单!D551</f>
        <v>3#地库109</v>
      </c>
      <c r="B572" s="629">
        <f>可抵押车位明细清单!H551</f>
        <v>38.71</v>
      </c>
      <c r="C572" s="621">
        <f t="shared" si="86"/>
        <v>1</v>
      </c>
      <c r="D572" s="630"/>
      <c r="E572" s="621">
        <f t="shared" si="87"/>
        <v>1</v>
      </c>
      <c r="F572" s="630"/>
      <c r="G572" s="621">
        <f t="shared" si="88"/>
        <v>1</v>
      </c>
      <c r="H572" s="630"/>
      <c r="I572" s="621">
        <f t="shared" si="89"/>
        <v>1</v>
      </c>
      <c r="J572" s="630"/>
      <c r="K572" s="621">
        <f t="shared" si="90"/>
        <v>1</v>
      </c>
      <c r="L572" s="630" t="str">
        <f>可抵押车位明细清单!K551</f>
        <v>标准车位</v>
      </c>
      <c r="M572" s="621">
        <f t="shared" si="91"/>
        <v>1</v>
      </c>
      <c r="N572" s="630"/>
      <c r="O572" s="621">
        <f t="shared" si="92"/>
        <v>1</v>
      </c>
      <c r="P572" s="3490" t="str">
        <f>可抵押车位明细清单!L551</f>
        <v>-1层</v>
      </c>
      <c r="Q572" s="621">
        <f t="shared" si="93"/>
        <v>1</v>
      </c>
      <c r="R572" s="681">
        <f t="shared" ca="1" si="94"/>
        <v>11.901899999999999</v>
      </c>
      <c r="S572" s="620">
        <f t="shared" ca="1" si="85"/>
        <v>0</v>
      </c>
    </row>
    <row r="573" spans="1:19">
      <c r="A573" s="628" t="str">
        <f>可抵押车位明细清单!D552</f>
        <v>3#地库110</v>
      </c>
      <c r="B573" s="629">
        <f>可抵押车位明细清单!H552</f>
        <v>38.71</v>
      </c>
      <c r="C573" s="621">
        <f t="shared" si="86"/>
        <v>1</v>
      </c>
      <c r="D573" s="630"/>
      <c r="E573" s="621">
        <f t="shared" si="87"/>
        <v>1</v>
      </c>
      <c r="F573" s="630"/>
      <c r="G573" s="621">
        <f t="shared" si="88"/>
        <v>1</v>
      </c>
      <c r="H573" s="630"/>
      <c r="I573" s="621">
        <f t="shared" si="89"/>
        <v>1</v>
      </c>
      <c r="J573" s="630"/>
      <c r="K573" s="621">
        <f t="shared" si="90"/>
        <v>1</v>
      </c>
      <c r="L573" s="630" t="str">
        <f>可抵押车位明细清单!K552</f>
        <v>标准车位</v>
      </c>
      <c r="M573" s="621">
        <f t="shared" si="91"/>
        <v>1</v>
      </c>
      <c r="N573" s="630"/>
      <c r="O573" s="621">
        <f t="shared" si="92"/>
        <v>1</v>
      </c>
      <c r="P573" s="3490" t="str">
        <f>可抵押车位明细清单!L552</f>
        <v>-1层</v>
      </c>
      <c r="Q573" s="621">
        <f t="shared" si="93"/>
        <v>1</v>
      </c>
      <c r="R573" s="681">
        <f t="shared" ca="1" si="94"/>
        <v>11.901899999999999</v>
      </c>
      <c r="S573" s="620">
        <f t="shared" ca="1" si="85"/>
        <v>0</v>
      </c>
    </row>
    <row r="574" spans="1:19">
      <c r="A574" s="628" t="str">
        <f>可抵押车位明细清单!D553</f>
        <v>3#地库111</v>
      </c>
      <c r="B574" s="629">
        <f>可抵押车位明细清单!H553</f>
        <v>38.71</v>
      </c>
      <c r="C574" s="621">
        <f t="shared" si="86"/>
        <v>1</v>
      </c>
      <c r="D574" s="630"/>
      <c r="E574" s="621">
        <f t="shared" si="87"/>
        <v>1</v>
      </c>
      <c r="F574" s="630"/>
      <c r="G574" s="621">
        <f t="shared" si="88"/>
        <v>1</v>
      </c>
      <c r="H574" s="630"/>
      <c r="I574" s="621">
        <f t="shared" si="89"/>
        <v>1</v>
      </c>
      <c r="J574" s="630"/>
      <c r="K574" s="621">
        <f t="shared" si="90"/>
        <v>1</v>
      </c>
      <c r="L574" s="630" t="str">
        <f>可抵押车位明细清单!K553</f>
        <v>标准车位</v>
      </c>
      <c r="M574" s="621">
        <f t="shared" si="91"/>
        <v>1</v>
      </c>
      <c r="N574" s="630"/>
      <c r="O574" s="621">
        <f t="shared" si="92"/>
        <v>1</v>
      </c>
      <c r="P574" s="3490" t="str">
        <f>可抵押车位明细清单!L553</f>
        <v>-1层</v>
      </c>
      <c r="Q574" s="621">
        <f t="shared" si="93"/>
        <v>1</v>
      </c>
      <c r="R574" s="681">
        <f t="shared" ca="1" si="94"/>
        <v>11.901899999999999</v>
      </c>
      <c r="S574" s="620">
        <f t="shared" ca="1" si="85"/>
        <v>0</v>
      </c>
    </row>
    <row r="575" spans="1:19">
      <c r="A575" s="628" t="str">
        <f>可抵押车位明细清单!D554</f>
        <v>3#地库112</v>
      </c>
      <c r="B575" s="629">
        <f>可抵押车位明细清单!H554</f>
        <v>38.770000000000003</v>
      </c>
      <c r="C575" s="621">
        <f t="shared" si="86"/>
        <v>1</v>
      </c>
      <c r="D575" s="630"/>
      <c r="E575" s="621">
        <f t="shared" si="87"/>
        <v>1</v>
      </c>
      <c r="F575" s="630"/>
      <c r="G575" s="621">
        <f t="shared" si="88"/>
        <v>1</v>
      </c>
      <c r="H575" s="630"/>
      <c r="I575" s="621">
        <f t="shared" si="89"/>
        <v>1</v>
      </c>
      <c r="J575" s="630"/>
      <c r="K575" s="621">
        <f t="shared" si="90"/>
        <v>1</v>
      </c>
      <c r="L575" s="630" t="str">
        <f>可抵押车位明细清单!K554</f>
        <v>标准车位</v>
      </c>
      <c r="M575" s="621">
        <f t="shared" si="91"/>
        <v>1</v>
      </c>
      <c r="N575" s="630"/>
      <c r="O575" s="621">
        <f t="shared" si="92"/>
        <v>1</v>
      </c>
      <c r="P575" s="3490" t="str">
        <f>可抵押车位明细清单!L554</f>
        <v>-1层</v>
      </c>
      <c r="Q575" s="621">
        <f t="shared" si="93"/>
        <v>1</v>
      </c>
      <c r="R575" s="681">
        <f t="shared" ca="1" si="94"/>
        <v>11.901899999999999</v>
      </c>
      <c r="S575" s="620">
        <f t="shared" ca="1" si="85"/>
        <v>0</v>
      </c>
    </row>
    <row r="576" spans="1:19">
      <c r="A576" s="628" t="str">
        <f>可抵押车位明细清单!D555</f>
        <v>3#地库113</v>
      </c>
      <c r="B576" s="629">
        <f>可抵押车位明细清单!H555</f>
        <v>38.770000000000003</v>
      </c>
      <c r="C576" s="621">
        <f t="shared" si="86"/>
        <v>1</v>
      </c>
      <c r="D576" s="630"/>
      <c r="E576" s="621">
        <f t="shared" si="87"/>
        <v>1</v>
      </c>
      <c r="F576" s="630"/>
      <c r="G576" s="621">
        <f t="shared" si="88"/>
        <v>1</v>
      </c>
      <c r="H576" s="630"/>
      <c r="I576" s="621">
        <f t="shared" si="89"/>
        <v>1</v>
      </c>
      <c r="J576" s="630"/>
      <c r="K576" s="621">
        <f t="shared" si="90"/>
        <v>1</v>
      </c>
      <c r="L576" s="630" t="str">
        <f>可抵押车位明细清单!K555</f>
        <v>标准车位</v>
      </c>
      <c r="M576" s="621">
        <f t="shared" si="91"/>
        <v>1</v>
      </c>
      <c r="N576" s="630"/>
      <c r="O576" s="621">
        <f t="shared" si="92"/>
        <v>1</v>
      </c>
      <c r="P576" s="3490" t="str">
        <f>可抵押车位明细清单!L555</f>
        <v>-1层</v>
      </c>
      <c r="Q576" s="621">
        <f t="shared" si="93"/>
        <v>1</v>
      </c>
      <c r="R576" s="681">
        <f t="shared" ca="1" si="94"/>
        <v>11.901899999999999</v>
      </c>
      <c r="S576" s="620">
        <f t="shared" ca="1" si="85"/>
        <v>0</v>
      </c>
    </row>
    <row r="577" spans="1:19">
      <c r="A577" s="628" t="str">
        <f>可抵押车位明细清单!D556</f>
        <v>3#地库114</v>
      </c>
      <c r="B577" s="629">
        <f>可抵押车位明细清单!H556</f>
        <v>77.540000000000006</v>
      </c>
      <c r="C577" s="621">
        <f t="shared" si="86"/>
        <v>1</v>
      </c>
      <c r="D577" s="630"/>
      <c r="E577" s="621">
        <f t="shared" si="87"/>
        <v>1</v>
      </c>
      <c r="F577" s="630"/>
      <c r="G577" s="621">
        <f t="shared" si="88"/>
        <v>1</v>
      </c>
      <c r="H577" s="630"/>
      <c r="I577" s="621">
        <f t="shared" si="89"/>
        <v>1</v>
      </c>
      <c r="J577" s="630"/>
      <c r="K577" s="621">
        <f t="shared" si="90"/>
        <v>1</v>
      </c>
      <c r="L577" s="630" t="str">
        <f>可抵押车位明细清单!K556</f>
        <v>子母车位</v>
      </c>
      <c r="M577" s="621">
        <f t="shared" si="91"/>
        <v>1.5</v>
      </c>
      <c r="N577" s="630"/>
      <c r="O577" s="621">
        <f t="shared" si="92"/>
        <v>1</v>
      </c>
      <c r="P577" s="3490" t="str">
        <f>可抵押车位明细清单!L556</f>
        <v>-1层</v>
      </c>
      <c r="Q577" s="621">
        <f t="shared" si="93"/>
        <v>1</v>
      </c>
      <c r="R577" s="681">
        <f t="shared" ca="1" si="94"/>
        <v>17.852900000000002</v>
      </c>
      <c r="S577" s="620">
        <f t="shared" ca="1" si="85"/>
        <v>0</v>
      </c>
    </row>
    <row r="578" spans="1:19">
      <c r="A578" s="628" t="str">
        <f>可抵押车位明细清单!D557</f>
        <v>3#地库115</v>
      </c>
      <c r="B578" s="629">
        <f>可抵押车位明细清单!H557</f>
        <v>77.16</v>
      </c>
      <c r="C578" s="621">
        <f t="shared" si="86"/>
        <v>1</v>
      </c>
      <c r="D578" s="630"/>
      <c r="E578" s="621">
        <f t="shared" si="87"/>
        <v>1</v>
      </c>
      <c r="F578" s="630"/>
      <c r="G578" s="621">
        <f t="shared" si="88"/>
        <v>1</v>
      </c>
      <c r="H578" s="630"/>
      <c r="I578" s="621">
        <f t="shared" si="89"/>
        <v>1</v>
      </c>
      <c r="J578" s="630"/>
      <c r="K578" s="621">
        <f t="shared" si="90"/>
        <v>1</v>
      </c>
      <c r="L578" s="630" t="str">
        <f>可抵押车位明细清单!K557</f>
        <v>子母车位</v>
      </c>
      <c r="M578" s="621">
        <f t="shared" si="91"/>
        <v>1.5</v>
      </c>
      <c r="N578" s="630"/>
      <c r="O578" s="621">
        <f t="shared" si="92"/>
        <v>1</v>
      </c>
      <c r="P578" s="3490" t="str">
        <f>可抵押车位明细清单!L557</f>
        <v>-1层</v>
      </c>
      <c r="Q578" s="621">
        <f t="shared" si="93"/>
        <v>1</v>
      </c>
      <c r="R578" s="681">
        <f t="shared" ca="1" si="94"/>
        <v>17.852900000000002</v>
      </c>
      <c r="S578" s="620">
        <f t="shared" ca="1" si="85"/>
        <v>0</v>
      </c>
    </row>
    <row r="579" spans="1:19">
      <c r="A579" s="628" t="str">
        <f>可抵押车位明细清单!D558</f>
        <v>3#地库116</v>
      </c>
      <c r="B579" s="629">
        <f>可抵押车位明细清单!H558</f>
        <v>38.770000000000003</v>
      </c>
      <c r="C579" s="621">
        <f t="shared" si="86"/>
        <v>1</v>
      </c>
      <c r="D579" s="630"/>
      <c r="E579" s="621">
        <f t="shared" si="87"/>
        <v>1</v>
      </c>
      <c r="F579" s="630"/>
      <c r="G579" s="621">
        <f t="shared" si="88"/>
        <v>1</v>
      </c>
      <c r="H579" s="630"/>
      <c r="I579" s="621">
        <f t="shared" si="89"/>
        <v>1</v>
      </c>
      <c r="J579" s="630"/>
      <c r="K579" s="621">
        <f t="shared" si="90"/>
        <v>1</v>
      </c>
      <c r="L579" s="630" t="str">
        <f>可抵押车位明细清单!K558</f>
        <v>标准车位</v>
      </c>
      <c r="M579" s="621">
        <f t="shared" si="91"/>
        <v>1</v>
      </c>
      <c r="N579" s="630"/>
      <c r="O579" s="621">
        <f t="shared" si="92"/>
        <v>1</v>
      </c>
      <c r="P579" s="3490" t="str">
        <f>可抵押车位明细清单!L558</f>
        <v>-1层</v>
      </c>
      <c r="Q579" s="621">
        <f t="shared" si="93"/>
        <v>1</v>
      </c>
      <c r="R579" s="681">
        <f t="shared" ca="1" si="94"/>
        <v>11.901899999999999</v>
      </c>
      <c r="S579" s="620">
        <f t="shared" ca="1" si="85"/>
        <v>0</v>
      </c>
    </row>
    <row r="580" spans="1:19">
      <c r="A580" s="628" t="str">
        <f>可抵押车位明细清单!D559</f>
        <v>3#地库117</v>
      </c>
      <c r="B580" s="629">
        <f>可抵押车位明细清单!H559</f>
        <v>37.950000000000003</v>
      </c>
      <c r="C580" s="621">
        <f t="shared" si="86"/>
        <v>1</v>
      </c>
      <c r="D580" s="630"/>
      <c r="E580" s="621">
        <f t="shared" si="87"/>
        <v>1</v>
      </c>
      <c r="F580" s="630"/>
      <c r="G580" s="621">
        <f t="shared" si="88"/>
        <v>1</v>
      </c>
      <c r="H580" s="630"/>
      <c r="I580" s="621">
        <f t="shared" si="89"/>
        <v>1</v>
      </c>
      <c r="J580" s="630"/>
      <c r="K580" s="621">
        <f t="shared" si="90"/>
        <v>1</v>
      </c>
      <c r="L580" s="630" t="str">
        <f>可抵押车位明细清单!K559</f>
        <v>标准车位</v>
      </c>
      <c r="M580" s="621">
        <f t="shared" si="91"/>
        <v>1</v>
      </c>
      <c r="N580" s="630"/>
      <c r="O580" s="621">
        <f t="shared" si="92"/>
        <v>1</v>
      </c>
      <c r="P580" s="3490" t="str">
        <f>可抵押车位明细清单!L559</f>
        <v>-1层</v>
      </c>
      <c r="Q580" s="621">
        <f t="shared" si="93"/>
        <v>1</v>
      </c>
      <c r="R580" s="681">
        <f t="shared" ca="1" si="94"/>
        <v>11.901899999999999</v>
      </c>
      <c r="S580" s="620">
        <f t="shared" ca="1" si="85"/>
        <v>0</v>
      </c>
    </row>
    <row r="581" spans="1:19">
      <c r="A581" s="628" t="str">
        <f>可抵押车位明细清单!D560</f>
        <v>3#地库118</v>
      </c>
      <c r="B581" s="629">
        <f>可抵押车位明细清单!H560</f>
        <v>39.58</v>
      </c>
      <c r="C581" s="621">
        <f t="shared" si="86"/>
        <v>1</v>
      </c>
      <c r="D581" s="630"/>
      <c r="E581" s="621">
        <f t="shared" si="87"/>
        <v>1</v>
      </c>
      <c r="F581" s="630"/>
      <c r="G581" s="621">
        <f t="shared" si="88"/>
        <v>1</v>
      </c>
      <c r="H581" s="630"/>
      <c r="I581" s="621">
        <f t="shared" si="89"/>
        <v>1</v>
      </c>
      <c r="J581" s="630"/>
      <c r="K581" s="621">
        <f t="shared" si="90"/>
        <v>1</v>
      </c>
      <c r="L581" s="630" t="str">
        <f>可抵押车位明细清单!K560</f>
        <v>标准车位</v>
      </c>
      <c r="M581" s="621">
        <f t="shared" si="91"/>
        <v>1</v>
      </c>
      <c r="N581" s="630"/>
      <c r="O581" s="621">
        <f t="shared" si="92"/>
        <v>1</v>
      </c>
      <c r="P581" s="3490" t="str">
        <f>可抵押车位明细清单!L560</f>
        <v>-1层</v>
      </c>
      <c r="Q581" s="621">
        <f t="shared" si="93"/>
        <v>1</v>
      </c>
      <c r="R581" s="681">
        <f t="shared" ca="1" si="94"/>
        <v>11.901899999999999</v>
      </c>
      <c r="S581" s="620">
        <f t="shared" ca="1" si="85"/>
        <v>0</v>
      </c>
    </row>
    <row r="582" spans="1:19">
      <c r="A582" s="628" t="str">
        <f>可抵押车位明细清单!D561</f>
        <v>3#地库119</v>
      </c>
      <c r="B582" s="629">
        <f>可抵押车位明细清单!H561</f>
        <v>37.950000000000003</v>
      </c>
      <c r="C582" s="621">
        <f t="shared" si="86"/>
        <v>1</v>
      </c>
      <c r="D582" s="630"/>
      <c r="E582" s="621">
        <f t="shared" si="87"/>
        <v>1</v>
      </c>
      <c r="F582" s="630"/>
      <c r="G582" s="621">
        <f t="shared" si="88"/>
        <v>1</v>
      </c>
      <c r="H582" s="630"/>
      <c r="I582" s="621">
        <f t="shared" si="89"/>
        <v>1</v>
      </c>
      <c r="J582" s="630"/>
      <c r="K582" s="621">
        <f t="shared" si="90"/>
        <v>1</v>
      </c>
      <c r="L582" s="630" t="str">
        <f>可抵押车位明细清单!K561</f>
        <v>标准车位</v>
      </c>
      <c r="M582" s="621">
        <f t="shared" si="91"/>
        <v>1</v>
      </c>
      <c r="N582" s="630"/>
      <c r="O582" s="621">
        <f t="shared" si="92"/>
        <v>1</v>
      </c>
      <c r="P582" s="3490" t="str">
        <f>可抵押车位明细清单!L561</f>
        <v>-1层</v>
      </c>
      <c r="Q582" s="621">
        <f t="shared" si="93"/>
        <v>1</v>
      </c>
      <c r="R582" s="681">
        <f t="shared" ca="1" si="94"/>
        <v>11.901899999999999</v>
      </c>
      <c r="S582" s="620">
        <f t="shared" ca="1" si="85"/>
        <v>0</v>
      </c>
    </row>
    <row r="583" spans="1:19">
      <c r="A583" s="628" t="str">
        <f>可抵押车位明细清单!D562</f>
        <v>3#地库120</v>
      </c>
      <c r="B583" s="629">
        <f>可抵押车位明细清单!H562</f>
        <v>38.770000000000003</v>
      </c>
      <c r="C583" s="621">
        <f t="shared" si="86"/>
        <v>1</v>
      </c>
      <c r="D583" s="630"/>
      <c r="E583" s="621">
        <f t="shared" si="87"/>
        <v>1</v>
      </c>
      <c r="F583" s="630"/>
      <c r="G583" s="621">
        <f t="shared" si="88"/>
        <v>1</v>
      </c>
      <c r="H583" s="630"/>
      <c r="I583" s="621">
        <f t="shared" si="89"/>
        <v>1</v>
      </c>
      <c r="J583" s="630"/>
      <c r="K583" s="621">
        <f t="shared" si="90"/>
        <v>1</v>
      </c>
      <c r="L583" s="630" t="str">
        <f>可抵押车位明细清单!K562</f>
        <v>标准车位</v>
      </c>
      <c r="M583" s="621">
        <f t="shared" si="91"/>
        <v>1</v>
      </c>
      <c r="N583" s="630"/>
      <c r="O583" s="621">
        <f t="shared" si="92"/>
        <v>1</v>
      </c>
      <c r="P583" s="3490" t="str">
        <f>可抵押车位明细清单!L562</f>
        <v>-1层</v>
      </c>
      <c r="Q583" s="621">
        <f t="shared" si="93"/>
        <v>1</v>
      </c>
      <c r="R583" s="681">
        <f t="shared" ca="1" si="94"/>
        <v>11.901899999999999</v>
      </c>
      <c r="S583" s="620">
        <f t="shared" ca="1" si="85"/>
        <v>0</v>
      </c>
    </row>
    <row r="584" spans="1:19">
      <c r="A584" s="628" t="str">
        <f>可抵押车位明细清单!D563</f>
        <v>3#地库121</v>
      </c>
      <c r="B584" s="629">
        <f>可抵押车位明细清单!H563</f>
        <v>38.770000000000003</v>
      </c>
      <c r="C584" s="621">
        <f t="shared" si="86"/>
        <v>1</v>
      </c>
      <c r="D584" s="630"/>
      <c r="E584" s="621">
        <f t="shared" si="87"/>
        <v>1</v>
      </c>
      <c r="F584" s="630"/>
      <c r="G584" s="621">
        <f t="shared" si="88"/>
        <v>1</v>
      </c>
      <c r="H584" s="630"/>
      <c r="I584" s="621">
        <f t="shared" si="89"/>
        <v>1</v>
      </c>
      <c r="J584" s="630"/>
      <c r="K584" s="621">
        <f t="shared" si="90"/>
        <v>1</v>
      </c>
      <c r="L584" s="630" t="str">
        <f>可抵押车位明细清单!K563</f>
        <v>标准车位</v>
      </c>
      <c r="M584" s="621">
        <f t="shared" si="91"/>
        <v>1</v>
      </c>
      <c r="N584" s="630"/>
      <c r="O584" s="621">
        <f t="shared" si="92"/>
        <v>1</v>
      </c>
      <c r="P584" s="3490" t="str">
        <f>可抵押车位明细清单!L563</f>
        <v>-1层</v>
      </c>
      <c r="Q584" s="621">
        <f t="shared" si="93"/>
        <v>1</v>
      </c>
      <c r="R584" s="681">
        <f t="shared" ca="1" si="94"/>
        <v>11.901899999999999</v>
      </c>
      <c r="S584" s="620">
        <f t="shared" ca="1" si="85"/>
        <v>0</v>
      </c>
    </row>
    <row r="585" spans="1:19">
      <c r="A585" s="628" t="str">
        <f>可抵押车位明细清单!D564</f>
        <v>3#地库122</v>
      </c>
      <c r="B585" s="629">
        <f>可抵押车位明细清单!H564</f>
        <v>38.770000000000003</v>
      </c>
      <c r="C585" s="621">
        <f t="shared" si="86"/>
        <v>1</v>
      </c>
      <c r="D585" s="630"/>
      <c r="E585" s="621">
        <f t="shared" si="87"/>
        <v>1</v>
      </c>
      <c r="F585" s="630"/>
      <c r="G585" s="621">
        <f t="shared" si="88"/>
        <v>1</v>
      </c>
      <c r="H585" s="630"/>
      <c r="I585" s="621">
        <f t="shared" si="89"/>
        <v>1</v>
      </c>
      <c r="J585" s="630"/>
      <c r="K585" s="621">
        <f t="shared" si="90"/>
        <v>1</v>
      </c>
      <c r="L585" s="630" t="str">
        <f>可抵押车位明细清单!K564</f>
        <v>标准车位</v>
      </c>
      <c r="M585" s="621">
        <f t="shared" si="91"/>
        <v>1</v>
      </c>
      <c r="N585" s="630"/>
      <c r="O585" s="621">
        <f t="shared" si="92"/>
        <v>1</v>
      </c>
      <c r="P585" s="3490" t="str">
        <f>可抵押车位明细清单!L564</f>
        <v>-1层</v>
      </c>
      <c r="Q585" s="621">
        <f t="shared" si="93"/>
        <v>1</v>
      </c>
      <c r="R585" s="681">
        <f t="shared" ca="1" si="94"/>
        <v>11.901899999999999</v>
      </c>
      <c r="S585" s="620">
        <f t="shared" ca="1" si="85"/>
        <v>0</v>
      </c>
    </row>
    <row r="586" spans="1:19">
      <c r="A586" s="628" t="str">
        <f>可抵押车位明细清单!D565</f>
        <v>3#地库123</v>
      </c>
      <c r="B586" s="629">
        <f>可抵押车位明细清单!H565</f>
        <v>38.770000000000003</v>
      </c>
      <c r="C586" s="621">
        <f t="shared" si="86"/>
        <v>1</v>
      </c>
      <c r="D586" s="630"/>
      <c r="E586" s="621">
        <f t="shared" si="87"/>
        <v>1</v>
      </c>
      <c r="F586" s="630"/>
      <c r="G586" s="621">
        <f t="shared" si="88"/>
        <v>1</v>
      </c>
      <c r="H586" s="630"/>
      <c r="I586" s="621">
        <f t="shared" si="89"/>
        <v>1</v>
      </c>
      <c r="J586" s="630"/>
      <c r="K586" s="621">
        <f t="shared" si="90"/>
        <v>1</v>
      </c>
      <c r="L586" s="630" t="str">
        <f>可抵押车位明细清单!K565</f>
        <v>标准车位</v>
      </c>
      <c r="M586" s="621">
        <f t="shared" si="91"/>
        <v>1</v>
      </c>
      <c r="N586" s="630"/>
      <c r="O586" s="621">
        <f t="shared" si="92"/>
        <v>1</v>
      </c>
      <c r="P586" s="3490" t="str">
        <f>可抵押车位明细清单!L565</f>
        <v>-1层</v>
      </c>
      <c r="Q586" s="621">
        <f t="shared" si="93"/>
        <v>1</v>
      </c>
      <c r="R586" s="681">
        <f t="shared" ca="1" si="94"/>
        <v>11.901899999999999</v>
      </c>
      <c r="S586" s="620">
        <f t="shared" ca="1" si="85"/>
        <v>0</v>
      </c>
    </row>
    <row r="587" spans="1:19">
      <c r="A587" s="628" t="str">
        <f>可抵押车位明细清单!D566</f>
        <v>3#地库124</v>
      </c>
      <c r="B587" s="629">
        <f>可抵押车位明细清单!H566</f>
        <v>38.770000000000003</v>
      </c>
      <c r="C587" s="621">
        <f t="shared" si="86"/>
        <v>1</v>
      </c>
      <c r="D587" s="630"/>
      <c r="E587" s="621">
        <f t="shared" si="87"/>
        <v>1</v>
      </c>
      <c r="F587" s="630"/>
      <c r="G587" s="621">
        <f t="shared" si="88"/>
        <v>1</v>
      </c>
      <c r="H587" s="630"/>
      <c r="I587" s="621">
        <f t="shared" si="89"/>
        <v>1</v>
      </c>
      <c r="J587" s="630"/>
      <c r="K587" s="621">
        <f t="shared" si="90"/>
        <v>1</v>
      </c>
      <c r="L587" s="630" t="str">
        <f>可抵押车位明细清单!K566</f>
        <v>标准车位</v>
      </c>
      <c r="M587" s="621">
        <f t="shared" si="91"/>
        <v>1</v>
      </c>
      <c r="N587" s="630"/>
      <c r="O587" s="621">
        <f t="shared" si="92"/>
        <v>1</v>
      </c>
      <c r="P587" s="3490" t="str">
        <f>可抵押车位明细清单!L566</f>
        <v>-1层</v>
      </c>
      <c r="Q587" s="621">
        <f t="shared" si="93"/>
        <v>1</v>
      </c>
      <c r="R587" s="681">
        <f t="shared" ca="1" si="94"/>
        <v>11.901899999999999</v>
      </c>
      <c r="S587" s="620">
        <f t="shared" ca="1" si="85"/>
        <v>0</v>
      </c>
    </row>
    <row r="588" spans="1:19">
      <c r="A588" s="628" t="str">
        <f>可抵押车位明细清单!D567</f>
        <v>3#地库125</v>
      </c>
      <c r="B588" s="629">
        <f>可抵押车位明细清单!H567</f>
        <v>38.39</v>
      </c>
      <c r="C588" s="621">
        <f t="shared" si="86"/>
        <v>1</v>
      </c>
      <c r="D588" s="630"/>
      <c r="E588" s="621">
        <f t="shared" si="87"/>
        <v>1</v>
      </c>
      <c r="F588" s="630"/>
      <c r="G588" s="621">
        <f t="shared" si="88"/>
        <v>1</v>
      </c>
      <c r="H588" s="630"/>
      <c r="I588" s="621">
        <f t="shared" si="89"/>
        <v>1</v>
      </c>
      <c r="J588" s="630"/>
      <c r="K588" s="621">
        <f t="shared" si="90"/>
        <v>1</v>
      </c>
      <c r="L588" s="630" t="str">
        <f>可抵押车位明细清单!K567</f>
        <v>标准车位</v>
      </c>
      <c r="M588" s="621">
        <f t="shared" si="91"/>
        <v>1</v>
      </c>
      <c r="N588" s="630"/>
      <c r="O588" s="621">
        <f t="shared" si="92"/>
        <v>1</v>
      </c>
      <c r="P588" s="3490" t="str">
        <f>可抵押车位明细清单!L567</f>
        <v>-1层</v>
      </c>
      <c r="Q588" s="621">
        <f t="shared" si="93"/>
        <v>1</v>
      </c>
      <c r="R588" s="681">
        <f t="shared" ca="1" si="94"/>
        <v>11.901899999999999</v>
      </c>
      <c r="S588" s="620">
        <f t="shared" ca="1" si="85"/>
        <v>0</v>
      </c>
    </row>
    <row r="589" spans="1:19">
      <c r="A589" s="628" t="str">
        <f>可抵押车位明细清单!D568</f>
        <v>3#地库126</v>
      </c>
      <c r="B589" s="629">
        <f>可抵押车位明细清单!H568</f>
        <v>38.39</v>
      </c>
      <c r="C589" s="621">
        <f t="shared" si="86"/>
        <v>1</v>
      </c>
      <c r="D589" s="630"/>
      <c r="E589" s="621">
        <f t="shared" si="87"/>
        <v>1</v>
      </c>
      <c r="F589" s="630"/>
      <c r="G589" s="621">
        <f t="shared" si="88"/>
        <v>1</v>
      </c>
      <c r="H589" s="630"/>
      <c r="I589" s="621">
        <f t="shared" si="89"/>
        <v>1</v>
      </c>
      <c r="J589" s="630"/>
      <c r="K589" s="621">
        <f t="shared" si="90"/>
        <v>1</v>
      </c>
      <c r="L589" s="630" t="str">
        <f>可抵押车位明细清单!K568</f>
        <v>标准车位</v>
      </c>
      <c r="M589" s="621">
        <f t="shared" si="91"/>
        <v>1</v>
      </c>
      <c r="N589" s="630"/>
      <c r="O589" s="621">
        <f t="shared" si="92"/>
        <v>1</v>
      </c>
      <c r="P589" s="3490" t="str">
        <f>可抵押车位明细清单!L568</f>
        <v>-1层</v>
      </c>
      <c r="Q589" s="621">
        <f t="shared" si="93"/>
        <v>1</v>
      </c>
      <c r="R589" s="681">
        <f t="shared" ca="1" si="94"/>
        <v>11.901899999999999</v>
      </c>
      <c r="S589" s="620">
        <f t="shared" ca="1" si="85"/>
        <v>0</v>
      </c>
    </row>
    <row r="590" spans="1:19">
      <c r="A590" s="628" t="str">
        <f>可抵押车位明细清单!D569</f>
        <v>3#地库127</v>
      </c>
      <c r="B590" s="629">
        <f>可抵押车位明细清单!H569</f>
        <v>38.39</v>
      </c>
      <c r="C590" s="621">
        <f t="shared" si="86"/>
        <v>1</v>
      </c>
      <c r="D590" s="630"/>
      <c r="E590" s="621">
        <f t="shared" si="87"/>
        <v>1</v>
      </c>
      <c r="F590" s="630"/>
      <c r="G590" s="621">
        <f t="shared" si="88"/>
        <v>1</v>
      </c>
      <c r="H590" s="630"/>
      <c r="I590" s="621">
        <f t="shared" si="89"/>
        <v>1</v>
      </c>
      <c r="J590" s="630"/>
      <c r="K590" s="621">
        <f t="shared" si="90"/>
        <v>1</v>
      </c>
      <c r="L590" s="630" t="str">
        <f>可抵押车位明细清单!K569</f>
        <v>标准车位</v>
      </c>
      <c r="M590" s="621">
        <f t="shared" si="91"/>
        <v>1</v>
      </c>
      <c r="N590" s="630"/>
      <c r="O590" s="621">
        <f t="shared" si="92"/>
        <v>1</v>
      </c>
      <c r="P590" s="3490" t="str">
        <f>可抵押车位明细清单!L569</f>
        <v>-1层</v>
      </c>
      <c r="Q590" s="621">
        <f t="shared" si="93"/>
        <v>1</v>
      </c>
      <c r="R590" s="681">
        <f t="shared" ca="1" si="94"/>
        <v>11.901899999999999</v>
      </c>
      <c r="S590" s="620">
        <f t="shared" ca="1" si="85"/>
        <v>0</v>
      </c>
    </row>
    <row r="591" spans="1:19">
      <c r="A591" s="628" t="str">
        <f>可抵押车位明细清单!D570</f>
        <v>3#地库128</v>
      </c>
      <c r="B591" s="629">
        <f>可抵押车位明细清单!H570</f>
        <v>37.17</v>
      </c>
      <c r="C591" s="621">
        <f t="shared" si="86"/>
        <v>1</v>
      </c>
      <c r="D591" s="630"/>
      <c r="E591" s="621">
        <f t="shared" si="87"/>
        <v>1</v>
      </c>
      <c r="F591" s="630"/>
      <c r="G591" s="621">
        <f t="shared" si="88"/>
        <v>1</v>
      </c>
      <c r="H591" s="630"/>
      <c r="I591" s="621">
        <f t="shared" si="89"/>
        <v>1</v>
      </c>
      <c r="J591" s="630"/>
      <c r="K591" s="621">
        <f t="shared" si="90"/>
        <v>1</v>
      </c>
      <c r="L591" s="630" t="str">
        <f>可抵押车位明细清单!K570</f>
        <v>标准车位</v>
      </c>
      <c r="M591" s="621">
        <f t="shared" si="91"/>
        <v>1</v>
      </c>
      <c r="N591" s="630"/>
      <c r="O591" s="621">
        <f t="shared" si="92"/>
        <v>1</v>
      </c>
      <c r="P591" s="3490" t="str">
        <f>可抵押车位明细清单!L570</f>
        <v>-1层</v>
      </c>
      <c r="Q591" s="621">
        <f t="shared" si="93"/>
        <v>1</v>
      </c>
      <c r="R591" s="681">
        <f t="shared" ca="1" si="94"/>
        <v>11.901899999999999</v>
      </c>
      <c r="S591" s="620">
        <f t="shared" ca="1" si="85"/>
        <v>0</v>
      </c>
    </row>
    <row r="592" spans="1:19">
      <c r="A592" s="628" t="str">
        <f>可抵押车位明细清单!D571</f>
        <v>3#地库129</v>
      </c>
      <c r="B592" s="629">
        <f>可抵押车位明细清单!H571</f>
        <v>37.17</v>
      </c>
      <c r="C592" s="621">
        <f t="shared" si="86"/>
        <v>1</v>
      </c>
      <c r="D592" s="630"/>
      <c r="E592" s="621">
        <f t="shared" si="87"/>
        <v>1</v>
      </c>
      <c r="F592" s="630"/>
      <c r="G592" s="621">
        <f t="shared" si="88"/>
        <v>1</v>
      </c>
      <c r="H592" s="630"/>
      <c r="I592" s="621">
        <f t="shared" si="89"/>
        <v>1</v>
      </c>
      <c r="J592" s="630"/>
      <c r="K592" s="621">
        <f t="shared" si="90"/>
        <v>1</v>
      </c>
      <c r="L592" s="630" t="str">
        <f>可抵押车位明细清单!K571</f>
        <v>标准车位</v>
      </c>
      <c r="M592" s="621">
        <f t="shared" si="91"/>
        <v>1</v>
      </c>
      <c r="N592" s="630"/>
      <c r="O592" s="621">
        <f t="shared" si="92"/>
        <v>1</v>
      </c>
      <c r="P592" s="3490" t="str">
        <f>可抵押车位明细清单!L571</f>
        <v>-1层</v>
      </c>
      <c r="Q592" s="621">
        <f t="shared" si="93"/>
        <v>1</v>
      </c>
      <c r="R592" s="681">
        <f t="shared" ca="1" si="94"/>
        <v>11.901899999999999</v>
      </c>
      <c r="S592" s="620">
        <f t="shared" ca="1" si="85"/>
        <v>0</v>
      </c>
    </row>
    <row r="593" spans="1:19">
      <c r="A593" s="628" t="str">
        <f>可抵押车位明细清单!D572</f>
        <v>3#地库130</v>
      </c>
      <c r="B593" s="629">
        <f>可抵押车位明细清单!H572</f>
        <v>74.709999999999994</v>
      </c>
      <c r="C593" s="621">
        <f t="shared" si="86"/>
        <v>1</v>
      </c>
      <c r="D593" s="630"/>
      <c r="E593" s="621">
        <f t="shared" si="87"/>
        <v>1</v>
      </c>
      <c r="F593" s="630"/>
      <c r="G593" s="621">
        <f t="shared" si="88"/>
        <v>1</v>
      </c>
      <c r="H593" s="630"/>
      <c r="I593" s="621">
        <f t="shared" si="89"/>
        <v>1</v>
      </c>
      <c r="J593" s="630"/>
      <c r="K593" s="621">
        <f t="shared" si="90"/>
        <v>1</v>
      </c>
      <c r="L593" s="630" t="str">
        <f>可抵押车位明细清单!K572</f>
        <v>子母车位</v>
      </c>
      <c r="M593" s="621">
        <f t="shared" si="91"/>
        <v>1.5</v>
      </c>
      <c r="N593" s="630"/>
      <c r="O593" s="621">
        <f t="shared" si="92"/>
        <v>1</v>
      </c>
      <c r="P593" s="3490" t="str">
        <f>可抵押车位明细清单!L572</f>
        <v>-1层</v>
      </c>
      <c r="Q593" s="621">
        <f t="shared" si="93"/>
        <v>1</v>
      </c>
      <c r="R593" s="681">
        <f t="shared" ca="1" si="94"/>
        <v>17.852900000000002</v>
      </c>
      <c r="S593" s="620">
        <f t="shared" ca="1" si="85"/>
        <v>0</v>
      </c>
    </row>
    <row r="594" spans="1:19">
      <c r="A594" s="628" t="str">
        <f>可抵押车位明细清单!D573</f>
        <v>3#地库131</v>
      </c>
      <c r="B594" s="629">
        <f>可抵押车位明细清单!H573</f>
        <v>72.31</v>
      </c>
      <c r="C594" s="621">
        <f t="shared" si="86"/>
        <v>1</v>
      </c>
      <c r="D594" s="630"/>
      <c r="E594" s="621">
        <f t="shared" si="87"/>
        <v>1</v>
      </c>
      <c r="F594" s="630"/>
      <c r="G594" s="621">
        <f t="shared" si="88"/>
        <v>1</v>
      </c>
      <c r="H594" s="630"/>
      <c r="I594" s="621">
        <f t="shared" si="89"/>
        <v>1</v>
      </c>
      <c r="J594" s="630"/>
      <c r="K594" s="621">
        <f t="shared" si="90"/>
        <v>1</v>
      </c>
      <c r="L594" s="630" t="str">
        <f>可抵押车位明细清单!K573</f>
        <v>子母车位</v>
      </c>
      <c r="M594" s="621">
        <f t="shared" si="91"/>
        <v>1.5</v>
      </c>
      <c r="N594" s="630"/>
      <c r="O594" s="621">
        <f t="shared" si="92"/>
        <v>1</v>
      </c>
      <c r="P594" s="3490" t="str">
        <f>可抵押车位明细清单!L573</f>
        <v>-1层</v>
      </c>
      <c r="Q594" s="621">
        <f t="shared" si="93"/>
        <v>1</v>
      </c>
      <c r="R594" s="681">
        <f t="shared" ca="1" si="94"/>
        <v>17.852900000000002</v>
      </c>
      <c r="S594" s="620">
        <f t="shared" ca="1" si="85"/>
        <v>0</v>
      </c>
    </row>
    <row r="595" spans="1:19">
      <c r="A595" s="628" t="str">
        <f>可抵押车位明细清单!D574</f>
        <v>3#地库132</v>
      </c>
      <c r="B595" s="629">
        <f>可抵押车位明细清单!H574</f>
        <v>37.950000000000003</v>
      </c>
      <c r="C595" s="621">
        <f t="shared" si="86"/>
        <v>1</v>
      </c>
      <c r="D595" s="630"/>
      <c r="E595" s="621">
        <f t="shared" si="87"/>
        <v>1</v>
      </c>
      <c r="F595" s="630"/>
      <c r="G595" s="621">
        <f t="shared" si="88"/>
        <v>1</v>
      </c>
      <c r="H595" s="630"/>
      <c r="I595" s="621">
        <f t="shared" si="89"/>
        <v>1</v>
      </c>
      <c r="J595" s="630"/>
      <c r="K595" s="621">
        <f t="shared" si="90"/>
        <v>1</v>
      </c>
      <c r="L595" s="630" t="str">
        <f>可抵押车位明细清单!K574</f>
        <v>标准车位</v>
      </c>
      <c r="M595" s="621">
        <f t="shared" si="91"/>
        <v>1</v>
      </c>
      <c r="N595" s="630"/>
      <c r="O595" s="621">
        <f t="shared" si="92"/>
        <v>1</v>
      </c>
      <c r="P595" s="3490" t="str">
        <f>可抵押车位明细清单!L574</f>
        <v>-1层</v>
      </c>
      <c r="Q595" s="621">
        <f t="shared" si="93"/>
        <v>1</v>
      </c>
      <c r="R595" s="681">
        <f t="shared" ca="1" si="94"/>
        <v>11.901899999999999</v>
      </c>
      <c r="S595" s="620">
        <f t="shared" ca="1" si="85"/>
        <v>0</v>
      </c>
    </row>
    <row r="596" spans="1:19">
      <c r="A596" s="628" t="str">
        <f>可抵押车位明细清单!D575</f>
        <v>3#地库133</v>
      </c>
      <c r="B596" s="629">
        <f>可抵押车位明细清单!H575</f>
        <v>37.950000000000003</v>
      </c>
      <c r="C596" s="621">
        <f t="shared" si="86"/>
        <v>1</v>
      </c>
      <c r="D596" s="630"/>
      <c r="E596" s="621">
        <f t="shared" si="87"/>
        <v>1</v>
      </c>
      <c r="F596" s="630"/>
      <c r="G596" s="621">
        <f t="shared" si="88"/>
        <v>1</v>
      </c>
      <c r="H596" s="630"/>
      <c r="I596" s="621">
        <f t="shared" si="89"/>
        <v>1</v>
      </c>
      <c r="J596" s="630"/>
      <c r="K596" s="621">
        <f t="shared" si="90"/>
        <v>1</v>
      </c>
      <c r="L596" s="630" t="str">
        <f>可抵押车位明细清单!K575</f>
        <v>标准车位</v>
      </c>
      <c r="M596" s="621">
        <f t="shared" si="91"/>
        <v>1</v>
      </c>
      <c r="N596" s="630"/>
      <c r="O596" s="621">
        <f t="shared" si="92"/>
        <v>1</v>
      </c>
      <c r="P596" s="3490" t="str">
        <f>可抵押车位明细清单!L575</f>
        <v>-1层</v>
      </c>
      <c r="Q596" s="621">
        <f t="shared" si="93"/>
        <v>1</v>
      </c>
      <c r="R596" s="681">
        <f t="shared" ca="1" si="94"/>
        <v>11.901899999999999</v>
      </c>
      <c r="S596" s="620">
        <f t="shared" ca="1" si="85"/>
        <v>0</v>
      </c>
    </row>
    <row r="597" spans="1:19">
      <c r="A597" s="628" t="str">
        <f>可抵押车位明细清单!D576</f>
        <v>3#地库134</v>
      </c>
      <c r="B597" s="629">
        <f>可抵押车位明细清单!H576</f>
        <v>37.17</v>
      </c>
      <c r="C597" s="621">
        <f t="shared" si="86"/>
        <v>1</v>
      </c>
      <c r="D597" s="630"/>
      <c r="E597" s="621">
        <f t="shared" si="87"/>
        <v>1</v>
      </c>
      <c r="F597" s="630"/>
      <c r="G597" s="621">
        <f t="shared" si="88"/>
        <v>1</v>
      </c>
      <c r="H597" s="630"/>
      <c r="I597" s="621">
        <f t="shared" si="89"/>
        <v>1</v>
      </c>
      <c r="J597" s="630"/>
      <c r="K597" s="621">
        <f t="shared" si="90"/>
        <v>1</v>
      </c>
      <c r="L597" s="630" t="str">
        <f>可抵押车位明细清单!K576</f>
        <v>标准车位</v>
      </c>
      <c r="M597" s="621">
        <f t="shared" si="91"/>
        <v>1</v>
      </c>
      <c r="N597" s="630"/>
      <c r="O597" s="621">
        <f t="shared" si="92"/>
        <v>1</v>
      </c>
      <c r="P597" s="3490" t="str">
        <f>可抵押车位明细清单!L576</f>
        <v>-1层</v>
      </c>
      <c r="Q597" s="621">
        <f t="shared" si="93"/>
        <v>1</v>
      </c>
      <c r="R597" s="681">
        <f t="shared" ca="1" si="94"/>
        <v>11.901899999999999</v>
      </c>
      <c r="S597" s="620">
        <f t="shared" ca="1" si="85"/>
        <v>0</v>
      </c>
    </row>
    <row r="598" spans="1:19">
      <c r="A598" s="628" t="str">
        <f>可抵押车位明细清单!D577</f>
        <v>3#地库135</v>
      </c>
      <c r="B598" s="629">
        <f>可抵押车位明细清单!H577</f>
        <v>38.770000000000003</v>
      </c>
      <c r="C598" s="621">
        <f t="shared" si="86"/>
        <v>1</v>
      </c>
      <c r="D598" s="630"/>
      <c r="E598" s="621">
        <f t="shared" si="87"/>
        <v>1</v>
      </c>
      <c r="F598" s="630"/>
      <c r="G598" s="621">
        <f t="shared" si="88"/>
        <v>1</v>
      </c>
      <c r="H598" s="630"/>
      <c r="I598" s="621">
        <f t="shared" si="89"/>
        <v>1</v>
      </c>
      <c r="J598" s="630"/>
      <c r="K598" s="621">
        <f t="shared" si="90"/>
        <v>1</v>
      </c>
      <c r="L598" s="630" t="str">
        <f>可抵押车位明细清单!K577</f>
        <v>标准车位</v>
      </c>
      <c r="M598" s="621">
        <f t="shared" si="91"/>
        <v>1</v>
      </c>
      <c r="N598" s="630"/>
      <c r="O598" s="621">
        <f t="shared" si="92"/>
        <v>1</v>
      </c>
      <c r="P598" s="3490" t="str">
        <f>可抵押车位明细清单!L577</f>
        <v>-1层</v>
      </c>
      <c r="Q598" s="621">
        <f t="shared" si="93"/>
        <v>1</v>
      </c>
      <c r="R598" s="681">
        <f t="shared" ca="1" si="94"/>
        <v>11.901899999999999</v>
      </c>
      <c r="S598" s="620">
        <f t="shared" ca="1" si="85"/>
        <v>0</v>
      </c>
    </row>
    <row r="599" spans="1:19">
      <c r="A599" s="628" t="str">
        <f>可抵押车位明细清单!D578</f>
        <v>3#地库136</v>
      </c>
      <c r="B599" s="629">
        <f>可抵押车位明细清单!H578</f>
        <v>38.770000000000003</v>
      </c>
      <c r="C599" s="621">
        <f t="shared" si="86"/>
        <v>1</v>
      </c>
      <c r="D599" s="630"/>
      <c r="E599" s="621">
        <f t="shared" si="87"/>
        <v>1</v>
      </c>
      <c r="F599" s="630"/>
      <c r="G599" s="621">
        <f t="shared" si="88"/>
        <v>1</v>
      </c>
      <c r="H599" s="630"/>
      <c r="I599" s="621">
        <f t="shared" si="89"/>
        <v>1</v>
      </c>
      <c r="J599" s="630"/>
      <c r="K599" s="621">
        <f t="shared" si="90"/>
        <v>1</v>
      </c>
      <c r="L599" s="630" t="str">
        <f>可抵押车位明细清单!K578</f>
        <v>标准车位</v>
      </c>
      <c r="M599" s="621">
        <f t="shared" si="91"/>
        <v>1</v>
      </c>
      <c r="N599" s="630"/>
      <c r="O599" s="621">
        <f t="shared" si="92"/>
        <v>1</v>
      </c>
      <c r="P599" s="3490" t="str">
        <f>可抵押车位明细清单!L578</f>
        <v>-1层</v>
      </c>
      <c r="Q599" s="621">
        <f t="shared" si="93"/>
        <v>1</v>
      </c>
      <c r="R599" s="681">
        <f t="shared" ca="1" si="94"/>
        <v>11.901899999999999</v>
      </c>
      <c r="S599" s="620">
        <f t="shared" ca="1" si="85"/>
        <v>0</v>
      </c>
    </row>
    <row r="600" spans="1:19">
      <c r="A600" s="628" t="str">
        <f>可抵押车位明细清单!D579</f>
        <v>3#地库137</v>
      </c>
      <c r="B600" s="629">
        <f>可抵押车位明细清单!H579</f>
        <v>38.770000000000003</v>
      </c>
      <c r="C600" s="621">
        <f t="shared" si="86"/>
        <v>1</v>
      </c>
      <c r="D600" s="630"/>
      <c r="E600" s="621">
        <f t="shared" si="87"/>
        <v>1</v>
      </c>
      <c r="F600" s="630"/>
      <c r="G600" s="621">
        <f t="shared" si="88"/>
        <v>1</v>
      </c>
      <c r="H600" s="630"/>
      <c r="I600" s="621">
        <f t="shared" si="89"/>
        <v>1</v>
      </c>
      <c r="J600" s="630"/>
      <c r="K600" s="621">
        <f t="shared" si="90"/>
        <v>1</v>
      </c>
      <c r="L600" s="630" t="str">
        <f>可抵押车位明细清单!K579</f>
        <v>标准车位</v>
      </c>
      <c r="M600" s="621">
        <f t="shared" si="91"/>
        <v>1</v>
      </c>
      <c r="N600" s="630"/>
      <c r="O600" s="621">
        <f t="shared" si="92"/>
        <v>1</v>
      </c>
      <c r="P600" s="3490" t="str">
        <f>可抵押车位明细清单!L579</f>
        <v>-1层</v>
      </c>
      <c r="Q600" s="621">
        <f t="shared" si="93"/>
        <v>1</v>
      </c>
      <c r="R600" s="681">
        <f t="shared" ca="1" si="94"/>
        <v>11.901899999999999</v>
      </c>
      <c r="S600" s="620">
        <f t="shared" ref="S600:S638" ca="1" si="95">ROUND(R600*B600/10000,0)</f>
        <v>0</v>
      </c>
    </row>
    <row r="601" spans="1:19">
      <c r="A601" s="628" t="str">
        <f>可抵押车位明细清单!D580</f>
        <v>3#地库138</v>
      </c>
      <c r="B601" s="629">
        <f>可抵押车位明细清单!H580</f>
        <v>37.950000000000003</v>
      </c>
      <c r="C601" s="621">
        <f t="shared" ref="C601:C638" si="96">IF(B601="",1,(LOOKUP(B601,$3:$3,$4:$4)-LOOKUP($B$24,$3:$3,$4:$4)+100)/100)</f>
        <v>1</v>
      </c>
      <c r="D601" s="630"/>
      <c r="E601" s="621">
        <f t="shared" ref="E601:E638" si="97">(SUMIF($5:$5,D601,$6:$6)-SUMIF($5:$5,$D$24,$6:$6)+100)/100</f>
        <v>1</v>
      </c>
      <c r="F601" s="630"/>
      <c r="G601" s="621">
        <f t="shared" ref="G601:G638" si="98">(SUMIF($7:$7,F601,$8:$8)-SUMIF($7:$7,$F$24,$8:$8)+100)/100</f>
        <v>1</v>
      </c>
      <c r="H601" s="630"/>
      <c r="I601" s="621">
        <f t="shared" ref="I601:I638" si="99">(SUMIF($9:$9,H601,$10:$10)-SUMIF($9:$9,$H$24,$10:$10)+100)/100</f>
        <v>1</v>
      </c>
      <c r="J601" s="630"/>
      <c r="K601" s="621">
        <f t="shared" ref="K601:K638" si="100">(SUMIF($11:$11,J601,$12:$12)-SUMIF($11:$11,$J$24,$12:$12)+100)/100</f>
        <v>1</v>
      </c>
      <c r="L601" s="630" t="str">
        <f>可抵押车位明细清单!K580</f>
        <v>标准车位</v>
      </c>
      <c r="M601" s="621">
        <f t="shared" ref="M601:M638" si="101">(SUMIF($13:$13,L601,$14:$14)-SUMIF($13:$13,$L$24,$14:$14)+100)/100</f>
        <v>1</v>
      </c>
      <c r="N601" s="630"/>
      <c r="O601" s="621">
        <f t="shared" ref="O601:O638" si="102">(SUMIF($15:$15,N601,$16:$16)-SUMIF($15:$15,$N$24,$16:$16)+100)/100</f>
        <v>1</v>
      </c>
      <c r="P601" s="3490" t="str">
        <f>可抵押车位明细清单!L580</f>
        <v>-1层</v>
      </c>
      <c r="Q601" s="621">
        <f t="shared" ref="Q601:Q638" si="103">(SUMIF($17:$17,P601,$18:$18)-SUMIF($17:$17,$P$24,$18:$18)+100)/100</f>
        <v>1</v>
      </c>
      <c r="R601" s="681">
        <f t="shared" ref="R601:R638" ca="1" si="104">IF(B601="",0,ROUND($R$24*C601*E601*G601*I601*K601*M601*O601*Q601,4))</f>
        <v>11.901899999999999</v>
      </c>
      <c r="S601" s="620">
        <f t="shared" ca="1" si="95"/>
        <v>0</v>
      </c>
    </row>
    <row r="602" spans="1:19">
      <c r="A602" s="628" t="str">
        <f>可抵押车位明细清单!D581</f>
        <v>3#地库139</v>
      </c>
      <c r="B602" s="629">
        <f>可抵押车位明细清单!H581</f>
        <v>38.770000000000003</v>
      </c>
      <c r="C602" s="621">
        <f t="shared" si="96"/>
        <v>1</v>
      </c>
      <c r="D602" s="630"/>
      <c r="E602" s="621">
        <f t="shared" si="97"/>
        <v>1</v>
      </c>
      <c r="F602" s="630"/>
      <c r="G602" s="621">
        <f t="shared" si="98"/>
        <v>1</v>
      </c>
      <c r="H602" s="630"/>
      <c r="I602" s="621">
        <f t="shared" si="99"/>
        <v>1</v>
      </c>
      <c r="J602" s="630"/>
      <c r="K602" s="621">
        <f t="shared" si="100"/>
        <v>1</v>
      </c>
      <c r="L602" s="630" t="str">
        <f>可抵押车位明细清单!K581</f>
        <v>标准车位</v>
      </c>
      <c r="M602" s="621">
        <f t="shared" si="101"/>
        <v>1</v>
      </c>
      <c r="N602" s="630"/>
      <c r="O602" s="621">
        <f t="shared" si="102"/>
        <v>1</v>
      </c>
      <c r="P602" s="3490" t="str">
        <f>可抵押车位明细清单!L581</f>
        <v>-1层</v>
      </c>
      <c r="Q602" s="621">
        <f t="shared" si="103"/>
        <v>1</v>
      </c>
      <c r="R602" s="681">
        <f t="shared" ca="1" si="104"/>
        <v>11.901899999999999</v>
      </c>
      <c r="S602" s="620">
        <f t="shared" ca="1" si="95"/>
        <v>0</v>
      </c>
    </row>
    <row r="603" spans="1:19">
      <c r="A603" s="628" t="str">
        <f>可抵押车位明细清单!D582</f>
        <v>3#地库140</v>
      </c>
      <c r="B603" s="629">
        <f>可抵押车位明细清单!H582</f>
        <v>38.770000000000003</v>
      </c>
      <c r="C603" s="621">
        <f t="shared" si="96"/>
        <v>1</v>
      </c>
      <c r="D603" s="630"/>
      <c r="E603" s="621">
        <f t="shared" si="97"/>
        <v>1</v>
      </c>
      <c r="F603" s="630"/>
      <c r="G603" s="621">
        <f t="shared" si="98"/>
        <v>1</v>
      </c>
      <c r="H603" s="630"/>
      <c r="I603" s="621">
        <f t="shared" si="99"/>
        <v>1</v>
      </c>
      <c r="J603" s="630"/>
      <c r="K603" s="621">
        <f t="shared" si="100"/>
        <v>1</v>
      </c>
      <c r="L603" s="630" t="str">
        <f>可抵押车位明细清单!K582</f>
        <v>标准车位</v>
      </c>
      <c r="M603" s="621">
        <f t="shared" si="101"/>
        <v>1</v>
      </c>
      <c r="N603" s="630"/>
      <c r="O603" s="621">
        <f t="shared" si="102"/>
        <v>1</v>
      </c>
      <c r="P603" s="3490" t="str">
        <f>可抵押车位明细清单!L582</f>
        <v>-1层</v>
      </c>
      <c r="Q603" s="621">
        <f t="shared" si="103"/>
        <v>1</v>
      </c>
      <c r="R603" s="681">
        <f t="shared" ca="1" si="104"/>
        <v>11.901899999999999</v>
      </c>
      <c r="S603" s="620">
        <f t="shared" ca="1" si="95"/>
        <v>0</v>
      </c>
    </row>
    <row r="604" spans="1:19">
      <c r="A604" s="628" t="str">
        <f>可抵押车位明细清单!D583</f>
        <v>3#地库141</v>
      </c>
      <c r="B604" s="629">
        <f>可抵押车位明细清单!H583</f>
        <v>37.950000000000003</v>
      </c>
      <c r="C604" s="621">
        <f t="shared" si="96"/>
        <v>1</v>
      </c>
      <c r="D604" s="630"/>
      <c r="E604" s="621">
        <f t="shared" si="97"/>
        <v>1</v>
      </c>
      <c r="F604" s="630"/>
      <c r="G604" s="621">
        <f t="shared" si="98"/>
        <v>1</v>
      </c>
      <c r="H604" s="630"/>
      <c r="I604" s="621">
        <f t="shared" si="99"/>
        <v>1</v>
      </c>
      <c r="J604" s="630"/>
      <c r="K604" s="621">
        <f t="shared" si="100"/>
        <v>1</v>
      </c>
      <c r="L604" s="630" t="str">
        <f>可抵押车位明细清单!K583</f>
        <v>标准车位</v>
      </c>
      <c r="M604" s="621">
        <f t="shared" si="101"/>
        <v>1</v>
      </c>
      <c r="N604" s="630"/>
      <c r="O604" s="621">
        <f t="shared" si="102"/>
        <v>1</v>
      </c>
      <c r="P604" s="3490" t="str">
        <f>可抵押车位明细清单!L583</f>
        <v>-1层</v>
      </c>
      <c r="Q604" s="621">
        <f t="shared" si="103"/>
        <v>1</v>
      </c>
      <c r="R604" s="681">
        <f t="shared" ca="1" si="104"/>
        <v>11.901899999999999</v>
      </c>
      <c r="S604" s="620">
        <f t="shared" ca="1" si="95"/>
        <v>0</v>
      </c>
    </row>
    <row r="605" spans="1:19">
      <c r="A605" s="628" t="str">
        <f>可抵押车位明细清单!D584</f>
        <v>3#地库142</v>
      </c>
      <c r="B605" s="629">
        <f>可抵押车位明细清单!H584</f>
        <v>37.17</v>
      </c>
      <c r="C605" s="621">
        <f t="shared" si="96"/>
        <v>1</v>
      </c>
      <c r="D605" s="630"/>
      <c r="E605" s="621">
        <f t="shared" si="97"/>
        <v>1</v>
      </c>
      <c r="F605" s="630"/>
      <c r="G605" s="621">
        <f t="shared" si="98"/>
        <v>1</v>
      </c>
      <c r="H605" s="630"/>
      <c r="I605" s="621">
        <f t="shared" si="99"/>
        <v>1</v>
      </c>
      <c r="J605" s="630"/>
      <c r="K605" s="621">
        <f t="shared" si="100"/>
        <v>1</v>
      </c>
      <c r="L605" s="630" t="str">
        <f>可抵押车位明细清单!K584</f>
        <v>标准车位</v>
      </c>
      <c r="M605" s="621">
        <f t="shared" si="101"/>
        <v>1</v>
      </c>
      <c r="N605" s="630"/>
      <c r="O605" s="621">
        <f t="shared" si="102"/>
        <v>1</v>
      </c>
      <c r="P605" s="3490" t="str">
        <f>可抵押车位明细清单!L584</f>
        <v>-1层</v>
      </c>
      <c r="Q605" s="621">
        <f t="shared" si="103"/>
        <v>1</v>
      </c>
      <c r="R605" s="681">
        <f t="shared" ca="1" si="104"/>
        <v>11.901899999999999</v>
      </c>
      <c r="S605" s="620">
        <f t="shared" ca="1" si="95"/>
        <v>0</v>
      </c>
    </row>
    <row r="606" spans="1:19">
      <c r="A606" s="628" t="str">
        <f>可抵押车位明细清单!D585</f>
        <v>3#地库143</v>
      </c>
      <c r="B606" s="629">
        <f>可抵押车位明细清单!H585</f>
        <v>38.770000000000003</v>
      </c>
      <c r="C606" s="621">
        <f t="shared" si="96"/>
        <v>1</v>
      </c>
      <c r="D606" s="630"/>
      <c r="E606" s="621">
        <f t="shared" si="97"/>
        <v>1</v>
      </c>
      <c r="F606" s="630"/>
      <c r="G606" s="621">
        <f t="shared" si="98"/>
        <v>1</v>
      </c>
      <c r="H606" s="630"/>
      <c r="I606" s="621">
        <f t="shared" si="99"/>
        <v>1</v>
      </c>
      <c r="J606" s="630"/>
      <c r="K606" s="621">
        <f t="shared" si="100"/>
        <v>1</v>
      </c>
      <c r="L606" s="630" t="str">
        <f>可抵押车位明细清单!K585</f>
        <v>标准车位</v>
      </c>
      <c r="M606" s="621">
        <f t="shared" si="101"/>
        <v>1</v>
      </c>
      <c r="N606" s="630"/>
      <c r="O606" s="621">
        <f t="shared" si="102"/>
        <v>1</v>
      </c>
      <c r="P606" s="3490" t="str">
        <f>可抵押车位明细清单!L585</f>
        <v>-1层</v>
      </c>
      <c r="Q606" s="621">
        <f t="shared" si="103"/>
        <v>1</v>
      </c>
      <c r="R606" s="681">
        <f t="shared" ca="1" si="104"/>
        <v>11.901899999999999</v>
      </c>
      <c r="S606" s="620">
        <f t="shared" ca="1" si="95"/>
        <v>0</v>
      </c>
    </row>
    <row r="607" spans="1:19">
      <c r="A607" s="628" t="str">
        <f>可抵押车位明细清单!D586</f>
        <v>3#地库144</v>
      </c>
      <c r="B607" s="629">
        <f>可抵押车位明细清单!H586</f>
        <v>37.950000000000003</v>
      </c>
      <c r="C607" s="621">
        <f t="shared" si="96"/>
        <v>1</v>
      </c>
      <c r="D607" s="630"/>
      <c r="E607" s="621">
        <f t="shared" si="97"/>
        <v>1</v>
      </c>
      <c r="F607" s="630"/>
      <c r="G607" s="621">
        <f t="shared" si="98"/>
        <v>1</v>
      </c>
      <c r="H607" s="630"/>
      <c r="I607" s="621">
        <f t="shared" si="99"/>
        <v>1</v>
      </c>
      <c r="J607" s="630"/>
      <c r="K607" s="621">
        <f t="shared" si="100"/>
        <v>1</v>
      </c>
      <c r="L607" s="630" t="str">
        <f>可抵押车位明细清单!K586</f>
        <v>标准车位</v>
      </c>
      <c r="M607" s="621">
        <f t="shared" si="101"/>
        <v>1</v>
      </c>
      <c r="N607" s="630"/>
      <c r="O607" s="621">
        <f t="shared" si="102"/>
        <v>1</v>
      </c>
      <c r="P607" s="3490" t="str">
        <f>可抵押车位明细清单!L586</f>
        <v>-1层</v>
      </c>
      <c r="Q607" s="621">
        <f t="shared" si="103"/>
        <v>1</v>
      </c>
      <c r="R607" s="681">
        <f t="shared" ca="1" si="104"/>
        <v>11.901899999999999</v>
      </c>
      <c r="S607" s="620">
        <f t="shared" ca="1" si="95"/>
        <v>0</v>
      </c>
    </row>
    <row r="608" spans="1:19">
      <c r="A608" s="628" t="str">
        <f>可抵押车位明细清单!D587</f>
        <v>3#地库145</v>
      </c>
      <c r="B608" s="629">
        <f>可抵押车位明细清单!H587</f>
        <v>39.58</v>
      </c>
      <c r="C608" s="621">
        <f t="shared" si="96"/>
        <v>1</v>
      </c>
      <c r="D608" s="630"/>
      <c r="E608" s="621">
        <f t="shared" si="97"/>
        <v>1</v>
      </c>
      <c r="F608" s="630"/>
      <c r="G608" s="621">
        <f t="shared" si="98"/>
        <v>1</v>
      </c>
      <c r="H608" s="630"/>
      <c r="I608" s="621">
        <f t="shared" si="99"/>
        <v>1</v>
      </c>
      <c r="J608" s="630"/>
      <c r="K608" s="621">
        <f t="shared" si="100"/>
        <v>1</v>
      </c>
      <c r="L608" s="630" t="str">
        <f>可抵押车位明细清单!K587</f>
        <v>标准车位</v>
      </c>
      <c r="M608" s="621">
        <f t="shared" si="101"/>
        <v>1</v>
      </c>
      <c r="N608" s="630"/>
      <c r="O608" s="621">
        <f t="shared" si="102"/>
        <v>1</v>
      </c>
      <c r="P608" s="3490" t="str">
        <f>可抵押车位明细清单!L587</f>
        <v>-1层</v>
      </c>
      <c r="Q608" s="621">
        <f t="shared" si="103"/>
        <v>1</v>
      </c>
      <c r="R608" s="681">
        <f t="shared" ca="1" si="104"/>
        <v>11.901899999999999</v>
      </c>
      <c r="S608" s="620">
        <f t="shared" ca="1" si="95"/>
        <v>0</v>
      </c>
    </row>
    <row r="609" spans="1:19">
      <c r="A609" s="628" t="str">
        <f>可抵押车位明细清单!D588</f>
        <v>3#地库146</v>
      </c>
      <c r="B609" s="629">
        <f>可抵押车位明细清单!H588</f>
        <v>39.58</v>
      </c>
      <c r="C609" s="621">
        <f t="shared" si="96"/>
        <v>1</v>
      </c>
      <c r="D609" s="630"/>
      <c r="E609" s="621">
        <f t="shared" si="97"/>
        <v>1</v>
      </c>
      <c r="F609" s="630"/>
      <c r="G609" s="621">
        <f t="shared" si="98"/>
        <v>1</v>
      </c>
      <c r="H609" s="630"/>
      <c r="I609" s="621">
        <f t="shared" si="99"/>
        <v>1</v>
      </c>
      <c r="J609" s="630"/>
      <c r="K609" s="621">
        <f t="shared" si="100"/>
        <v>1</v>
      </c>
      <c r="L609" s="630" t="str">
        <f>可抵押车位明细清单!K588</f>
        <v>标准车位</v>
      </c>
      <c r="M609" s="621">
        <f t="shared" si="101"/>
        <v>1</v>
      </c>
      <c r="N609" s="630"/>
      <c r="O609" s="621">
        <f t="shared" si="102"/>
        <v>1</v>
      </c>
      <c r="P609" s="3490" t="str">
        <f>可抵押车位明细清单!L588</f>
        <v>-1层</v>
      </c>
      <c r="Q609" s="621">
        <f t="shared" si="103"/>
        <v>1</v>
      </c>
      <c r="R609" s="681">
        <f t="shared" ca="1" si="104"/>
        <v>11.901899999999999</v>
      </c>
      <c r="S609" s="620">
        <f t="shared" ca="1" si="95"/>
        <v>0</v>
      </c>
    </row>
    <row r="610" spans="1:19">
      <c r="A610" s="628" t="str">
        <f>可抵押车位明细清单!D589</f>
        <v>3#地库147</v>
      </c>
      <c r="B610" s="629">
        <f>可抵押车位明细清单!H589</f>
        <v>39.58</v>
      </c>
      <c r="C610" s="621">
        <f t="shared" si="96"/>
        <v>1</v>
      </c>
      <c r="D610" s="630"/>
      <c r="E610" s="621">
        <f t="shared" si="97"/>
        <v>1</v>
      </c>
      <c r="F610" s="630"/>
      <c r="G610" s="621">
        <f t="shared" si="98"/>
        <v>1</v>
      </c>
      <c r="H610" s="630"/>
      <c r="I610" s="621">
        <f t="shared" si="99"/>
        <v>1</v>
      </c>
      <c r="J610" s="630"/>
      <c r="K610" s="621">
        <f t="shared" si="100"/>
        <v>1</v>
      </c>
      <c r="L610" s="630" t="str">
        <f>可抵押车位明细清单!K589</f>
        <v>标准车位</v>
      </c>
      <c r="M610" s="621">
        <f t="shared" si="101"/>
        <v>1</v>
      </c>
      <c r="N610" s="630"/>
      <c r="O610" s="621">
        <f t="shared" si="102"/>
        <v>1</v>
      </c>
      <c r="P610" s="3490" t="str">
        <f>可抵押车位明细清单!L589</f>
        <v>-1层</v>
      </c>
      <c r="Q610" s="621">
        <f t="shared" si="103"/>
        <v>1</v>
      </c>
      <c r="R610" s="681">
        <f t="shared" ca="1" si="104"/>
        <v>11.901899999999999</v>
      </c>
      <c r="S610" s="620">
        <f t="shared" ca="1" si="95"/>
        <v>0</v>
      </c>
    </row>
    <row r="611" spans="1:19">
      <c r="A611" s="628" t="str">
        <f>可抵押车位明细清单!D590</f>
        <v>3#地库148</v>
      </c>
      <c r="B611" s="629">
        <f>可抵押车位明细清单!H590</f>
        <v>37.950000000000003</v>
      </c>
      <c r="C611" s="621">
        <f t="shared" si="96"/>
        <v>1</v>
      </c>
      <c r="D611" s="630"/>
      <c r="E611" s="621">
        <f t="shared" si="97"/>
        <v>1</v>
      </c>
      <c r="F611" s="630"/>
      <c r="G611" s="621">
        <f t="shared" si="98"/>
        <v>1</v>
      </c>
      <c r="H611" s="630"/>
      <c r="I611" s="621">
        <f t="shared" si="99"/>
        <v>1</v>
      </c>
      <c r="J611" s="630"/>
      <c r="K611" s="621">
        <f t="shared" si="100"/>
        <v>1</v>
      </c>
      <c r="L611" s="630" t="str">
        <f>可抵押车位明细清单!K590</f>
        <v>标准车位</v>
      </c>
      <c r="M611" s="621">
        <f t="shared" si="101"/>
        <v>1</v>
      </c>
      <c r="N611" s="630"/>
      <c r="O611" s="621">
        <f t="shared" si="102"/>
        <v>1</v>
      </c>
      <c r="P611" s="3490" t="str">
        <f>可抵押车位明细清单!L590</f>
        <v>-1层</v>
      </c>
      <c r="Q611" s="621">
        <f t="shared" si="103"/>
        <v>1</v>
      </c>
      <c r="R611" s="681">
        <f t="shared" ca="1" si="104"/>
        <v>11.901899999999999</v>
      </c>
      <c r="S611" s="620">
        <f t="shared" ca="1" si="95"/>
        <v>0</v>
      </c>
    </row>
    <row r="612" spans="1:19">
      <c r="A612" s="628" t="str">
        <f>可抵押车位明细清单!D591</f>
        <v>3#地库149</v>
      </c>
      <c r="B612" s="629">
        <f>可抵押车位明细清单!H591</f>
        <v>37.950000000000003</v>
      </c>
      <c r="C612" s="621">
        <f t="shared" si="96"/>
        <v>1</v>
      </c>
      <c r="D612" s="630"/>
      <c r="E612" s="621">
        <f t="shared" si="97"/>
        <v>1</v>
      </c>
      <c r="F612" s="630"/>
      <c r="G612" s="621">
        <f t="shared" si="98"/>
        <v>1</v>
      </c>
      <c r="H612" s="630"/>
      <c r="I612" s="621">
        <f t="shared" si="99"/>
        <v>1</v>
      </c>
      <c r="J612" s="630"/>
      <c r="K612" s="621">
        <f t="shared" si="100"/>
        <v>1</v>
      </c>
      <c r="L612" s="630" t="str">
        <f>可抵押车位明细清单!K591</f>
        <v>标准车位</v>
      </c>
      <c r="M612" s="621">
        <f t="shared" si="101"/>
        <v>1</v>
      </c>
      <c r="N612" s="630"/>
      <c r="O612" s="621">
        <f t="shared" si="102"/>
        <v>1</v>
      </c>
      <c r="P612" s="3490" t="str">
        <f>可抵押车位明细清单!L591</f>
        <v>-1层</v>
      </c>
      <c r="Q612" s="621">
        <f t="shared" si="103"/>
        <v>1</v>
      </c>
      <c r="R612" s="681">
        <f t="shared" ca="1" si="104"/>
        <v>11.901899999999999</v>
      </c>
      <c r="S612" s="620">
        <f t="shared" ca="1" si="95"/>
        <v>0</v>
      </c>
    </row>
    <row r="613" spans="1:19">
      <c r="A613" s="628" t="str">
        <f>可抵押车位明细清单!D592</f>
        <v>3#地库150</v>
      </c>
      <c r="B613" s="629">
        <f>可抵押车位明细清单!H592</f>
        <v>37.950000000000003</v>
      </c>
      <c r="C613" s="621">
        <f t="shared" si="96"/>
        <v>1</v>
      </c>
      <c r="D613" s="630"/>
      <c r="E613" s="621">
        <f t="shared" si="97"/>
        <v>1</v>
      </c>
      <c r="F613" s="630"/>
      <c r="G613" s="621">
        <f t="shared" si="98"/>
        <v>1</v>
      </c>
      <c r="H613" s="630"/>
      <c r="I613" s="621">
        <f t="shared" si="99"/>
        <v>1</v>
      </c>
      <c r="J613" s="630"/>
      <c r="K613" s="621">
        <f t="shared" si="100"/>
        <v>1</v>
      </c>
      <c r="L613" s="630" t="str">
        <f>可抵押车位明细清单!K592</f>
        <v>标准车位</v>
      </c>
      <c r="M613" s="621">
        <f t="shared" si="101"/>
        <v>1</v>
      </c>
      <c r="N613" s="630"/>
      <c r="O613" s="621">
        <f t="shared" si="102"/>
        <v>1</v>
      </c>
      <c r="P613" s="3490" t="str">
        <f>可抵押车位明细清单!L592</f>
        <v>-1层</v>
      </c>
      <c r="Q613" s="621">
        <f t="shared" si="103"/>
        <v>1</v>
      </c>
      <c r="R613" s="681">
        <f t="shared" ca="1" si="104"/>
        <v>11.901899999999999</v>
      </c>
      <c r="S613" s="620">
        <f t="shared" ca="1" si="95"/>
        <v>0</v>
      </c>
    </row>
    <row r="614" spans="1:19">
      <c r="A614" s="628" t="str">
        <f>可抵押车位明细清单!D593</f>
        <v>3#地库151</v>
      </c>
      <c r="B614" s="629">
        <f>可抵押车位明细清单!H593</f>
        <v>38.770000000000003</v>
      </c>
      <c r="C614" s="621">
        <f t="shared" si="96"/>
        <v>1</v>
      </c>
      <c r="D614" s="630"/>
      <c r="E614" s="621">
        <f t="shared" si="97"/>
        <v>1</v>
      </c>
      <c r="F614" s="630"/>
      <c r="G614" s="621">
        <f t="shared" si="98"/>
        <v>1</v>
      </c>
      <c r="H614" s="630"/>
      <c r="I614" s="621">
        <f t="shared" si="99"/>
        <v>1</v>
      </c>
      <c r="J614" s="630"/>
      <c r="K614" s="621">
        <f t="shared" si="100"/>
        <v>1</v>
      </c>
      <c r="L614" s="630" t="str">
        <f>可抵押车位明细清单!K593</f>
        <v>标准车位</v>
      </c>
      <c r="M614" s="621">
        <f t="shared" si="101"/>
        <v>1</v>
      </c>
      <c r="N614" s="630"/>
      <c r="O614" s="621">
        <f t="shared" si="102"/>
        <v>1</v>
      </c>
      <c r="P614" s="3490" t="str">
        <f>可抵押车位明细清单!L593</f>
        <v>-1层</v>
      </c>
      <c r="Q614" s="621">
        <f t="shared" si="103"/>
        <v>1</v>
      </c>
      <c r="R614" s="681">
        <f t="shared" ca="1" si="104"/>
        <v>11.901899999999999</v>
      </c>
      <c r="S614" s="620">
        <f t="shared" ca="1" si="95"/>
        <v>0</v>
      </c>
    </row>
    <row r="615" spans="1:19">
      <c r="A615" s="628" t="str">
        <f>可抵押车位明细清单!D594</f>
        <v>3#地库152</v>
      </c>
      <c r="B615" s="629">
        <f>可抵押车位明细清单!H594</f>
        <v>38.770000000000003</v>
      </c>
      <c r="C615" s="621">
        <f t="shared" si="96"/>
        <v>1</v>
      </c>
      <c r="D615" s="630"/>
      <c r="E615" s="621">
        <f t="shared" si="97"/>
        <v>1</v>
      </c>
      <c r="F615" s="630"/>
      <c r="G615" s="621">
        <f t="shared" si="98"/>
        <v>1</v>
      </c>
      <c r="H615" s="630"/>
      <c r="I615" s="621">
        <f t="shared" si="99"/>
        <v>1</v>
      </c>
      <c r="J615" s="630"/>
      <c r="K615" s="621">
        <f t="shared" si="100"/>
        <v>1</v>
      </c>
      <c r="L615" s="630" t="str">
        <f>可抵押车位明细清单!K594</f>
        <v>标准车位</v>
      </c>
      <c r="M615" s="621">
        <f t="shared" si="101"/>
        <v>1</v>
      </c>
      <c r="N615" s="630"/>
      <c r="O615" s="621">
        <f t="shared" si="102"/>
        <v>1</v>
      </c>
      <c r="P615" s="3490" t="str">
        <f>可抵押车位明细清单!L594</f>
        <v>-1层</v>
      </c>
      <c r="Q615" s="621">
        <f t="shared" si="103"/>
        <v>1</v>
      </c>
      <c r="R615" s="681">
        <f t="shared" ca="1" si="104"/>
        <v>11.901899999999999</v>
      </c>
      <c r="S615" s="620">
        <f t="shared" ca="1" si="95"/>
        <v>0</v>
      </c>
    </row>
    <row r="616" spans="1:19">
      <c r="A616" s="628" t="str">
        <f>可抵押车位明细清单!D595</f>
        <v>3#地库153</v>
      </c>
      <c r="B616" s="629">
        <f>可抵押车位明细清单!H595</f>
        <v>37.17</v>
      </c>
      <c r="C616" s="621">
        <f t="shared" si="96"/>
        <v>1</v>
      </c>
      <c r="D616" s="630"/>
      <c r="E616" s="621">
        <f t="shared" si="97"/>
        <v>1</v>
      </c>
      <c r="F616" s="630"/>
      <c r="G616" s="621">
        <f t="shared" si="98"/>
        <v>1</v>
      </c>
      <c r="H616" s="630"/>
      <c r="I616" s="621">
        <f t="shared" si="99"/>
        <v>1</v>
      </c>
      <c r="J616" s="630"/>
      <c r="K616" s="621">
        <f t="shared" si="100"/>
        <v>1</v>
      </c>
      <c r="L616" s="630" t="str">
        <f>可抵押车位明细清单!K595</f>
        <v>标准车位</v>
      </c>
      <c r="M616" s="621">
        <f t="shared" si="101"/>
        <v>1</v>
      </c>
      <c r="N616" s="630"/>
      <c r="O616" s="621">
        <f t="shared" si="102"/>
        <v>1</v>
      </c>
      <c r="P616" s="3490" t="str">
        <f>可抵押车位明细清单!L595</f>
        <v>-1层</v>
      </c>
      <c r="Q616" s="621">
        <f t="shared" si="103"/>
        <v>1</v>
      </c>
      <c r="R616" s="681">
        <f t="shared" ca="1" si="104"/>
        <v>11.901899999999999</v>
      </c>
      <c r="S616" s="620">
        <f t="shared" ca="1" si="95"/>
        <v>0</v>
      </c>
    </row>
    <row r="617" spans="1:19">
      <c r="A617" s="628" t="str">
        <f>可抵押车位明细清单!D596</f>
        <v>3#地库154</v>
      </c>
      <c r="B617" s="629">
        <f>可抵押车位明细清单!H596</f>
        <v>37.17</v>
      </c>
      <c r="C617" s="621">
        <f t="shared" si="96"/>
        <v>1</v>
      </c>
      <c r="D617" s="630"/>
      <c r="E617" s="621">
        <f t="shared" si="97"/>
        <v>1</v>
      </c>
      <c r="F617" s="630"/>
      <c r="G617" s="621">
        <f t="shared" si="98"/>
        <v>1</v>
      </c>
      <c r="H617" s="630"/>
      <c r="I617" s="621">
        <f t="shared" si="99"/>
        <v>1</v>
      </c>
      <c r="J617" s="630"/>
      <c r="K617" s="621">
        <f t="shared" si="100"/>
        <v>1</v>
      </c>
      <c r="L617" s="630" t="str">
        <f>可抵押车位明细清单!K596</f>
        <v>标准车位</v>
      </c>
      <c r="M617" s="621">
        <f t="shared" si="101"/>
        <v>1</v>
      </c>
      <c r="N617" s="630"/>
      <c r="O617" s="621">
        <f t="shared" si="102"/>
        <v>1</v>
      </c>
      <c r="P617" s="3490" t="str">
        <f>可抵押车位明细清单!L596</f>
        <v>-1层</v>
      </c>
      <c r="Q617" s="621">
        <f t="shared" si="103"/>
        <v>1</v>
      </c>
      <c r="R617" s="681">
        <f t="shared" ca="1" si="104"/>
        <v>11.901899999999999</v>
      </c>
      <c r="S617" s="620">
        <f t="shared" ca="1" si="95"/>
        <v>0</v>
      </c>
    </row>
    <row r="618" spans="1:19">
      <c r="A618" s="628" t="str">
        <f>可抵押车位明细清单!D597</f>
        <v>3#地库155</v>
      </c>
      <c r="B618" s="629">
        <f>可抵押车位明细清单!H597</f>
        <v>37.17</v>
      </c>
      <c r="C618" s="621">
        <f t="shared" si="96"/>
        <v>1</v>
      </c>
      <c r="D618" s="630"/>
      <c r="E618" s="621">
        <f t="shared" si="97"/>
        <v>1</v>
      </c>
      <c r="F618" s="630"/>
      <c r="G618" s="621">
        <f t="shared" si="98"/>
        <v>1</v>
      </c>
      <c r="H618" s="630"/>
      <c r="I618" s="621">
        <f t="shared" si="99"/>
        <v>1</v>
      </c>
      <c r="J618" s="630"/>
      <c r="K618" s="621">
        <f t="shared" si="100"/>
        <v>1</v>
      </c>
      <c r="L618" s="630" t="str">
        <f>可抵押车位明细清单!K597</f>
        <v>标准车位</v>
      </c>
      <c r="M618" s="621">
        <f t="shared" si="101"/>
        <v>1</v>
      </c>
      <c r="N618" s="630"/>
      <c r="O618" s="621">
        <f t="shared" si="102"/>
        <v>1</v>
      </c>
      <c r="P618" s="3490" t="str">
        <f>可抵押车位明细清单!L597</f>
        <v>-1层</v>
      </c>
      <c r="Q618" s="621">
        <f t="shared" si="103"/>
        <v>1</v>
      </c>
      <c r="R618" s="681">
        <f t="shared" ca="1" si="104"/>
        <v>11.901899999999999</v>
      </c>
      <c r="S618" s="620">
        <f t="shared" ca="1" si="95"/>
        <v>0</v>
      </c>
    </row>
    <row r="619" spans="1:19">
      <c r="A619" s="628" t="str">
        <f>可抵押车位明细清单!D598</f>
        <v>3#地库156</v>
      </c>
      <c r="B619" s="629">
        <f>可抵押车位明细清单!H598</f>
        <v>37.17</v>
      </c>
      <c r="C619" s="621">
        <f t="shared" si="96"/>
        <v>1</v>
      </c>
      <c r="D619" s="630"/>
      <c r="E619" s="621">
        <f t="shared" si="97"/>
        <v>1</v>
      </c>
      <c r="F619" s="630"/>
      <c r="G619" s="621">
        <f t="shared" si="98"/>
        <v>1</v>
      </c>
      <c r="H619" s="630"/>
      <c r="I619" s="621">
        <f t="shared" si="99"/>
        <v>1</v>
      </c>
      <c r="J619" s="630"/>
      <c r="K619" s="621">
        <f t="shared" si="100"/>
        <v>1</v>
      </c>
      <c r="L619" s="630" t="str">
        <f>可抵押车位明细清单!K598</f>
        <v>标准车位</v>
      </c>
      <c r="M619" s="621">
        <f t="shared" si="101"/>
        <v>1</v>
      </c>
      <c r="N619" s="630"/>
      <c r="O619" s="621">
        <f t="shared" si="102"/>
        <v>1</v>
      </c>
      <c r="P619" s="3490" t="str">
        <f>可抵押车位明细清单!L598</f>
        <v>-1层</v>
      </c>
      <c r="Q619" s="621">
        <f t="shared" si="103"/>
        <v>1</v>
      </c>
      <c r="R619" s="681">
        <f t="shared" ca="1" si="104"/>
        <v>11.901899999999999</v>
      </c>
      <c r="S619" s="620">
        <f t="shared" ca="1" si="95"/>
        <v>0</v>
      </c>
    </row>
    <row r="620" spans="1:19">
      <c r="A620" s="628" t="str">
        <f>可抵押车位明细清单!D599</f>
        <v>3#地库157</v>
      </c>
      <c r="B620" s="629">
        <f>可抵押车位明细清单!H599</f>
        <v>38.770000000000003</v>
      </c>
      <c r="C620" s="621">
        <f t="shared" si="96"/>
        <v>1</v>
      </c>
      <c r="D620" s="630"/>
      <c r="E620" s="621">
        <f t="shared" si="97"/>
        <v>1</v>
      </c>
      <c r="F620" s="630"/>
      <c r="G620" s="621">
        <f t="shared" si="98"/>
        <v>1</v>
      </c>
      <c r="H620" s="630"/>
      <c r="I620" s="621">
        <f t="shared" si="99"/>
        <v>1</v>
      </c>
      <c r="J620" s="630"/>
      <c r="K620" s="621">
        <f t="shared" si="100"/>
        <v>1</v>
      </c>
      <c r="L620" s="630" t="str">
        <f>可抵押车位明细清单!K599</f>
        <v>标准车位</v>
      </c>
      <c r="M620" s="621">
        <f t="shared" si="101"/>
        <v>1</v>
      </c>
      <c r="N620" s="630"/>
      <c r="O620" s="621">
        <f t="shared" si="102"/>
        <v>1</v>
      </c>
      <c r="P620" s="3490" t="str">
        <f>可抵押车位明细清单!L599</f>
        <v>-1层</v>
      </c>
      <c r="Q620" s="621">
        <f t="shared" si="103"/>
        <v>1</v>
      </c>
      <c r="R620" s="681">
        <f t="shared" ca="1" si="104"/>
        <v>11.901899999999999</v>
      </c>
      <c r="S620" s="620">
        <f t="shared" ca="1" si="95"/>
        <v>0</v>
      </c>
    </row>
    <row r="621" spans="1:19">
      <c r="A621" s="628" t="str">
        <f>可抵押车位明细清单!D600</f>
        <v>3#地库158</v>
      </c>
      <c r="B621" s="629">
        <f>可抵押车位明细清单!H600</f>
        <v>38.770000000000003</v>
      </c>
      <c r="C621" s="621">
        <f t="shared" si="96"/>
        <v>1</v>
      </c>
      <c r="D621" s="630"/>
      <c r="E621" s="621">
        <f t="shared" si="97"/>
        <v>1</v>
      </c>
      <c r="F621" s="630"/>
      <c r="G621" s="621">
        <f t="shared" si="98"/>
        <v>1</v>
      </c>
      <c r="H621" s="630"/>
      <c r="I621" s="621">
        <f t="shared" si="99"/>
        <v>1</v>
      </c>
      <c r="J621" s="630"/>
      <c r="K621" s="621">
        <f t="shared" si="100"/>
        <v>1</v>
      </c>
      <c r="L621" s="630" t="str">
        <f>可抵押车位明细清单!K600</f>
        <v>标准车位</v>
      </c>
      <c r="M621" s="621">
        <f t="shared" si="101"/>
        <v>1</v>
      </c>
      <c r="N621" s="630"/>
      <c r="O621" s="621">
        <f t="shared" si="102"/>
        <v>1</v>
      </c>
      <c r="P621" s="3490" t="str">
        <f>可抵押车位明细清单!L600</f>
        <v>-1层</v>
      </c>
      <c r="Q621" s="621">
        <f t="shared" si="103"/>
        <v>1</v>
      </c>
      <c r="R621" s="681">
        <f t="shared" ca="1" si="104"/>
        <v>11.901899999999999</v>
      </c>
      <c r="S621" s="620">
        <f t="shared" ca="1" si="95"/>
        <v>0</v>
      </c>
    </row>
    <row r="622" spans="1:19">
      <c r="A622" s="628" t="str">
        <f>可抵押车位明细清单!D601</f>
        <v>3#地库159</v>
      </c>
      <c r="B622" s="629">
        <f>可抵押车位明细清单!H601</f>
        <v>37.950000000000003</v>
      </c>
      <c r="C622" s="621">
        <f t="shared" si="96"/>
        <v>1</v>
      </c>
      <c r="D622" s="630"/>
      <c r="E622" s="621">
        <f t="shared" si="97"/>
        <v>1</v>
      </c>
      <c r="F622" s="630"/>
      <c r="G622" s="621">
        <f t="shared" si="98"/>
        <v>1</v>
      </c>
      <c r="H622" s="630"/>
      <c r="I622" s="621">
        <f t="shared" si="99"/>
        <v>1</v>
      </c>
      <c r="J622" s="630"/>
      <c r="K622" s="621">
        <f t="shared" si="100"/>
        <v>1</v>
      </c>
      <c r="L622" s="630" t="str">
        <f>可抵押车位明细清单!K601</f>
        <v>标准车位</v>
      </c>
      <c r="M622" s="621">
        <f t="shared" si="101"/>
        <v>1</v>
      </c>
      <c r="N622" s="630"/>
      <c r="O622" s="621">
        <f t="shared" si="102"/>
        <v>1</v>
      </c>
      <c r="P622" s="3490" t="str">
        <f>可抵押车位明细清单!L601</f>
        <v>-1层</v>
      </c>
      <c r="Q622" s="621">
        <f t="shared" si="103"/>
        <v>1</v>
      </c>
      <c r="R622" s="681">
        <f t="shared" ca="1" si="104"/>
        <v>11.901899999999999</v>
      </c>
      <c r="S622" s="620">
        <f t="shared" ca="1" si="95"/>
        <v>0</v>
      </c>
    </row>
    <row r="623" spans="1:19">
      <c r="A623" s="628" t="str">
        <f>可抵押车位明细清单!D602</f>
        <v>3#地库160</v>
      </c>
      <c r="B623" s="629">
        <f>可抵押车位明细清单!H602</f>
        <v>37.950000000000003</v>
      </c>
      <c r="C623" s="621">
        <f t="shared" si="96"/>
        <v>1</v>
      </c>
      <c r="D623" s="630"/>
      <c r="E623" s="621">
        <f t="shared" si="97"/>
        <v>1</v>
      </c>
      <c r="F623" s="630"/>
      <c r="G623" s="621">
        <f t="shared" si="98"/>
        <v>1</v>
      </c>
      <c r="H623" s="630"/>
      <c r="I623" s="621">
        <f t="shared" si="99"/>
        <v>1</v>
      </c>
      <c r="J623" s="630"/>
      <c r="K623" s="621">
        <f t="shared" si="100"/>
        <v>1</v>
      </c>
      <c r="L623" s="630" t="str">
        <f>可抵押车位明细清单!K602</f>
        <v>标准车位</v>
      </c>
      <c r="M623" s="621">
        <f t="shared" si="101"/>
        <v>1</v>
      </c>
      <c r="N623" s="630"/>
      <c r="O623" s="621">
        <f t="shared" si="102"/>
        <v>1</v>
      </c>
      <c r="P623" s="3490" t="str">
        <f>可抵押车位明细清单!L602</f>
        <v>-1层</v>
      </c>
      <c r="Q623" s="621">
        <f t="shared" si="103"/>
        <v>1</v>
      </c>
      <c r="R623" s="681">
        <f t="shared" ca="1" si="104"/>
        <v>11.901899999999999</v>
      </c>
      <c r="S623" s="620">
        <f t="shared" ca="1" si="95"/>
        <v>0</v>
      </c>
    </row>
    <row r="624" spans="1:19">
      <c r="A624" s="628" t="str">
        <f>可抵押车位明细清单!D603</f>
        <v>3#地库161</v>
      </c>
      <c r="B624" s="629">
        <f>可抵押车位明细清单!H603</f>
        <v>37.950000000000003</v>
      </c>
      <c r="C624" s="621">
        <f t="shared" si="96"/>
        <v>1</v>
      </c>
      <c r="D624" s="630"/>
      <c r="E624" s="621">
        <f t="shared" si="97"/>
        <v>1</v>
      </c>
      <c r="F624" s="630"/>
      <c r="G624" s="621">
        <f t="shared" si="98"/>
        <v>1</v>
      </c>
      <c r="H624" s="630"/>
      <c r="I624" s="621">
        <f t="shared" si="99"/>
        <v>1</v>
      </c>
      <c r="J624" s="630"/>
      <c r="K624" s="621">
        <f t="shared" si="100"/>
        <v>1</v>
      </c>
      <c r="L624" s="630" t="str">
        <f>可抵押车位明细清单!K603</f>
        <v>标准车位</v>
      </c>
      <c r="M624" s="621">
        <f t="shared" si="101"/>
        <v>1</v>
      </c>
      <c r="N624" s="630"/>
      <c r="O624" s="621">
        <f t="shared" si="102"/>
        <v>1</v>
      </c>
      <c r="P624" s="3490" t="str">
        <f>可抵押车位明细清单!L603</f>
        <v>-1层</v>
      </c>
      <c r="Q624" s="621">
        <f t="shared" si="103"/>
        <v>1</v>
      </c>
      <c r="R624" s="681">
        <f t="shared" ca="1" si="104"/>
        <v>11.901899999999999</v>
      </c>
      <c r="S624" s="620">
        <f t="shared" ca="1" si="95"/>
        <v>0</v>
      </c>
    </row>
    <row r="625" spans="1:19">
      <c r="A625" s="628" t="str">
        <f>可抵押车位明细清单!D604</f>
        <v>3#地库162</v>
      </c>
      <c r="B625" s="629">
        <f>可抵押车位明细清单!H604</f>
        <v>39.58</v>
      </c>
      <c r="C625" s="621">
        <f t="shared" si="96"/>
        <v>1</v>
      </c>
      <c r="D625" s="630"/>
      <c r="E625" s="621">
        <f t="shared" si="97"/>
        <v>1</v>
      </c>
      <c r="F625" s="630"/>
      <c r="G625" s="621">
        <f t="shared" si="98"/>
        <v>1</v>
      </c>
      <c r="H625" s="630"/>
      <c r="I625" s="621">
        <f t="shared" si="99"/>
        <v>1</v>
      </c>
      <c r="J625" s="630"/>
      <c r="K625" s="621">
        <f t="shared" si="100"/>
        <v>1</v>
      </c>
      <c r="L625" s="630" t="str">
        <f>可抵押车位明细清单!K604</f>
        <v>标准车位</v>
      </c>
      <c r="M625" s="621">
        <f t="shared" si="101"/>
        <v>1</v>
      </c>
      <c r="N625" s="630"/>
      <c r="O625" s="621">
        <f t="shared" si="102"/>
        <v>1</v>
      </c>
      <c r="P625" s="3490" t="str">
        <f>可抵押车位明细清单!L604</f>
        <v>-1层</v>
      </c>
      <c r="Q625" s="621">
        <f t="shared" si="103"/>
        <v>1</v>
      </c>
      <c r="R625" s="681">
        <f t="shared" ca="1" si="104"/>
        <v>11.901899999999999</v>
      </c>
      <c r="S625" s="620">
        <f t="shared" ca="1" si="95"/>
        <v>0</v>
      </c>
    </row>
    <row r="626" spans="1:19">
      <c r="A626" s="628" t="str">
        <f>可抵押车位明细清单!D605</f>
        <v>3#地库163</v>
      </c>
      <c r="B626" s="629">
        <f>可抵押车位明细清单!H605</f>
        <v>39.58</v>
      </c>
      <c r="C626" s="621">
        <f t="shared" si="96"/>
        <v>1</v>
      </c>
      <c r="D626" s="630"/>
      <c r="E626" s="621">
        <f t="shared" si="97"/>
        <v>1</v>
      </c>
      <c r="F626" s="630"/>
      <c r="G626" s="621">
        <f t="shared" si="98"/>
        <v>1</v>
      </c>
      <c r="H626" s="630"/>
      <c r="I626" s="621">
        <f t="shared" si="99"/>
        <v>1</v>
      </c>
      <c r="J626" s="630"/>
      <c r="K626" s="621">
        <f t="shared" si="100"/>
        <v>1</v>
      </c>
      <c r="L626" s="630" t="str">
        <f>可抵押车位明细清单!K605</f>
        <v>标准车位</v>
      </c>
      <c r="M626" s="621">
        <f t="shared" si="101"/>
        <v>1</v>
      </c>
      <c r="N626" s="630"/>
      <c r="O626" s="621">
        <f t="shared" si="102"/>
        <v>1</v>
      </c>
      <c r="P626" s="3490" t="str">
        <f>可抵押车位明细清单!L605</f>
        <v>-1层</v>
      </c>
      <c r="Q626" s="621">
        <f t="shared" si="103"/>
        <v>1</v>
      </c>
      <c r="R626" s="681">
        <f t="shared" ca="1" si="104"/>
        <v>11.901899999999999</v>
      </c>
      <c r="S626" s="620">
        <f t="shared" ca="1" si="95"/>
        <v>0</v>
      </c>
    </row>
    <row r="627" spans="1:19">
      <c r="A627" s="628" t="str">
        <f>可抵押车位明细清单!D606</f>
        <v>3#地库164</v>
      </c>
      <c r="B627" s="629">
        <f>可抵押车位明细清单!H606</f>
        <v>39.58</v>
      </c>
      <c r="C627" s="621">
        <f t="shared" si="96"/>
        <v>1</v>
      </c>
      <c r="D627" s="630"/>
      <c r="E627" s="621">
        <f t="shared" si="97"/>
        <v>1</v>
      </c>
      <c r="F627" s="630"/>
      <c r="G627" s="621">
        <f t="shared" si="98"/>
        <v>1</v>
      </c>
      <c r="H627" s="630"/>
      <c r="I627" s="621">
        <f t="shared" si="99"/>
        <v>1</v>
      </c>
      <c r="J627" s="630"/>
      <c r="K627" s="621">
        <f t="shared" si="100"/>
        <v>1</v>
      </c>
      <c r="L627" s="630" t="str">
        <f>可抵押车位明细清单!K606</f>
        <v>标准车位</v>
      </c>
      <c r="M627" s="621">
        <f t="shared" si="101"/>
        <v>1</v>
      </c>
      <c r="N627" s="630"/>
      <c r="O627" s="621">
        <f t="shared" si="102"/>
        <v>1</v>
      </c>
      <c r="P627" s="3490" t="str">
        <f>可抵押车位明细清单!L606</f>
        <v>-1层</v>
      </c>
      <c r="Q627" s="621">
        <f t="shared" si="103"/>
        <v>1</v>
      </c>
      <c r="R627" s="681">
        <f t="shared" ca="1" si="104"/>
        <v>11.901899999999999</v>
      </c>
      <c r="S627" s="620">
        <f t="shared" ca="1" si="95"/>
        <v>0</v>
      </c>
    </row>
    <row r="628" spans="1:19">
      <c r="A628" s="628" t="str">
        <f>可抵押车位明细清单!D607</f>
        <v>3#地库165</v>
      </c>
      <c r="B628" s="629">
        <f>可抵押车位明细清单!H607</f>
        <v>37.950000000000003</v>
      </c>
      <c r="C628" s="621">
        <f t="shared" si="96"/>
        <v>1</v>
      </c>
      <c r="D628" s="630"/>
      <c r="E628" s="621">
        <f t="shared" si="97"/>
        <v>1</v>
      </c>
      <c r="F628" s="630"/>
      <c r="G628" s="621">
        <f t="shared" si="98"/>
        <v>1</v>
      </c>
      <c r="H628" s="630"/>
      <c r="I628" s="621">
        <f t="shared" si="99"/>
        <v>1</v>
      </c>
      <c r="J628" s="630"/>
      <c r="K628" s="621">
        <f t="shared" si="100"/>
        <v>1</v>
      </c>
      <c r="L628" s="630" t="str">
        <f>可抵押车位明细清单!K607</f>
        <v>标准车位</v>
      </c>
      <c r="M628" s="621">
        <f t="shared" si="101"/>
        <v>1</v>
      </c>
      <c r="N628" s="630"/>
      <c r="O628" s="621">
        <f t="shared" si="102"/>
        <v>1</v>
      </c>
      <c r="P628" s="3490" t="str">
        <f>可抵押车位明细清单!L607</f>
        <v>-1层</v>
      </c>
      <c r="Q628" s="621">
        <f t="shared" si="103"/>
        <v>1</v>
      </c>
      <c r="R628" s="681">
        <f t="shared" ca="1" si="104"/>
        <v>11.901899999999999</v>
      </c>
      <c r="S628" s="620">
        <f t="shared" ca="1" si="95"/>
        <v>0</v>
      </c>
    </row>
    <row r="629" spans="1:19">
      <c r="A629" s="628" t="str">
        <f>可抵押车位明细清单!D608</f>
        <v>3#地库166</v>
      </c>
      <c r="B629" s="629">
        <f>可抵押车位明细清单!H608</f>
        <v>38.770000000000003</v>
      </c>
      <c r="C629" s="621">
        <f t="shared" si="96"/>
        <v>1</v>
      </c>
      <c r="D629" s="630"/>
      <c r="E629" s="621">
        <f t="shared" si="97"/>
        <v>1</v>
      </c>
      <c r="F629" s="630"/>
      <c r="G629" s="621">
        <f t="shared" si="98"/>
        <v>1</v>
      </c>
      <c r="H629" s="630"/>
      <c r="I629" s="621">
        <f t="shared" si="99"/>
        <v>1</v>
      </c>
      <c r="J629" s="630"/>
      <c r="K629" s="621">
        <f t="shared" si="100"/>
        <v>1</v>
      </c>
      <c r="L629" s="630" t="str">
        <f>可抵押车位明细清单!K608</f>
        <v>标准车位</v>
      </c>
      <c r="M629" s="621">
        <f t="shared" si="101"/>
        <v>1</v>
      </c>
      <c r="N629" s="630"/>
      <c r="O629" s="621">
        <f t="shared" si="102"/>
        <v>1</v>
      </c>
      <c r="P629" s="3490" t="str">
        <f>可抵押车位明细清单!L608</f>
        <v>-1层</v>
      </c>
      <c r="Q629" s="621">
        <f t="shared" si="103"/>
        <v>1</v>
      </c>
      <c r="R629" s="681">
        <f t="shared" ca="1" si="104"/>
        <v>11.901899999999999</v>
      </c>
      <c r="S629" s="620">
        <f t="shared" ca="1" si="95"/>
        <v>0</v>
      </c>
    </row>
    <row r="630" spans="1:19">
      <c r="A630" s="628" t="str">
        <f>可抵押车位明细清单!D609</f>
        <v>3#地库167</v>
      </c>
      <c r="B630" s="629">
        <f>可抵押车位明细清单!H609</f>
        <v>37.17</v>
      </c>
      <c r="C630" s="621">
        <f t="shared" si="96"/>
        <v>1</v>
      </c>
      <c r="D630" s="630"/>
      <c r="E630" s="621">
        <f t="shared" si="97"/>
        <v>1</v>
      </c>
      <c r="F630" s="630"/>
      <c r="G630" s="621">
        <f t="shared" si="98"/>
        <v>1</v>
      </c>
      <c r="H630" s="630"/>
      <c r="I630" s="621">
        <f t="shared" si="99"/>
        <v>1</v>
      </c>
      <c r="J630" s="630"/>
      <c r="K630" s="621">
        <f t="shared" si="100"/>
        <v>1</v>
      </c>
      <c r="L630" s="630" t="str">
        <f>可抵押车位明细清单!K609</f>
        <v>标准车位</v>
      </c>
      <c r="M630" s="621">
        <f t="shared" si="101"/>
        <v>1</v>
      </c>
      <c r="N630" s="630"/>
      <c r="O630" s="621">
        <f t="shared" si="102"/>
        <v>1</v>
      </c>
      <c r="P630" s="3490" t="str">
        <f>可抵押车位明细清单!L609</f>
        <v>-1层</v>
      </c>
      <c r="Q630" s="621">
        <f t="shared" si="103"/>
        <v>1</v>
      </c>
      <c r="R630" s="681">
        <f t="shared" ca="1" si="104"/>
        <v>11.901899999999999</v>
      </c>
      <c r="S630" s="620">
        <f t="shared" ca="1" si="95"/>
        <v>0</v>
      </c>
    </row>
    <row r="631" spans="1:19">
      <c r="A631" s="628" t="str">
        <f>可抵押车位明细清单!D610</f>
        <v>3#地库168</v>
      </c>
      <c r="B631" s="629">
        <f>可抵押车位明细清单!H610</f>
        <v>37.950000000000003</v>
      </c>
      <c r="C631" s="621">
        <f t="shared" si="96"/>
        <v>1</v>
      </c>
      <c r="D631" s="630"/>
      <c r="E631" s="621">
        <f t="shared" si="97"/>
        <v>1</v>
      </c>
      <c r="F631" s="630"/>
      <c r="G631" s="621">
        <f t="shared" si="98"/>
        <v>1</v>
      </c>
      <c r="H631" s="630"/>
      <c r="I631" s="621">
        <f t="shared" si="99"/>
        <v>1</v>
      </c>
      <c r="J631" s="630"/>
      <c r="K631" s="621">
        <f t="shared" si="100"/>
        <v>1</v>
      </c>
      <c r="L631" s="630" t="str">
        <f>可抵押车位明细清单!K610</f>
        <v>标准车位</v>
      </c>
      <c r="M631" s="621">
        <f t="shared" si="101"/>
        <v>1</v>
      </c>
      <c r="N631" s="630"/>
      <c r="O631" s="621">
        <f t="shared" si="102"/>
        <v>1</v>
      </c>
      <c r="P631" s="3490" t="str">
        <f>可抵押车位明细清单!L610</f>
        <v>-1层</v>
      </c>
      <c r="Q631" s="621">
        <f t="shared" si="103"/>
        <v>1</v>
      </c>
      <c r="R631" s="681">
        <f t="shared" ca="1" si="104"/>
        <v>11.901899999999999</v>
      </c>
      <c r="S631" s="620">
        <f t="shared" ca="1" si="95"/>
        <v>0</v>
      </c>
    </row>
    <row r="632" spans="1:19">
      <c r="A632" s="628" t="str">
        <f>可抵押车位明细清单!D611</f>
        <v>3#地库169</v>
      </c>
      <c r="B632" s="629">
        <f>可抵押车位明细清单!H611</f>
        <v>38.770000000000003</v>
      </c>
      <c r="C632" s="621">
        <f t="shared" si="96"/>
        <v>1</v>
      </c>
      <c r="D632" s="630"/>
      <c r="E632" s="621">
        <f t="shared" si="97"/>
        <v>1</v>
      </c>
      <c r="F632" s="630"/>
      <c r="G632" s="621">
        <f t="shared" si="98"/>
        <v>1</v>
      </c>
      <c r="H632" s="630"/>
      <c r="I632" s="621">
        <f t="shared" si="99"/>
        <v>1</v>
      </c>
      <c r="J632" s="630"/>
      <c r="K632" s="621">
        <f t="shared" si="100"/>
        <v>1</v>
      </c>
      <c r="L632" s="630" t="str">
        <f>可抵押车位明细清单!K611</f>
        <v>标准车位</v>
      </c>
      <c r="M632" s="621">
        <f t="shared" si="101"/>
        <v>1</v>
      </c>
      <c r="N632" s="630"/>
      <c r="O632" s="621">
        <f t="shared" si="102"/>
        <v>1</v>
      </c>
      <c r="P632" s="3490" t="str">
        <f>可抵押车位明细清单!L611</f>
        <v>-1层</v>
      </c>
      <c r="Q632" s="621">
        <f t="shared" si="103"/>
        <v>1</v>
      </c>
      <c r="R632" s="681">
        <f t="shared" ca="1" si="104"/>
        <v>11.901899999999999</v>
      </c>
      <c r="S632" s="620">
        <f t="shared" ca="1" si="95"/>
        <v>0</v>
      </c>
    </row>
    <row r="633" spans="1:19">
      <c r="A633" s="628" t="str">
        <f>可抵押车位明细清单!D612</f>
        <v>3#地库170</v>
      </c>
      <c r="B633" s="629">
        <f>可抵押车位明细清单!H612</f>
        <v>38.770000000000003</v>
      </c>
      <c r="C633" s="621">
        <f t="shared" si="96"/>
        <v>1</v>
      </c>
      <c r="D633" s="630"/>
      <c r="E633" s="621">
        <f t="shared" si="97"/>
        <v>1</v>
      </c>
      <c r="F633" s="630"/>
      <c r="G633" s="621">
        <f t="shared" si="98"/>
        <v>1</v>
      </c>
      <c r="H633" s="630"/>
      <c r="I633" s="621">
        <f t="shared" si="99"/>
        <v>1</v>
      </c>
      <c r="J633" s="630"/>
      <c r="K633" s="621">
        <f t="shared" si="100"/>
        <v>1</v>
      </c>
      <c r="L633" s="630" t="str">
        <f>可抵押车位明细清单!K612</f>
        <v>标准车位</v>
      </c>
      <c r="M633" s="621">
        <f t="shared" si="101"/>
        <v>1</v>
      </c>
      <c r="N633" s="630"/>
      <c r="O633" s="621">
        <f t="shared" si="102"/>
        <v>1</v>
      </c>
      <c r="P633" s="3490" t="str">
        <f>可抵押车位明细清单!L612</f>
        <v>-1层</v>
      </c>
      <c r="Q633" s="621">
        <f t="shared" si="103"/>
        <v>1</v>
      </c>
      <c r="R633" s="681">
        <f t="shared" ca="1" si="104"/>
        <v>11.901899999999999</v>
      </c>
      <c r="S633" s="620">
        <f t="shared" ca="1" si="95"/>
        <v>0</v>
      </c>
    </row>
    <row r="634" spans="1:19">
      <c r="A634" s="628" t="str">
        <f>可抵押车位明细清单!D613</f>
        <v>3#地库171</v>
      </c>
      <c r="B634" s="629">
        <f>可抵押车位明细清单!H613</f>
        <v>37.950000000000003</v>
      </c>
      <c r="C634" s="621">
        <f t="shared" si="96"/>
        <v>1</v>
      </c>
      <c r="D634" s="630"/>
      <c r="E634" s="621">
        <f t="shared" si="97"/>
        <v>1</v>
      </c>
      <c r="F634" s="630"/>
      <c r="G634" s="621">
        <f t="shared" si="98"/>
        <v>1</v>
      </c>
      <c r="H634" s="630"/>
      <c r="I634" s="621">
        <f t="shared" si="99"/>
        <v>1</v>
      </c>
      <c r="J634" s="630"/>
      <c r="K634" s="621">
        <f t="shared" si="100"/>
        <v>1</v>
      </c>
      <c r="L634" s="630" t="str">
        <f>可抵押车位明细清单!K613</f>
        <v>标准车位</v>
      </c>
      <c r="M634" s="621">
        <f t="shared" si="101"/>
        <v>1</v>
      </c>
      <c r="N634" s="630"/>
      <c r="O634" s="621">
        <f t="shared" si="102"/>
        <v>1</v>
      </c>
      <c r="P634" s="3490" t="str">
        <f>可抵押车位明细清单!L613</f>
        <v>-1层</v>
      </c>
      <c r="Q634" s="621">
        <f t="shared" si="103"/>
        <v>1</v>
      </c>
      <c r="R634" s="681">
        <f t="shared" ca="1" si="104"/>
        <v>11.901899999999999</v>
      </c>
      <c r="S634" s="620">
        <f t="shared" ca="1" si="95"/>
        <v>0</v>
      </c>
    </row>
    <row r="635" spans="1:19">
      <c r="A635" s="628" t="str">
        <f>可抵押车位明细清单!D614</f>
        <v>3#地库172</v>
      </c>
      <c r="B635" s="629">
        <f>可抵押车位明细清单!H614</f>
        <v>37.51</v>
      </c>
      <c r="C635" s="621">
        <f t="shared" si="96"/>
        <v>1</v>
      </c>
      <c r="D635" s="630"/>
      <c r="E635" s="621">
        <f t="shared" si="97"/>
        <v>1</v>
      </c>
      <c r="F635" s="630"/>
      <c r="G635" s="621">
        <f t="shared" si="98"/>
        <v>1</v>
      </c>
      <c r="H635" s="630"/>
      <c r="I635" s="621">
        <f t="shared" si="99"/>
        <v>1</v>
      </c>
      <c r="J635" s="630"/>
      <c r="K635" s="621">
        <f t="shared" si="100"/>
        <v>1</v>
      </c>
      <c r="L635" s="630" t="str">
        <f>可抵押车位明细清单!K614</f>
        <v>标准车位</v>
      </c>
      <c r="M635" s="621">
        <f t="shared" si="101"/>
        <v>1</v>
      </c>
      <c r="N635" s="630"/>
      <c r="O635" s="621">
        <f t="shared" si="102"/>
        <v>1</v>
      </c>
      <c r="P635" s="3490" t="str">
        <f>可抵押车位明细清单!L614</f>
        <v>-1层</v>
      </c>
      <c r="Q635" s="621">
        <f t="shared" si="103"/>
        <v>1</v>
      </c>
      <c r="R635" s="681">
        <f t="shared" ca="1" si="104"/>
        <v>11.901899999999999</v>
      </c>
      <c r="S635" s="620">
        <f t="shared" ca="1" si="95"/>
        <v>0</v>
      </c>
    </row>
    <row r="636" spans="1:19">
      <c r="A636" s="628" t="str">
        <f>可抵押车位明细清单!D615</f>
        <v>3#地库173</v>
      </c>
      <c r="B636" s="629">
        <f>可抵押车位明细清单!H615</f>
        <v>38.33</v>
      </c>
      <c r="C636" s="621">
        <f t="shared" si="96"/>
        <v>1</v>
      </c>
      <c r="D636" s="630"/>
      <c r="E636" s="621">
        <f t="shared" si="97"/>
        <v>1</v>
      </c>
      <c r="F636" s="630"/>
      <c r="G636" s="621">
        <f t="shared" si="98"/>
        <v>1</v>
      </c>
      <c r="H636" s="630"/>
      <c r="I636" s="621">
        <f t="shared" si="99"/>
        <v>1</v>
      </c>
      <c r="J636" s="630"/>
      <c r="K636" s="621">
        <f t="shared" si="100"/>
        <v>1</v>
      </c>
      <c r="L636" s="630" t="str">
        <f>可抵押车位明细清单!K615</f>
        <v>标准车位</v>
      </c>
      <c r="M636" s="621">
        <f t="shared" si="101"/>
        <v>1</v>
      </c>
      <c r="N636" s="630"/>
      <c r="O636" s="621">
        <f t="shared" si="102"/>
        <v>1</v>
      </c>
      <c r="P636" s="3490" t="str">
        <f>可抵押车位明细清单!L615</f>
        <v>-1层</v>
      </c>
      <c r="Q636" s="621">
        <f t="shared" si="103"/>
        <v>1</v>
      </c>
      <c r="R636" s="681">
        <f t="shared" ca="1" si="104"/>
        <v>11.901899999999999</v>
      </c>
      <c r="S636" s="620">
        <f t="shared" ca="1" si="95"/>
        <v>0</v>
      </c>
    </row>
    <row r="637" spans="1:19">
      <c r="A637" s="628" t="str">
        <f>可抵押车位明细清单!D616</f>
        <v>3#地库174</v>
      </c>
      <c r="B637" s="629">
        <f>可抵押车位明细清单!H616</f>
        <v>38.33</v>
      </c>
      <c r="C637" s="621">
        <f t="shared" si="96"/>
        <v>1</v>
      </c>
      <c r="D637" s="630"/>
      <c r="E637" s="621">
        <f t="shared" si="97"/>
        <v>1</v>
      </c>
      <c r="F637" s="630"/>
      <c r="G637" s="621">
        <f t="shared" si="98"/>
        <v>1</v>
      </c>
      <c r="H637" s="630"/>
      <c r="I637" s="621">
        <f t="shared" si="99"/>
        <v>1</v>
      </c>
      <c r="J637" s="630"/>
      <c r="K637" s="621">
        <f t="shared" si="100"/>
        <v>1</v>
      </c>
      <c r="L637" s="630" t="str">
        <f>可抵押车位明细清单!K616</f>
        <v>标准车位</v>
      </c>
      <c r="M637" s="621">
        <f t="shared" si="101"/>
        <v>1</v>
      </c>
      <c r="N637" s="630"/>
      <c r="O637" s="621">
        <f t="shared" si="102"/>
        <v>1</v>
      </c>
      <c r="P637" s="3490" t="str">
        <f>可抵押车位明细清单!L616</f>
        <v>-1层</v>
      </c>
      <c r="Q637" s="621">
        <f t="shared" si="103"/>
        <v>1</v>
      </c>
      <c r="R637" s="681">
        <f t="shared" ca="1" si="104"/>
        <v>11.901899999999999</v>
      </c>
      <c r="S637" s="620">
        <f t="shared" ca="1" si="95"/>
        <v>0</v>
      </c>
    </row>
    <row r="638" spans="1:19">
      <c r="A638" s="628"/>
      <c r="B638" s="629"/>
      <c r="C638" s="621">
        <f t="shared" si="96"/>
        <v>1</v>
      </c>
      <c r="D638" s="630"/>
      <c r="E638" s="621">
        <f t="shared" si="97"/>
        <v>1</v>
      </c>
      <c r="F638" s="630"/>
      <c r="G638" s="621">
        <f t="shared" si="98"/>
        <v>1</v>
      </c>
      <c r="H638" s="630"/>
      <c r="I638" s="621">
        <f t="shared" si="99"/>
        <v>1</v>
      </c>
      <c r="J638" s="630"/>
      <c r="K638" s="621">
        <f t="shared" si="100"/>
        <v>1</v>
      </c>
      <c r="L638" s="630"/>
      <c r="M638" s="621">
        <f t="shared" si="101"/>
        <v>0</v>
      </c>
      <c r="N638" s="630"/>
      <c r="O638" s="621">
        <f t="shared" si="102"/>
        <v>1</v>
      </c>
      <c r="P638" s="630"/>
      <c r="Q638" s="621">
        <f t="shared" si="103"/>
        <v>0</v>
      </c>
      <c r="R638" s="681">
        <f t="shared" si="104"/>
        <v>0</v>
      </c>
      <c r="S638" s="620">
        <f t="shared" si="95"/>
        <v>0</v>
      </c>
    </row>
    <row r="639" spans="1:19">
      <c r="A639" s="628"/>
      <c r="B639" s="629"/>
      <c r="C639" s="687"/>
      <c r="D639" s="630"/>
      <c r="E639" s="687"/>
      <c r="F639" s="630"/>
      <c r="G639" s="687"/>
      <c r="H639" s="630"/>
      <c r="I639" s="687"/>
      <c r="J639" s="630"/>
      <c r="K639" s="687"/>
      <c r="L639" s="630"/>
      <c r="M639" s="687"/>
      <c r="N639" s="630"/>
      <c r="O639" s="687"/>
      <c r="P639" s="630"/>
      <c r="Q639" s="687"/>
      <c r="R639" s="688"/>
      <c r="S639" s="689"/>
    </row>
    <row r="640" spans="1:19">
      <c r="A640" s="628"/>
      <c r="B640" s="629"/>
      <c r="C640" s="687"/>
      <c r="D640" s="630"/>
      <c r="E640" s="687"/>
      <c r="F640" s="630"/>
      <c r="G640" s="687"/>
      <c r="H640" s="630"/>
      <c r="I640" s="687"/>
      <c r="J640" s="630"/>
      <c r="K640" s="687"/>
      <c r="L640" s="630"/>
      <c r="M640" s="687"/>
      <c r="N640" s="630"/>
      <c r="O640" s="687"/>
      <c r="P640" s="630"/>
      <c r="Q640" s="687"/>
      <c r="R640" s="688"/>
      <c r="S640" s="689"/>
    </row>
    <row r="641" spans="1:19">
      <c r="A641" s="628"/>
      <c r="B641" s="629"/>
      <c r="C641" s="687"/>
      <c r="D641" s="630"/>
      <c r="E641" s="687"/>
      <c r="F641" s="630"/>
      <c r="G641" s="687"/>
      <c r="H641" s="630"/>
      <c r="I641" s="687"/>
      <c r="J641" s="630"/>
      <c r="K641" s="687"/>
      <c r="L641" s="630"/>
      <c r="M641" s="687"/>
      <c r="N641" s="630"/>
      <c r="O641" s="687"/>
      <c r="P641" s="630"/>
      <c r="Q641" s="687"/>
      <c r="R641" s="688"/>
      <c r="S641" s="689"/>
    </row>
  </sheetData>
  <sheetProtection formatCells="0" formatColumns="0" formatRows="0"/>
  <mergeCells count="2">
    <mergeCell ref="C1:S1"/>
    <mergeCell ref="C22:Q22"/>
  </mergeCells>
  <phoneticPr fontId="228" type="noConversion"/>
  <conditionalFormatting sqref="C24:C638 E24:E638 G24:G638 I24:I638 K24:K638 M24:M638 O24:O638 Q24:Q638">
    <cfRule type="cellIs" dxfId="3" priority="4" operator="notEqual">
      <formula>1</formula>
    </cfRule>
  </conditionalFormatting>
  <conditionalFormatting sqref="C639 E639 G639 I639 K639 M639 O639 Q639">
    <cfRule type="cellIs" dxfId="2" priority="3" operator="notEqual">
      <formula>1</formula>
    </cfRule>
  </conditionalFormatting>
  <conditionalFormatting sqref="C640 E640 G640 I640 K640 M640 O640 Q640">
    <cfRule type="cellIs" dxfId="1" priority="2" operator="notEqual">
      <formula>1</formula>
    </cfRule>
  </conditionalFormatting>
  <conditionalFormatting sqref="C641 E641 G641 I641 K641 M641 O641 Q641">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38">
      <formula1>'典型户型修正-车位用途'!一修多修正项2</formula1>
    </dataValidation>
    <dataValidation type="list" allowBlank="1" showInputMessage="1" showErrorMessage="1" sqref="F24:F524">
      <formula1>'典型户型修正-车位用途'!一修多修正项3</formula1>
    </dataValidation>
    <dataValidation type="list" allowBlank="1" showInputMessage="1" showErrorMessage="1" sqref="H24:H524">
      <formula1>'典型户型修正-车位用途'!一修多修正项4</formula1>
    </dataValidation>
    <dataValidation type="list" allowBlank="1" showInputMessage="1" showErrorMessage="1" sqref="J24:J524">
      <formula1>'典型户型修正-车位用途'!一修多修正项5</formula1>
    </dataValidation>
    <dataValidation type="list" allowBlank="1" showInputMessage="1" showErrorMessage="1" sqref="L24:L637">
      <formula1>'典型户型修正-车位用途'!一修多修正项6</formula1>
    </dataValidation>
    <dataValidation type="list" allowBlank="1" showInputMessage="1" showErrorMessage="1" sqref="N24:N524">
      <formula1>'典型户型修正-车位用途'!一修多修正项7</formula1>
    </dataValidation>
    <dataValidation type="list" allowBlank="1" showInputMessage="1" showErrorMessage="1" sqref="P24:P637">
      <formula1>'典型户型修正-车位用途'!一修多修正项8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L18:AL60"/>
  <sheetViews>
    <sheetView topLeftCell="P40" workbookViewId="0">
      <selection activeCell="AL60" sqref="AL60"/>
    </sheetView>
  </sheetViews>
  <sheetFormatPr defaultColWidth="9" defaultRowHeight="13.5"/>
  <cols>
    <col min="1" max="37" width="9" style="556"/>
    <col min="38" max="38" width="12.625" style="556"/>
    <col min="39" max="16384" width="9" style="556"/>
  </cols>
  <sheetData>
    <row r="18" spans="38:38">
      <c r="AL18" s="556">
        <f>297.6/25</f>
        <v>11.904</v>
      </c>
    </row>
    <row r="21" spans="38:38">
      <c r="AL21" s="556">
        <f>ROUND((297.6-4.23-39.98)/(25-7),4)</f>
        <v>14.077199999999999</v>
      </c>
    </row>
    <row r="60" spans="38:38">
      <c r="AL60" s="556">
        <f>623.1/54</f>
        <v>11.5388888888889</v>
      </c>
    </row>
  </sheetData>
  <phoneticPr fontId="228" type="noConversion"/>
  <pageMargins left="0.7" right="0.7" top="0.75" bottom="0.75" header="0.3" footer="0.3"/>
  <pageSetup paperSize="9"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L17:AL65"/>
  <sheetViews>
    <sheetView topLeftCell="O1" workbookViewId="0">
      <selection activeCell="AL17" sqref="AL17"/>
    </sheetView>
  </sheetViews>
  <sheetFormatPr defaultColWidth="9" defaultRowHeight="13.5"/>
  <cols>
    <col min="1" max="37" width="9" style="556"/>
    <col min="38" max="38" width="12.625" style="556"/>
    <col min="39" max="16384" width="9" style="556"/>
  </cols>
  <sheetData>
    <row r="17" spans="38:38">
      <c r="AL17" s="556">
        <f>ROUND(459.71/27,4)</f>
        <v>17.026299999999999</v>
      </c>
    </row>
    <row r="65" spans="38:38">
      <c r="AL65" s="556">
        <f>554.66/33</f>
        <v>16.807878787878799</v>
      </c>
    </row>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0" customWidth="1"/>
    <col min="2" max="2" width="37.25" style="3430" customWidth="1"/>
    <col min="3" max="3" width="11.375" style="3430" customWidth="1"/>
    <col min="4" max="4" width="31.75" style="3430" customWidth="1"/>
    <col min="5" max="5" width="0.5" style="3430" customWidth="1"/>
    <col min="6" max="7" width="13" style="3430" customWidth="1"/>
    <col min="8" max="16384" width="9" style="3430"/>
  </cols>
  <sheetData>
    <row r="1" spans="1:5" ht="18.75">
      <c r="A1" s="3431" t="s">
        <v>94</v>
      </c>
      <c r="B1" s="3432"/>
      <c r="C1" s="3432"/>
      <c r="D1" s="3432"/>
      <c r="E1" s="3432"/>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8.75">
      <c r="A4" s="3433"/>
      <c r="B4" s="3494" t="s">
        <v>95</v>
      </c>
      <c r="C4" s="3494"/>
      <c r="D4" s="3494"/>
      <c r="E4" s="3433"/>
    </row>
    <row r="5" spans="1:5" ht="15.75">
      <c r="A5" s="3432"/>
      <c r="B5" s="3495" t="s">
        <v>96</v>
      </c>
      <c r="C5" s="3434" t="s">
        <v>97</v>
      </c>
      <c r="D5" s="3435" t="e">
        <f ca="1">结果表!H101</f>
        <v>#REF!</v>
      </c>
      <c r="E5" s="3432"/>
    </row>
    <row r="6" spans="1:5" ht="15.75">
      <c r="A6" s="3432"/>
      <c r="B6" s="3495"/>
      <c r="C6" s="3434" t="s">
        <v>98</v>
      </c>
      <c r="D6" s="3435" t="e">
        <f ca="1">NUMBERSTRING(INT(D5*10000),2)&amp;"元整"</f>
        <v>#REF!</v>
      </c>
      <c r="E6" s="3432"/>
    </row>
    <row r="7" spans="1:5" ht="15.75">
      <c r="A7" s="3432"/>
      <c r="B7" s="3496"/>
      <c r="C7" s="3436" t="s">
        <v>99</v>
      </c>
      <c r="D7" s="3437" t="e">
        <f ca="1">结果表!H102</f>
        <v>#REF!</v>
      </c>
      <c r="E7" s="3432"/>
    </row>
    <row r="8" spans="1:5" ht="15.75">
      <c r="A8" s="3432"/>
      <c r="B8" s="3497" t="str">
        <f>结果表!E103</f>
        <v>2.估价师知悉的法定优先受偿款</v>
      </c>
      <c r="C8" s="3438" t="s">
        <v>100</v>
      </c>
      <c r="D8" s="3437">
        <f>结果表!H103</f>
        <v>0</v>
      </c>
      <c r="E8" s="3432"/>
    </row>
    <row r="9" spans="1:5" ht="15.75">
      <c r="A9" s="3432"/>
      <c r="B9" s="3498"/>
      <c r="C9" s="3434" t="s">
        <v>98</v>
      </c>
      <c r="D9" s="3435" t="str">
        <f>NUMBERSTRING(INT(D8*10000),2)&amp;"元整"</f>
        <v>零元整</v>
      </c>
      <c r="E9" s="3432"/>
    </row>
    <row r="10" spans="1:5" ht="15">
      <c r="A10" s="3432"/>
      <c r="B10" s="3439" t="s">
        <v>101</v>
      </c>
      <c r="C10" s="3440" t="s">
        <v>102</v>
      </c>
      <c r="D10" s="3441">
        <f>结果表!H104</f>
        <v>0</v>
      </c>
      <c r="E10" s="3432"/>
    </row>
    <row r="11" spans="1:5" ht="15">
      <c r="A11" s="3432"/>
      <c r="B11" s="3439" t="s">
        <v>103</v>
      </c>
      <c r="C11" s="3440" t="s">
        <v>102</v>
      </c>
      <c r="D11" s="3441">
        <f>结果表!H105</f>
        <v>0</v>
      </c>
      <c r="E11" s="3432"/>
    </row>
    <row r="12" spans="1:5" ht="15">
      <c r="A12" s="3432"/>
      <c r="B12" s="3439" t="s">
        <v>104</v>
      </c>
      <c r="C12" s="3440" t="s">
        <v>102</v>
      </c>
      <c r="D12" s="3441">
        <f>结果表!H106</f>
        <v>0</v>
      </c>
      <c r="E12" s="3432"/>
    </row>
    <row r="13" spans="1:5" ht="15.75">
      <c r="A13" s="3432"/>
      <c r="B13" s="3499" t="str">
        <f>结果表!E107</f>
        <v>3.房地产抵押价值</v>
      </c>
      <c r="C13" s="3442" t="s">
        <v>97</v>
      </c>
      <c r="D13" s="3443" t="e">
        <f ca="1">结果表!H107</f>
        <v>#REF!</v>
      </c>
      <c r="E13" s="3432"/>
    </row>
    <row r="14" spans="1:5" ht="15.75">
      <c r="A14" s="3432"/>
      <c r="B14" s="3495"/>
      <c r="C14" s="3434" t="s">
        <v>98</v>
      </c>
      <c r="D14" s="3435" t="e">
        <f ca="1">NUMBERSTRING(INT(D13*10000),2)&amp;"元整"</f>
        <v>#REF!</v>
      </c>
      <c r="E14" s="3432"/>
    </row>
    <row r="15" spans="1:5" ht="15">
      <c r="A15" s="3432"/>
      <c r="B15" s="3496"/>
      <c r="C15" s="3436" t="s">
        <v>99</v>
      </c>
      <c r="D15" s="3444" t="e">
        <f ca="1">结果表!H108</f>
        <v>#REF!</v>
      </c>
      <c r="E15" s="3432"/>
    </row>
    <row r="16" spans="1:5" ht="15">
      <c r="A16" s="3432"/>
      <c r="B16" s="3497" t="str">
        <f>结果表!E109</f>
        <v>——</v>
      </c>
      <c r="C16" s="3442" t="s">
        <v>97</v>
      </c>
      <c r="D16" s="3445" t="str">
        <f>结果表!H109</f>
        <v>——</v>
      </c>
      <c r="E16" s="3432"/>
    </row>
    <row r="17" spans="1:5" ht="15.75">
      <c r="A17" s="3432"/>
      <c r="B17" s="3500"/>
      <c r="C17" s="3434" t="s">
        <v>98</v>
      </c>
      <c r="D17" s="3435" t="e">
        <f>NUMBERSTRING(INT(D16*10000),2)&amp;"元整"</f>
        <v>#VALUE!</v>
      </c>
      <c r="E17" s="3432"/>
    </row>
    <row r="18" spans="1:5" ht="15">
      <c r="A18" s="3432"/>
      <c r="B18" s="3498"/>
      <c r="C18" s="3436" t="s">
        <v>99</v>
      </c>
      <c r="D18" s="3444" t="str">
        <f>结果表!H110</f>
        <v>——</v>
      </c>
      <c r="E18" s="3432"/>
    </row>
    <row r="19" spans="1:5" ht="15.75">
      <c r="A19" s="3432"/>
      <c r="B19" s="3499" t="str">
        <f>结果表!E111</f>
        <v>——</v>
      </c>
      <c r="C19" s="3442" t="s">
        <v>97</v>
      </c>
      <c r="D19" s="3437" t="str">
        <f>结果表!H111</f>
        <v>——</v>
      </c>
      <c r="E19" s="3432"/>
    </row>
    <row r="20" spans="1:5" ht="15.75">
      <c r="A20" s="3432"/>
      <c r="B20" s="3495"/>
      <c r="C20" s="3434" t="s">
        <v>98</v>
      </c>
      <c r="D20" s="3435" t="e">
        <f>NUMBERSTRING(INT(D19*10000),2)&amp;"元整"</f>
        <v>#VALUE!</v>
      </c>
      <c r="E20" s="3432"/>
    </row>
    <row r="21" spans="1:5" ht="15">
      <c r="A21" s="3432"/>
      <c r="B21" s="3501"/>
      <c r="C21" s="3446" t="s">
        <v>99</v>
      </c>
      <c r="D21" s="3447" t="str">
        <f>结果表!H112</f>
        <v>——</v>
      </c>
      <c r="E21" s="3432"/>
    </row>
    <row r="22" spans="1:5">
      <c r="A22" s="3432"/>
      <c r="B22" s="3448" t="s">
        <v>105</v>
      </c>
      <c r="C22" s="3432"/>
      <c r="D22" s="3432"/>
      <c r="E22" s="3432"/>
    </row>
    <row r="23" spans="1:5">
      <c r="A23" s="3432"/>
      <c r="B23" s="3432"/>
      <c r="C23" s="3432"/>
      <c r="D23" s="3432"/>
      <c r="E23" s="3432"/>
    </row>
    <row r="24" spans="1:5" ht="18.75">
      <c r="A24" s="3449"/>
      <c r="B24" s="3450" t="s">
        <v>106</v>
      </c>
      <c r="C24" s="3449"/>
      <c r="D24" s="3449"/>
      <c r="E24" s="3449"/>
    </row>
    <row r="25" spans="1:5">
      <c r="A25" s="3449"/>
      <c r="B25" s="3449"/>
      <c r="C25" s="3449"/>
      <c r="D25" s="3449"/>
      <c r="E25" s="3449"/>
    </row>
    <row r="26" spans="1:5">
      <c r="A26" s="3449"/>
      <c r="B26" s="3449"/>
      <c r="C26" s="3449"/>
      <c r="D26" s="3449"/>
      <c r="E26" s="3449"/>
    </row>
    <row r="27" spans="1:5">
      <c r="A27" s="3449"/>
      <c r="B27" s="3449"/>
      <c r="C27" s="3449"/>
      <c r="D27" s="3449"/>
      <c r="E27" s="3449"/>
    </row>
    <row r="28" spans="1:5">
      <c r="A28" s="3449"/>
      <c r="B28" s="3449"/>
      <c r="C28" s="3449"/>
      <c r="D28" s="3449"/>
      <c r="E28" s="3449"/>
    </row>
    <row r="29" spans="1:5">
      <c r="A29" s="3449"/>
      <c r="B29" s="3449"/>
      <c r="C29" s="3449"/>
      <c r="D29" s="3449"/>
      <c r="E29" s="3449"/>
    </row>
    <row r="30" spans="1:5">
      <c r="A30" s="3449"/>
      <c r="B30" s="3449"/>
      <c r="C30" s="3449"/>
      <c r="D30" s="3449"/>
      <c r="E30" s="3449"/>
    </row>
    <row r="31" spans="1:5">
      <c r="A31" s="3449"/>
      <c r="B31" s="3449"/>
      <c r="C31" s="3449"/>
      <c r="D31" s="3449"/>
      <c r="E31" s="3449"/>
    </row>
    <row r="32" spans="1:5">
      <c r="A32" s="3449"/>
      <c r="B32" s="3449"/>
      <c r="C32" s="3449"/>
      <c r="D32" s="3449"/>
      <c r="E32" s="3449"/>
    </row>
    <row r="33" spans="1:5">
      <c r="A33" s="3449"/>
      <c r="B33" s="3449"/>
      <c r="C33" s="3449"/>
      <c r="D33" s="3449"/>
      <c r="E33" s="3449"/>
    </row>
    <row r="34" spans="1:5">
      <c r="A34" s="3449"/>
      <c r="B34" s="3449"/>
      <c r="C34" s="3449"/>
      <c r="D34" s="3449"/>
      <c r="E34" s="3449"/>
    </row>
    <row r="35" spans="1:5">
      <c r="A35" s="3449"/>
      <c r="B35" s="3449"/>
      <c r="C35" s="3449"/>
      <c r="D35" s="3449"/>
      <c r="E35" s="3449"/>
    </row>
    <row r="36" spans="1:5">
      <c r="A36" s="3449"/>
      <c r="B36" s="3449"/>
      <c r="C36" s="3449"/>
      <c r="D36" s="3449"/>
      <c r="E36" s="3449"/>
    </row>
    <row r="37" spans="1:5">
      <c r="A37" s="3449"/>
      <c r="B37" s="3449"/>
      <c r="C37" s="3449"/>
      <c r="D37" s="3449"/>
      <c r="E37" s="3449"/>
    </row>
    <row r="38" spans="1:5">
      <c r="A38" s="3449"/>
      <c r="B38" s="3449"/>
      <c r="C38" s="3449"/>
      <c r="D38" s="3449"/>
      <c r="E38" s="3449"/>
    </row>
    <row r="39" spans="1:5">
      <c r="A39" s="3449"/>
      <c r="B39" s="3449"/>
      <c r="C39" s="3449"/>
      <c r="D39" s="3449"/>
      <c r="E39" s="3449"/>
    </row>
    <row r="40" spans="1:5">
      <c r="A40" s="3449"/>
      <c r="B40" s="3449"/>
      <c r="C40" s="3449"/>
      <c r="D40" s="3449"/>
      <c r="E40" s="3449"/>
    </row>
    <row r="41" spans="1:5">
      <c r="A41" s="3449"/>
      <c r="B41" s="3449"/>
      <c r="C41" s="3449"/>
      <c r="D41" s="3449"/>
      <c r="E41" s="3449"/>
    </row>
    <row r="42" spans="1:5">
      <c r="A42" s="3449"/>
      <c r="B42" s="3449"/>
      <c r="C42" s="3449"/>
      <c r="D42" s="3449"/>
      <c r="E42" s="34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2"/>
  <sheetViews>
    <sheetView workbookViewId="0">
      <selection activeCell="T13" sqref="T13"/>
    </sheetView>
  </sheetViews>
  <sheetFormatPr defaultColWidth="9" defaultRowHeight="13.5"/>
  <cols>
    <col min="1" max="19" width="9" style="556"/>
    <col min="20" max="20" width="11.5" style="556"/>
    <col min="21" max="16384" width="9" style="556"/>
  </cols>
  <sheetData>
    <row r="12" spans="20:20">
      <c r="T12" s="556">
        <f>785.5/64</f>
        <v>12.2734375</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L21:AL64"/>
  <sheetViews>
    <sheetView topLeftCell="O1" workbookViewId="0">
      <selection activeCell="AL25" sqref="AL25"/>
    </sheetView>
  </sheetViews>
  <sheetFormatPr defaultColWidth="9" defaultRowHeight="13.5"/>
  <cols>
    <col min="1" max="37" width="9" style="556"/>
    <col min="38" max="38" width="12.625" style="556"/>
    <col min="39" max="16384" width="9" style="556"/>
  </cols>
  <sheetData>
    <row r="21" spans="38:38">
      <c r="AL21" s="556">
        <f>274.34/26</f>
        <v>10.551538461538501</v>
      </c>
    </row>
    <row r="23" spans="38:38">
      <c r="AL23" s="556">
        <f>ROUND((274.34-0.1-0.4-0.2)/(26-1-4-2),4)</f>
        <v>14.402100000000001</v>
      </c>
    </row>
    <row r="64" spans="38:38">
      <c r="AL64" s="556">
        <f>576.74/70</f>
        <v>8.2391428571428609</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5"/>
  <sheetViews>
    <sheetView workbookViewId="0">
      <selection activeCell="T26" sqref="T26"/>
    </sheetView>
  </sheetViews>
  <sheetFormatPr defaultColWidth="9" defaultRowHeight="13.5"/>
  <cols>
    <col min="1" max="16384" width="9" style="556"/>
  </cols>
  <sheetData>
    <row r="25" spans="20:20">
      <c r="T25" s="556">
        <f>64/4</f>
        <v>16</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556"/>
  </cols>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2296</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2297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2298</v>
      </c>
      <c r="B18" s="507"/>
      <c r="C18" s="508"/>
      <c r="D18" s="508"/>
      <c r="E18" s="507"/>
      <c r="F18" s="508"/>
      <c r="G18" s="508"/>
    </row>
    <row r="19" spans="1:13" ht="19.5" customHeight="1">
      <c r="A19" s="506" t="s">
        <v>2299</v>
      </c>
      <c r="B19" s="509" t="s">
        <v>2300</v>
      </c>
      <c r="C19" s="509" t="s">
        <v>2301</v>
      </c>
      <c r="D19" s="510"/>
      <c r="E19" s="506" t="s">
        <v>2302</v>
      </c>
      <c r="F19" s="511"/>
      <c r="G19" s="511"/>
    </row>
    <row r="20" spans="1:13" ht="19.5" customHeight="1">
      <c r="A20" s="3805" t="s">
        <v>229</v>
      </c>
      <c r="B20" s="3811" t="s">
        <v>2303</v>
      </c>
      <c r="C20" s="512" t="s">
        <v>244</v>
      </c>
      <c r="D20" s="512"/>
      <c r="E20" s="513">
        <v>1</v>
      </c>
      <c r="F20" s="514" t="s">
        <v>2304</v>
      </c>
      <c r="G20" s="514"/>
    </row>
    <row r="21" spans="1:13" ht="19.5" customHeight="1">
      <c r="A21" s="3806"/>
      <c r="B21" s="3812"/>
      <c r="C21" s="515" t="s">
        <v>259</v>
      </c>
      <c r="D21" s="515"/>
      <c r="E21" s="516">
        <v>1</v>
      </c>
      <c r="F21" s="514" t="s">
        <v>2305</v>
      </c>
      <c r="G21" s="514"/>
    </row>
    <row r="22" spans="1:13" ht="19.5" customHeight="1">
      <c r="A22" s="3806"/>
      <c r="B22" s="3812"/>
      <c r="C22" s="515" t="s">
        <v>270</v>
      </c>
      <c r="D22" s="515"/>
      <c r="E22" s="516">
        <v>0.9</v>
      </c>
      <c r="F22" s="514" t="s">
        <v>2306</v>
      </c>
      <c r="G22" s="514"/>
    </row>
    <row r="23" spans="1:13" ht="19.5" customHeight="1">
      <c r="A23" s="3806"/>
      <c r="B23" s="3812"/>
      <c r="C23" s="515" t="s">
        <v>281</v>
      </c>
      <c r="D23" s="515"/>
      <c r="E23" s="516">
        <v>0.9</v>
      </c>
      <c r="F23" s="514" t="s">
        <v>2307</v>
      </c>
      <c r="G23" s="514"/>
    </row>
    <row r="24" spans="1:13" ht="19.5" customHeight="1">
      <c r="A24" s="3806"/>
      <c r="B24" s="3812"/>
      <c r="C24" s="515" t="s">
        <v>290</v>
      </c>
      <c r="D24" s="515"/>
      <c r="E24" s="516">
        <v>0.8</v>
      </c>
      <c r="F24" s="514" t="s">
        <v>2308</v>
      </c>
      <c r="G24" s="514"/>
    </row>
    <row r="25" spans="1:13" ht="19.5" customHeight="1">
      <c r="A25" s="3806"/>
      <c r="B25" s="3812"/>
      <c r="C25" s="515" t="s">
        <v>298</v>
      </c>
      <c r="D25" s="515"/>
      <c r="E25" s="516">
        <v>0.8</v>
      </c>
      <c r="F25" s="514"/>
      <c r="G25" s="514"/>
    </row>
    <row r="26" spans="1:13" ht="19.5" customHeight="1">
      <c r="A26" s="3806"/>
      <c r="B26" s="3812"/>
      <c r="C26" s="517" t="s">
        <v>306</v>
      </c>
      <c r="D26" s="517"/>
      <c r="E26" s="518">
        <v>0.43</v>
      </c>
      <c r="F26" s="514"/>
      <c r="G26" s="514"/>
    </row>
    <row r="27" spans="1:13" ht="19.5" customHeight="1">
      <c r="A27" s="3807"/>
      <c r="B27" s="3813"/>
      <c r="C27" s="519" t="s">
        <v>313</v>
      </c>
      <c r="D27" s="519"/>
      <c r="E27" s="520">
        <f>E26*0.9</f>
        <v>0.38700000000000001</v>
      </c>
      <c r="F27" s="514" t="s">
        <v>2309</v>
      </c>
      <c r="G27" s="514"/>
    </row>
    <row r="28" spans="1:13" ht="19.5" customHeight="1">
      <c r="A28" s="521" t="s">
        <v>230</v>
      </c>
      <c r="B28" s="522" t="s">
        <v>2303</v>
      </c>
      <c r="C28" s="523" t="s">
        <v>245</v>
      </c>
      <c r="D28" s="524"/>
      <c r="E28" s="525">
        <v>1</v>
      </c>
      <c r="F28" s="514" t="s">
        <v>2310</v>
      </c>
      <c r="G28" s="514"/>
    </row>
    <row r="29" spans="1:13" ht="19.5" customHeight="1">
      <c r="A29" s="3808" t="s">
        <v>231</v>
      </c>
      <c r="B29" s="3814" t="s">
        <v>231</v>
      </c>
      <c r="C29" s="526" t="s">
        <v>246</v>
      </c>
      <c r="D29" s="527"/>
      <c r="E29" s="513">
        <v>1</v>
      </c>
      <c r="F29" s="514" t="s">
        <v>2311</v>
      </c>
      <c r="G29" s="514"/>
    </row>
    <row r="30" spans="1:13" ht="19.5" customHeight="1">
      <c r="A30" s="3809"/>
      <c r="B30" s="3815"/>
      <c r="C30" s="528" t="s">
        <v>260</v>
      </c>
      <c r="D30" s="529"/>
      <c r="E30" s="516">
        <v>1</v>
      </c>
      <c r="F30" s="514" t="s">
        <v>2312</v>
      </c>
      <c r="G30" s="514"/>
    </row>
    <row r="31" spans="1:13" ht="19.5" customHeight="1">
      <c r="A31" s="3809"/>
      <c r="B31" s="3815"/>
      <c r="C31" s="528" t="s">
        <v>271</v>
      </c>
      <c r="D31" s="529"/>
      <c r="E31" s="516">
        <v>0.8</v>
      </c>
      <c r="F31" s="514" t="s">
        <v>2313</v>
      </c>
      <c r="G31" s="514"/>
    </row>
    <row r="32" spans="1:13" ht="19.5" customHeight="1">
      <c r="A32" s="3809"/>
      <c r="B32" s="3815"/>
      <c r="C32" s="528" t="s">
        <v>282</v>
      </c>
      <c r="D32" s="529"/>
      <c r="E32" s="516">
        <v>0.8</v>
      </c>
      <c r="F32" s="514" t="s">
        <v>2314</v>
      </c>
      <c r="G32" s="514"/>
    </row>
    <row r="33" spans="1:7" ht="19.5" customHeight="1">
      <c r="A33" s="3809"/>
      <c r="B33" s="3815"/>
      <c r="C33" s="528" t="s">
        <v>291</v>
      </c>
      <c r="D33" s="529"/>
      <c r="E33" s="516">
        <v>0.8</v>
      </c>
      <c r="F33" s="514" t="s">
        <v>2315</v>
      </c>
      <c r="G33" s="514"/>
    </row>
    <row r="34" spans="1:7" ht="19.5" customHeight="1">
      <c r="A34" s="3809"/>
      <c r="B34" s="3815"/>
      <c r="C34" s="528" t="s">
        <v>299</v>
      </c>
      <c r="D34" s="529"/>
      <c r="E34" s="516">
        <v>0.7</v>
      </c>
      <c r="F34" s="514" t="s">
        <v>2316</v>
      </c>
      <c r="G34" s="514"/>
    </row>
    <row r="35" spans="1:7" ht="19.5" customHeight="1">
      <c r="A35" s="3809"/>
      <c r="B35" s="3815"/>
      <c r="C35" s="528" t="s">
        <v>307</v>
      </c>
      <c r="D35" s="529"/>
      <c r="E35" s="516">
        <v>0.8</v>
      </c>
      <c r="F35" s="514" t="s">
        <v>2317</v>
      </c>
      <c r="G35" s="514"/>
    </row>
    <row r="36" spans="1:7" ht="19.5" customHeight="1">
      <c r="A36" s="3809"/>
      <c r="B36" s="3815"/>
      <c r="C36" s="528" t="s">
        <v>314</v>
      </c>
      <c r="D36" s="529"/>
      <c r="E36" s="516">
        <v>0.6</v>
      </c>
      <c r="F36" s="514" t="s">
        <v>2318</v>
      </c>
      <c r="G36" s="514"/>
    </row>
    <row r="37" spans="1:7" ht="19.5" customHeight="1">
      <c r="A37" s="3809"/>
      <c r="B37" s="3815"/>
      <c r="C37" s="528" t="s">
        <v>320</v>
      </c>
      <c r="D37" s="529"/>
      <c r="E37" s="516">
        <v>0.2</v>
      </c>
      <c r="F37" s="514" t="s">
        <v>2319</v>
      </c>
      <c r="G37" s="514"/>
    </row>
    <row r="38" spans="1:7" ht="19.5" customHeight="1">
      <c r="A38" s="3809"/>
      <c r="B38" s="3815"/>
      <c r="C38" s="528" t="s">
        <v>326</v>
      </c>
      <c r="D38" s="529"/>
      <c r="E38" s="516">
        <v>0.2</v>
      </c>
      <c r="F38" s="514" t="s">
        <v>2320</v>
      </c>
      <c r="G38" s="514"/>
    </row>
    <row r="39" spans="1:7" ht="19.5" customHeight="1">
      <c r="A39" s="3809"/>
      <c r="B39" s="3816" t="s">
        <v>2321</v>
      </c>
      <c r="C39" s="528" t="s">
        <v>332</v>
      </c>
      <c r="D39" s="529"/>
      <c r="E39" s="516">
        <v>0.6</v>
      </c>
      <c r="F39" s="514" t="s">
        <v>2322</v>
      </c>
      <c r="G39" s="514"/>
    </row>
    <row r="40" spans="1:7" ht="19.5" customHeight="1">
      <c r="A40" s="3809"/>
      <c r="B40" s="3815"/>
      <c r="C40" s="528" t="s">
        <v>338</v>
      </c>
      <c r="D40" s="529"/>
      <c r="E40" s="516">
        <v>0.6</v>
      </c>
      <c r="F40" s="514" t="s">
        <v>2323</v>
      </c>
      <c r="G40" s="514"/>
    </row>
    <row r="41" spans="1:7" ht="19.5" customHeight="1">
      <c r="A41" s="3810"/>
      <c r="B41" s="3817"/>
      <c r="C41" s="530" t="s">
        <v>342</v>
      </c>
      <c r="D41" s="531"/>
      <c r="E41" s="532">
        <v>0.6</v>
      </c>
      <c r="F41" s="514" t="s">
        <v>2324</v>
      </c>
      <c r="G41" s="514"/>
    </row>
    <row r="42" spans="1:7" ht="19.5" customHeight="1">
      <c r="A42" s="533" t="s">
        <v>232</v>
      </c>
      <c r="B42" s="534" t="s">
        <v>232</v>
      </c>
      <c r="C42" s="535" t="s">
        <v>247</v>
      </c>
      <c r="D42" s="536"/>
      <c r="E42" s="537">
        <v>1</v>
      </c>
      <c r="F42" s="514" t="s">
        <v>2325</v>
      </c>
      <c r="G42" s="514"/>
    </row>
    <row r="43" spans="1:7" ht="19.5" customHeight="1">
      <c r="A43" s="3805" t="s">
        <v>233</v>
      </c>
      <c r="B43" s="3814" t="s">
        <v>2326</v>
      </c>
      <c r="C43" s="526" t="s">
        <v>248</v>
      </c>
      <c r="D43" s="527"/>
      <c r="E43" s="513">
        <v>1</v>
      </c>
      <c r="F43" s="514" t="s">
        <v>2327</v>
      </c>
      <c r="G43" s="514"/>
    </row>
    <row r="44" spans="1:7" ht="19.5" customHeight="1">
      <c r="A44" s="3806"/>
      <c r="B44" s="3815"/>
      <c r="C44" s="528" t="s">
        <v>261</v>
      </c>
      <c r="D44" s="529"/>
      <c r="E44" s="516">
        <v>1</v>
      </c>
      <c r="F44" s="514" t="s">
        <v>2328</v>
      </c>
      <c r="G44" s="514"/>
    </row>
    <row r="45" spans="1:7" ht="19.5" customHeight="1">
      <c r="A45" s="3806"/>
      <c r="B45" s="3818"/>
      <c r="C45" s="528" t="s">
        <v>272</v>
      </c>
      <c r="D45" s="529"/>
      <c r="E45" s="516">
        <v>1.5</v>
      </c>
      <c r="F45" s="514" t="s">
        <v>2329</v>
      </c>
      <c r="G45" s="514"/>
    </row>
    <row r="46" spans="1:7" ht="19.5" customHeight="1">
      <c r="A46" s="3806"/>
      <c r="B46" s="515" t="s">
        <v>231</v>
      </c>
      <c r="C46" s="528" t="s">
        <v>283</v>
      </c>
      <c r="D46" s="529"/>
      <c r="E46" s="516">
        <v>2</v>
      </c>
      <c r="F46" s="514" t="s">
        <v>2330</v>
      </c>
      <c r="G46" s="514"/>
    </row>
    <row r="47" spans="1:7" ht="19.5" customHeight="1">
      <c r="A47" s="3806"/>
      <c r="B47" s="3816" t="s">
        <v>2331</v>
      </c>
      <c r="C47" s="528" t="s">
        <v>292</v>
      </c>
      <c r="D47" s="529"/>
      <c r="E47" s="516">
        <v>1</v>
      </c>
      <c r="F47" s="514" t="s">
        <v>2332</v>
      </c>
      <c r="G47" s="514"/>
    </row>
    <row r="48" spans="1:7" ht="19.5" customHeight="1">
      <c r="A48" s="3806"/>
      <c r="B48" s="3815"/>
      <c r="C48" s="528" t="s">
        <v>300</v>
      </c>
      <c r="D48" s="529"/>
      <c r="E48" s="516">
        <v>1</v>
      </c>
      <c r="F48" s="514" t="s">
        <v>2333</v>
      </c>
      <c r="G48" s="514"/>
    </row>
    <row r="49" spans="1:7" ht="19.5" customHeight="1">
      <c r="A49" s="3806"/>
      <c r="B49" s="3815"/>
      <c r="C49" s="528" t="s">
        <v>308</v>
      </c>
      <c r="D49" s="529"/>
      <c r="E49" s="516">
        <v>1</v>
      </c>
      <c r="F49" s="514" t="s">
        <v>2334</v>
      </c>
      <c r="G49" s="514"/>
    </row>
    <row r="50" spans="1:7" ht="19.5" customHeight="1">
      <c r="A50" s="3806"/>
      <c r="B50" s="3815"/>
      <c r="C50" s="528" t="s">
        <v>315</v>
      </c>
      <c r="D50" s="529"/>
      <c r="E50" s="516">
        <v>1</v>
      </c>
      <c r="F50" s="514" t="s">
        <v>2335</v>
      </c>
      <c r="G50" s="514"/>
    </row>
    <row r="51" spans="1:7" ht="19.5" customHeight="1">
      <c r="A51" s="3806"/>
      <c r="B51" s="3815"/>
      <c r="C51" s="528" t="s">
        <v>321</v>
      </c>
      <c r="D51" s="529"/>
      <c r="E51" s="516">
        <v>1</v>
      </c>
      <c r="F51" s="514" t="s">
        <v>2336</v>
      </c>
      <c r="G51" s="514"/>
    </row>
    <row r="52" spans="1:7" ht="19.5" customHeight="1">
      <c r="A52" s="3806"/>
      <c r="B52" s="3815"/>
      <c r="C52" s="528" t="s">
        <v>327</v>
      </c>
      <c r="D52" s="529"/>
      <c r="E52" s="516">
        <v>1</v>
      </c>
      <c r="F52" s="514" t="s">
        <v>2337</v>
      </c>
      <c r="G52" s="514"/>
    </row>
    <row r="53" spans="1:7" ht="19.5" customHeight="1">
      <c r="A53" s="3807"/>
      <c r="B53" s="3817"/>
      <c r="C53" s="530" t="s">
        <v>333</v>
      </c>
      <c r="D53" s="531"/>
      <c r="E53" s="532">
        <v>1</v>
      </c>
      <c r="F53" s="514" t="s">
        <v>2338</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2339</v>
      </c>
      <c r="G56" s="506" t="s">
        <v>468</v>
      </c>
    </row>
    <row r="57" spans="1:7" ht="19.5" customHeight="1">
      <c r="A57" s="541"/>
      <c r="B57" s="506" t="s">
        <v>229</v>
      </c>
      <c r="C57" s="506" t="s">
        <v>229</v>
      </c>
      <c r="D57" s="506" t="s">
        <v>229</v>
      </c>
      <c r="E57" s="504" t="s">
        <v>230</v>
      </c>
      <c r="F57" s="504" t="s">
        <v>233</v>
      </c>
      <c r="G57" s="504" t="s">
        <v>595</v>
      </c>
    </row>
    <row r="58" spans="1:7" ht="19.5" customHeight="1">
      <c r="A58" s="542"/>
      <c r="B58" s="504">
        <v>1</v>
      </c>
      <c r="C58" s="504">
        <v>2</v>
      </c>
      <c r="D58" s="504">
        <v>3</v>
      </c>
      <c r="E58" s="543" t="s">
        <v>2340</v>
      </c>
      <c r="F58" s="543" t="s">
        <v>2340</v>
      </c>
      <c r="G58" s="543" t="s">
        <v>2340</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2341</v>
      </c>
      <c r="E72" s="555"/>
      <c r="F72" s="555"/>
    </row>
    <row r="73" spans="1:7" ht="19.5" customHeight="1">
      <c r="A73" s="515" t="s">
        <v>2342</v>
      </c>
      <c r="B73" s="515" t="s">
        <v>2343</v>
      </c>
      <c r="C73" s="515" t="s">
        <v>2344</v>
      </c>
      <c r="D73" s="515" t="s">
        <v>2345</v>
      </c>
      <c r="E73" s="515" t="s">
        <v>2346</v>
      </c>
      <c r="F73" s="515" t="s">
        <v>2347</v>
      </c>
    </row>
    <row r="74" spans="1:7" ht="13.5">
      <c r="A74" s="515"/>
      <c r="B74" s="515"/>
      <c r="C74" s="515" t="s">
        <v>2348</v>
      </c>
      <c r="D74" s="515"/>
      <c r="E74" s="515" t="s">
        <v>124</v>
      </c>
      <c r="F74" s="515" t="s">
        <v>124</v>
      </c>
    </row>
    <row r="75" spans="1:7" ht="13.5">
      <c r="A75" s="515">
        <v>1</v>
      </c>
      <c r="B75" s="3816" t="s">
        <v>2349</v>
      </c>
      <c r="C75" s="504" t="s">
        <v>2350</v>
      </c>
      <c r="D75" s="504" t="s">
        <v>2351</v>
      </c>
      <c r="E75" s="515">
        <v>0.2</v>
      </c>
      <c r="F75" s="515">
        <v>25</v>
      </c>
    </row>
    <row r="76" spans="1:7" ht="24">
      <c r="A76" s="515">
        <v>2</v>
      </c>
      <c r="B76" s="3815"/>
      <c r="C76" s="504" t="s">
        <v>2352</v>
      </c>
      <c r="D76" s="504" t="s">
        <v>2353</v>
      </c>
      <c r="E76" s="515">
        <v>0.2</v>
      </c>
      <c r="F76" s="515">
        <v>25</v>
      </c>
    </row>
    <row r="77" spans="1:7" ht="24">
      <c r="A77" s="515">
        <v>3</v>
      </c>
      <c r="B77" s="3815"/>
      <c r="C77" s="504" t="s">
        <v>2354</v>
      </c>
      <c r="D77" s="504" t="s">
        <v>2355</v>
      </c>
      <c r="E77" s="515">
        <v>0.2</v>
      </c>
      <c r="F77" s="515">
        <v>25</v>
      </c>
    </row>
    <row r="78" spans="1:7" ht="13.5">
      <c r="A78" s="515">
        <v>4</v>
      </c>
      <c r="B78" s="3815"/>
      <c r="C78" s="504" t="s">
        <v>2356</v>
      </c>
      <c r="D78" s="504" t="s">
        <v>2357</v>
      </c>
      <c r="E78" s="515">
        <v>0.15</v>
      </c>
      <c r="F78" s="515">
        <v>20</v>
      </c>
    </row>
    <row r="79" spans="1:7" ht="24">
      <c r="A79" s="515">
        <v>5</v>
      </c>
      <c r="B79" s="3815"/>
      <c r="C79" s="504" t="s">
        <v>2358</v>
      </c>
      <c r="D79" s="504" t="s">
        <v>2359</v>
      </c>
      <c r="E79" s="515">
        <v>0.15</v>
      </c>
      <c r="F79" s="515">
        <v>20</v>
      </c>
    </row>
    <row r="80" spans="1:7" ht="24">
      <c r="A80" s="515">
        <v>6</v>
      </c>
      <c r="B80" s="3815"/>
      <c r="C80" s="504" t="s">
        <v>2360</v>
      </c>
      <c r="D80" s="504" t="s">
        <v>2361</v>
      </c>
      <c r="E80" s="515">
        <v>0.15</v>
      </c>
      <c r="F80" s="515">
        <v>20</v>
      </c>
    </row>
    <row r="81" spans="1:6" ht="24">
      <c r="A81" s="515">
        <v>7</v>
      </c>
      <c r="B81" s="3815"/>
      <c r="C81" s="504" t="s">
        <v>2362</v>
      </c>
      <c r="D81" s="504" t="s">
        <v>2363</v>
      </c>
      <c r="E81" s="515">
        <v>0.15</v>
      </c>
      <c r="F81" s="515">
        <v>20</v>
      </c>
    </row>
    <row r="82" spans="1:6" ht="24">
      <c r="A82" s="515">
        <v>8</v>
      </c>
      <c r="B82" s="3815"/>
      <c r="C82" s="504" t="s">
        <v>2364</v>
      </c>
      <c r="D82" s="504" t="s">
        <v>2365</v>
      </c>
      <c r="E82" s="515">
        <v>0.1</v>
      </c>
      <c r="F82" s="515">
        <v>15</v>
      </c>
    </row>
    <row r="83" spans="1:6" ht="24">
      <c r="A83" s="515">
        <v>9</v>
      </c>
      <c r="B83" s="3815"/>
      <c r="C83" s="504" t="s">
        <v>2366</v>
      </c>
      <c r="D83" s="504" t="s">
        <v>2367</v>
      </c>
      <c r="E83" s="515">
        <v>0.1</v>
      </c>
      <c r="F83" s="515">
        <v>15</v>
      </c>
    </row>
    <row r="84" spans="1:6" ht="24">
      <c r="A84" s="515">
        <v>10</v>
      </c>
      <c r="B84" s="3815"/>
      <c r="C84" s="504" t="s">
        <v>2368</v>
      </c>
      <c r="D84" s="504" t="s">
        <v>2369</v>
      </c>
      <c r="E84" s="515">
        <v>0.1</v>
      </c>
      <c r="F84" s="515">
        <v>15</v>
      </c>
    </row>
    <row r="85" spans="1:6" ht="24">
      <c r="A85" s="515">
        <v>11</v>
      </c>
      <c r="B85" s="3815"/>
      <c r="C85" s="504" t="s">
        <v>2370</v>
      </c>
      <c r="D85" s="504" t="s">
        <v>2371</v>
      </c>
      <c r="E85" s="515">
        <v>0.1</v>
      </c>
      <c r="F85" s="515">
        <v>15</v>
      </c>
    </row>
    <row r="86" spans="1:6" ht="24">
      <c r="A86" s="515">
        <v>12</v>
      </c>
      <c r="B86" s="3815"/>
      <c r="C86" s="504" t="s">
        <v>2372</v>
      </c>
      <c r="D86" s="504" t="s">
        <v>2373</v>
      </c>
      <c r="E86" s="515">
        <v>0.1</v>
      </c>
      <c r="F86" s="515">
        <v>15</v>
      </c>
    </row>
    <row r="87" spans="1:6" ht="13.5">
      <c r="A87" s="515">
        <v>13</v>
      </c>
      <c r="B87" s="3815"/>
      <c r="C87" s="504" t="s">
        <v>2374</v>
      </c>
      <c r="D87" s="504" t="s">
        <v>2375</v>
      </c>
      <c r="E87" s="515">
        <v>0.1</v>
      </c>
      <c r="F87" s="515">
        <v>15</v>
      </c>
    </row>
    <row r="88" spans="1:6" ht="13.5">
      <c r="A88" s="515">
        <v>14</v>
      </c>
      <c r="B88" s="3815"/>
      <c r="C88" s="504" t="s">
        <v>2376</v>
      </c>
      <c r="D88" s="504" t="s">
        <v>2377</v>
      </c>
      <c r="E88" s="515">
        <v>0.1</v>
      </c>
      <c r="F88" s="515">
        <v>15</v>
      </c>
    </row>
    <row r="89" spans="1:6" ht="13.5">
      <c r="A89" s="515">
        <v>15</v>
      </c>
      <c r="B89" s="3815"/>
      <c r="C89" s="504" t="s">
        <v>2378</v>
      </c>
      <c r="D89" s="504" t="s">
        <v>2379</v>
      </c>
      <c r="E89" s="515">
        <v>0.1</v>
      </c>
      <c r="F89" s="515">
        <v>15</v>
      </c>
    </row>
    <row r="90" spans="1:6" ht="24">
      <c r="A90" s="515">
        <v>16</v>
      </c>
      <c r="B90" s="3815"/>
      <c r="C90" s="504" t="s">
        <v>2380</v>
      </c>
      <c r="D90" s="504" t="s">
        <v>2381</v>
      </c>
      <c r="E90" s="515">
        <v>0.1</v>
      </c>
      <c r="F90" s="515">
        <v>15</v>
      </c>
    </row>
    <row r="91" spans="1:6" ht="24">
      <c r="A91" s="515">
        <v>17</v>
      </c>
      <c r="B91" s="3818"/>
      <c r="C91" s="504" t="s">
        <v>2382</v>
      </c>
      <c r="D91" s="504" t="s">
        <v>2383</v>
      </c>
      <c r="E91" s="515">
        <v>0.1</v>
      </c>
      <c r="F91" s="515">
        <v>15</v>
      </c>
    </row>
    <row r="92" spans="1:6" ht="13.5">
      <c r="A92" s="515">
        <v>18</v>
      </c>
      <c r="B92" s="3816" t="s">
        <v>2384</v>
      </c>
      <c r="C92" s="504" t="s">
        <v>2385</v>
      </c>
      <c r="D92" s="504" t="s">
        <v>2386</v>
      </c>
      <c r="E92" s="515">
        <v>0.2</v>
      </c>
      <c r="F92" s="515">
        <v>25</v>
      </c>
    </row>
    <row r="93" spans="1:6" ht="24">
      <c r="A93" s="515">
        <v>19</v>
      </c>
      <c r="B93" s="3815"/>
      <c r="C93" s="504" t="s">
        <v>2387</v>
      </c>
      <c r="D93" s="504" t="s">
        <v>2388</v>
      </c>
      <c r="E93" s="515">
        <v>0.2</v>
      </c>
      <c r="F93" s="515">
        <v>25</v>
      </c>
    </row>
    <row r="94" spans="1:6" ht="13.5">
      <c r="A94" s="515">
        <v>20</v>
      </c>
      <c r="B94" s="3815"/>
      <c r="C94" s="504" t="s">
        <v>2389</v>
      </c>
      <c r="D94" s="504" t="s">
        <v>2390</v>
      </c>
      <c r="E94" s="515">
        <v>0.15</v>
      </c>
      <c r="F94" s="515">
        <v>20</v>
      </c>
    </row>
    <row r="95" spans="1:6" ht="13.5">
      <c r="A95" s="515">
        <v>21</v>
      </c>
      <c r="B95" s="3815"/>
      <c r="C95" s="504" t="s">
        <v>2391</v>
      </c>
      <c r="D95" s="504" t="s">
        <v>2392</v>
      </c>
      <c r="E95" s="515">
        <v>0.15</v>
      </c>
      <c r="F95" s="515">
        <v>20</v>
      </c>
    </row>
    <row r="96" spans="1:6" ht="13.5">
      <c r="A96" s="515">
        <v>22</v>
      </c>
      <c r="B96" s="3815"/>
      <c r="C96" s="504" t="s">
        <v>2393</v>
      </c>
      <c r="D96" s="504" t="s">
        <v>2394</v>
      </c>
      <c r="E96" s="515">
        <v>0.15</v>
      </c>
      <c r="F96" s="515">
        <v>20</v>
      </c>
    </row>
    <row r="97" spans="1:6" ht="36">
      <c r="A97" s="515">
        <v>23</v>
      </c>
      <c r="B97" s="3815"/>
      <c r="C97" s="504" t="s">
        <v>2395</v>
      </c>
      <c r="D97" s="504" t="s">
        <v>2396</v>
      </c>
      <c r="E97" s="515">
        <v>0.15</v>
      </c>
      <c r="F97" s="515">
        <v>20</v>
      </c>
    </row>
    <row r="98" spans="1:6" ht="13.5">
      <c r="A98" s="515">
        <v>24</v>
      </c>
      <c r="B98" s="3815"/>
      <c r="C98" s="504" t="s">
        <v>2397</v>
      </c>
      <c r="D98" s="504" t="s">
        <v>2398</v>
      </c>
      <c r="E98" s="515">
        <v>0.1</v>
      </c>
      <c r="F98" s="515">
        <v>15</v>
      </c>
    </row>
    <row r="99" spans="1:6" ht="13.5">
      <c r="A99" s="515">
        <v>25</v>
      </c>
      <c r="B99" s="3815"/>
      <c r="C99" s="504" t="s">
        <v>2399</v>
      </c>
      <c r="D99" s="504" t="s">
        <v>2400</v>
      </c>
      <c r="E99" s="515">
        <v>0.1</v>
      </c>
      <c r="F99" s="515">
        <v>15</v>
      </c>
    </row>
    <row r="100" spans="1:6" ht="24">
      <c r="A100" s="515">
        <v>26</v>
      </c>
      <c r="B100" s="3815"/>
      <c r="C100" s="504" t="s">
        <v>2401</v>
      </c>
      <c r="D100" s="504" t="s">
        <v>2402</v>
      </c>
      <c r="E100" s="515">
        <v>0.1</v>
      </c>
      <c r="F100" s="515">
        <v>15</v>
      </c>
    </row>
    <row r="101" spans="1:6" ht="24">
      <c r="A101" s="515">
        <v>27</v>
      </c>
      <c r="B101" s="3815"/>
      <c r="C101" s="504" t="s">
        <v>2403</v>
      </c>
      <c r="D101" s="504" t="s">
        <v>2404</v>
      </c>
      <c r="E101" s="515">
        <v>0.1</v>
      </c>
      <c r="F101" s="515">
        <v>15</v>
      </c>
    </row>
    <row r="102" spans="1:6" ht="13.5">
      <c r="A102" s="515">
        <v>28</v>
      </c>
      <c r="B102" s="3815"/>
      <c r="C102" s="504" t="s">
        <v>2405</v>
      </c>
      <c r="D102" s="504" t="s">
        <v>2406</v>
      </c>
      <c r="E102" s="515">
        <v>0.1</v>
      </c>
      <c r="F102" s="515">
        <v>15</v>
      </c>
    </row>
    <row r="103" spans="1:6" ht="13.5">
      <c r="A103" s="515">
        <v>29</v>
      </c>
      <c r="B103" s="3815"/>
      <c r="C103" s="504" t="s">
        <v>2407</v>
      </c>
      <c r="D103" s="504" t="s">
        <v>2408</v>
      </c>
      <c r="E103" s="515">
        <v>0.1</v>
      </c>
      <c r="F103" s="515">
        <v>15</v>
      </c>
    </row>
    <row r="104" spans="1:6" ht="13.5">
      <c r="A104" s="515">
        <v>30</v>
      </c>
      <c r="B104" s="3815"/>
      <c r="C104" s="504" t="s">
        <v>2409</v>
      </c>
      <c r="D104" s="504" t="s">
        <v>2410</v>
      </c>
      <c r="E104" s="515">
        <v>0.1</v>
      </c>
      <c r="F104" s="515">
        <v>15</v>
      </c>
    </row>
    <row r="105" spans="1:6" ht="24">
      <c r="A105" s="515">
        <v>31</v>
      </c>
      <c r="B105" s="3815"/>
      <c r="C105" s="504" t="s">
        <v>2411</v>
      </c>
      <c r="D105" s="504" t="s">
        <v>2412</v>
      </c>
      <c r="E105" s="515">
        <v>0.1</v>
      </c>
      <c r="F105" s="515">
        <v>15</v>
      </c>
    </row>
    <row r="106" spans="1:6" ht="24">
      <c r="A106" s="515">
        <v>32</v>
      </c>
      <c r="B106" s="3815"/>
      <c r="C106" s="504" t="s">
        <v>2413</v>
      </c>
      <c r="D106" s="504" t="s">
        <v>2414</v>
      </c>
      <c r="E106" s="515">
        <v>0.1</v>
      </c>
      <c r="F106" s="515">
        <v>15</v>
      </c>
    </row>
    <row r="107" spans="1:6" ht="24">
      <c r="A107" s="515">
        <v>33</v>
      </c>
      <c r="B107" s="3815"/>
      <c r="C107" s="504" t="s">
        <v>2415</v>
      </c>
      <c r="D107" s="504" t="s">
        <v>2416</v>
      </c>
      <c r="E107" s="515">
        <v>0.1</v>
      </c>
      <c r="F107" s="515">
        <v>15</v>
      </c>
    </row>
    <row r="108" spans="1:6" ht="24">
      <c r="A108" s="515">
        <v>34</v>
      </c>
      <c r="B108" s="3818"/>
      <c r="C108" s="504" t="s">
        <v>2417</v>
      </c>
      <c r="D108" s="504" t="s">
        <v>2418</v>
      </c>
      <c r="E108" s="515">
        <v>0.1</v>
      </c>
      <c r="F108" s="515">
        <v>15</v>
      </c>
    </row>
    <row r="109" spans="1:6" ht="24">
      <c r="A109" s="515">
        <v>35</v>
      </c>
      <c r="B109" s="3816" t="s">
        <v>2419</v>
      </c>
      <c r="C109" s="515" t="s">
        <v>2420</v>
      </c>
      <c r="D109" s="504" t="s">
        <v>2421</v>
      </c>
      <c r="E109" s="515">
        <v>0.15</v>
      </c>
      <c r="F109" s="515">
        <v>20</v>
      </c>
    </row>
    <row r="110" spans="1:6" ht="13.5">
      <c r="A110" s="515">
        <v>36</v>
      </c>
      <c r="B110" s="3815"/>
      <c r="C110" s="515" t="s">
        <v>2422</v>
      </c>
      <c r="D110" s="504" t="s">
        <v>2423</v>
      </c>
      <c r="E110" s="515">
        <v>0.15</v>
      </c>
      <c r="F110" s="515">
        <v>20</v>
      </c>
    </row>
    <row r="111" spans="1:6" ht="13.5">
      <c r="A111" s="515">
        <v>37</v>
      </c>
      <c r="B111" s="3815"/>
      <c r="C111" s="515" t="s">
        <v>2424</v>
      </c>
      <c r="D111" s="504" t="s">
        <v>2425</v>
      </c>
      <c r="E111" s="515">
        <v>0.15</v>
      </c>
      <c r="F111" s="515">
        <v>20</v>
      </c>
    </row>
    <row r="112" spans="1:6" ht="13.5">
      <c r="A112" s="515">
        <v>38</v>
      </c>
      <c r="B112" s="3815"/>
      <c r="C112" s="515" t="s">
        <v>2426</v>
      </c>
      <c r="D112" s="504" t="s">
        <v>2427</v>
      </c>
      <c r="E112" s="515">
        <v>0.1</v>
      </c>
      <c r="F112" s="515">
        <v>15</v>
      </c>
    </row>
    <row r="113" spans="1:6" ht="24">
      <c r="A113" s="515">
        <v>39</v>
      </c>
      <c r="B113" s="3815"/>
      <c r="C113" s="515" t="s">
        <v>2428</v>
      </c>
      <c r="D113" s="504" t="s">
        <v>2429</v>
      </c>
      <c r="E113" s="515">
        <v>0.1</v>
      </c>
      <c r="F113" s="515">
        <v>15</v>
      </c>
    </row>
    <row r="114" spans="1:6" ht="24">
      <c r="A114" s="515">
        <v>40</v>
      </c>
      <c r="B114" s="3818"/>
      <c r="C114" s="515" t="s">
        <v>2430</v>
      </c>
      <c r="D114" s="504" t="s">
        <v>2431</v>
      </c>
      <c r="E114" s="515">
        <v>0.1</v>
      </c>
      <c r="F114" s="515">
        <v>15</v>
      </c>
    </row>
    <row r="115" spans="1:6" ht="13.5">
      <c r="A115" s="515">
        <v>41</v>
      </c>
      <c r="B115" s="3812" t="s">
        <v>2432</v>
      </c>
      <c r="C115" s="515" t="s">
        <v>2433</v>
      </c>
      <c r="D115" s="504" t="s">
        <v>2434</v>
      </c>
      <c r="E115" s="515">
        <v>0.1</v>
      </c>
      <c r="F115" s="515">
        <v>15</v>
      </c>
    </row>
    <row r="116" spans="1:6" ht="13.5">
      <c r="A116" s="515">
        <v>42</v>
      </c>
      <c r="B116" s="3812"/>
      <c r="C116" s="515" t="s">
        <v>2435</v>
      </c>
      <c r="D116" s="504" t="s">
        <v>2436</v>
      </c>
      <c r="E116" s="515">
        <v>0.1</v>
      </c>
      <c r="F116" s="515">
        <v>15</v>
      </c>
    </row>
    <row r="117" spans="1:6" ht="24">
      <c r="A117" s="515">
        <v>43</v>
      </c>
      <c r="B117" s="3812"/>
      <c r="C117" s="515" t="s">
        <v>2437</v>
      </c>
      <c r="D117" s="504" t="s">
        <v>2438</v>
      </c>
      <c r="E117" s="515">
        <v>0.1</v>
      </c>
      <c r="F117" s="515">
        <v>15</v>
      </c>
    </row>
    <row r="118" spans="1:6" ht="13.5">
      <c r="A118" s="515">
        <v>44</v>
      </c>
      <c r="B118" s="3816" t="s">
        <v>2439</v>
      </c>
      <c r="C118" s="515" t="s">
        <v>2440</v>
      </c>
      <c r="D118" s="504" t="s">
        <v>2441</v>
      </c>
      <c r="E118" s="515">
        <v>0.1</v>
      </c>
      <c r="F118" s="515">
        <v>15</v>
      </c>
    </row>
    <row r="119" spans="1:6" ht="24">
      <c r="A119" s="515">
        <v>45</v>
      </c>
      <c r="B119" s="3818"/>
      <c r="C119" s="504" t="s">
        <v>2442</v>
      </c>
      <c r="D119" s="504" t="s">
        <v>2443</v>
      </c>
      <c r="E119" s="515">
        <v>0.1</v>
      </c>
      <c r="F119" s="515">
        <v>15</v>
      </c>
    </row>
    <row r="120" spans="1:6" ht="24">
      <c r="A120" s="515">
        <v>46</v>
      </c>
      <c r="B120" s="3816" t="s">
        <v>2444</v>
      </c>
      <c r="C120" s="515" t="s">
        <v>2445</v>
      </c>
      <c r="D120" s="504" t="s">
        <v>2446</v>
      </c>
      <c r="E120" s="515">
        <v>0.1</v>
      </c>
      <c r="F120" s="515">
        <v>15</v>
      </c>
    </row>
    <row r="121" spans="1:6" ht="24">
      <c r="A121" s="515">
        <v>47</v>
      </c>
      <c r="B121" s="3818"/>
      <c r="C121" s="515" t="s">
        <v>2447</v>
      </c>
      <c r="D121" s="504" t="s">
        <v>2448</v>
      </c>
      <c r="E121" s="515">
        <v>0.1</v>
      </c>
      <c r="F121" s="515">
        <v>15</v>
      </c>
    </row>
    <row r="122" spans="1:6" ht="13.5">
      <c r="A122" s="515">
        <v>48</v>
      </c>
      <c r="B122" s="3816" t="s">
        <v>2449</v>
      </c>
      <c r="C122" s="515" t="s">
        <v>2450</v>
      </c>
      <c r="D122" s="504" t="s">
        <v>2451</v>
      </c>
      <c r="E122" s="515">
        <v>0.1</v>
      </c>
      <c r="F122" s="515">
        <v>15</v>
      </c>
    </row>
    <row r="123" spans="1:6" ht="13.5">
      <c r="A123" s="515">
        <v>49</v>
      </c>
      <c r="B123" s="3818"/>
      <c r="C123" s="515" t="s">
        <v>2452</v>
      </c>
      <c r="D123" s="504" t="s">
        <v>2453</v>
      </c>
      <c r="E123" s="515">
        <v>0.1</v>
      </c>
      <c r="F123" s="515">
        <v>15</v>
      </c>
    </row>
    <row r="124" spans="1:6" ht="24">
      <c r="A124" s="515">
        <v>50</v>
      </c>
      <c r="B124" s="3812" t="s">
        <v>2454</v>
      </c>
      <c r="C124" s="515" t="s">
        <v>2455</v>
      </c>
      <c r="D124" s="504" t="s">
        <v>2456</v>
      </c>
      <c r="E124" s="515">
        <v>0.1</v>
      </c>
      <c r="F124" s="515">
        <v>15</v>
      </c>
    </row>
    <row r="125" spans="1:6" ht="24">
      <c r="A125" s="515">
        <v>51</v>
      </c>
      <c r="B125" s="3812"/>
      <c r="C125" s="515" t="s">
        <v>2457</v>
      </c>
      <c r="D125" s="504" t="s">
        <v>2458</v>
      </c>
      <c r="E125" s="515">
        <v>0.1</v>
      </c>
      <c r="F125" s="515">
        <v>15</v>
      </c>
    </row>
    <row r="126" spans="1:6" ht="24">
      <c r="A126" s="515">
        <v>52</v>
      </c>
      <c r="B126" s="3812" t="s">
        <v>2459</v>
      </c>
      <c r="C126" s="515" t="s">
        <v>2460</v>
      </c>
      <c r="D126" s="504" t="s">
        <v>2461</v>
      </c>
      <c r="E126" s="515">
        <v>0.1</v>
      </c>
      <c r="F126" s="515">
        <v>15</v>
      </c>
    </row>
    <row r="127" spans="1:6" ht="24">
      <c r="A127" s="515">
        <v>53</v>
      </c>
      <c r="B127" s="3812"/>
      <c r="C127" s="515" t="s">
        <v>2462</v>
      </c>
      <c r="D127" s="504" t="s">
        <v>2463</v>
      </c>
      <c r="E127" s="515">
        <v>0.1</v>
      </c>
      <c r="F127" s="515">
        <v>15</v>
      </c>
    </row>
    <row r="128" spans="1:6" ht="13.5">
      <c r="A128" s="515">
        <v>54</v>
      </c>
      <c r="B128" s="515" t="s">
        <v>2464</v>
      </c>
      <c r="C128" s="515" t="s">
        <v>2465</v>
      </c>
      <c r="D128" s="504" t="s">
        <v>2466</v>
      </c>
      <c r="E128" s="515">
        <v>0.1</v>
      </c>
      <c r="F128" s="515">
        <v>15</v>
      </c>
    </row>
    <row r="129" spans="1:6" ht="13.5">
      <c r="A129" s="515">
        <v>55</v>
      </c>
      <c r="B129" s="3812" t="s">
        <v>2467</v>
      </c>
      <c r="C129" s="515" t="s">
        <v>2468</v>
      </c>
      <c r="D129" s="504" t="s">
        <v>2469</v>
      </c>
      <c r="E129" s="515">
        <v>0.1</v>
      </c>
      <c r="F129" s="515">
        <v>15</v>
      </c>
    </row>
    <row r="130" spans="1:6" ht="13.5">
      <c r="A130" s="515">
        <v>56</v>
      </c>
      <c r="B130" s="3812"/>
      <c r="C130" s="515" t="s">
        <v>2470</v>
      </c>
      <c r="D130" s="504" t="s">
        <v>2471</v>
      </c>
      <c r="E130" s="515">
        <v>0.1</v>
      </c>
      <c r="F130" s="515">
        <v>15</v>
      </c>
    </row>
    <row r="131" spans="1:6" ht="24">
      <c r="A131" s="515">
        <v>57</v>
      </c>
      <c r="B131" s="3812"/>
      <c r="C131" s="515" t="s">
        <v>2472</v>
      </c>
      <c r="D131" s="504" t="s">
        <v>2473</v>
      </c>
      <c r="E131" s="515">
        <v>0.1</v>
      </c>
      <c r="F131" s="515">
        <v>15</v>
      </c>
    </row>
    <row r="132" spans="1:6" ht="24">
      <c r="A132" s="515">
        <v>58</v>
      </c>
      <c r="B132" s="3812" t="s">
        <v>2474</v>
      </c>
      <c r="C132" s="515" t="s">
        <v>2475</v>
      </c>
      <c r="D132" s="504" t="s">
        <v>2476</v>
      </c>
      <c r="E132" s="515">
        <v>0.1</v>
      </c>
      <c r="F132" s="515">
        <v>15</v>
      </c>
    </row>
    <row r="133" spans="1:6" ht="13.5">
      <c r="A133" s="515">
        <v>59</v>
      </c>
      <c r="B133" s="3812"/>
      <c r="C133" s="515" t="s">
        <v>2477</v>
      </c>
      <c r="D133" s="504" t="s">
        <v>2478</v>
      </c>
      <c r="E133" s="515">
        <v>0.1</v>
      </c>
      <c r="F133" s="515">
        <v>15</v>
      </c>
    </row>
    <row r="134" spans="1:6" ht="13.5">
      <c r="A134" s="515">
        <v>60</v>
      </c>
      <c r="B134" s="3816" t="s">
        <v>2479</v>
      </c>
      <c r="C134" s="515" t="s">
        <v>2480</v>
      </c>
      <c r="D134" s="504" t="s">
        <v>2481</v>
      </c>
      <c r="E134" s="515">
        <v>0.1</v>
      </c>
      <c r="F134" s="515">
        <v>15</v>
      </c>
    </row>
    <row r="135" spans="1:6" ht="13.5">
      <c r="A135" s="515">
        <v>61</v>
      </c>
      <c r="B135" s="3818"/>
      <c r="C135" s="515" t="s">
        <v>2482</v>
      </c>
      <c r="D135" s="504" t="s">
        <v>2483</v>
      </c>
      <c r="E135" s="515">
        <v>0.1</v>
      </c>
      <c r="F135" s="515">
        <v>15</v>
      </c>
    </row>
    <row r="136" spans="1:6" ht="24">
      <c r="A136" s="515">
        <v>62</v>
      </c>
      <c r="B136" s="515" t="s">
        <v>2484</v>
      </c>
      <c r="C136" s="515" t="s">
        <v>2485</v>
      </c>
      <c r="D136" s="504" t="s">
        <v>2486</v>
      </c>
      <c r="E136" s="515">
        <v>0.1</v>
      </c>
      <c r="F136" s="515">
        <v>15</v>
      </c>
    </row>
    <row r="137" spans="1:6" ht="13.5">
      <c r="A137" s="515">
        <v>63</v>
      </c>
      <c r="B137" s="3812" t="s">
        <v>2487</v>
      </c>
      <c r="C137" s="515" t="s">
        <v>2488</v>
      </c>
      <c r="D137" s="504" t="s">
        <v>2489</v>
      </c>
      <c r="E137" s="515">
        <v>0.1</v>
      </c>
      <c r="F137" s="515">
        <v>15</v>
      </c>
    </row>
    <row r="138" spans="1:6" ht="13.5">
      <c r="A138" s="515">
        <v>64</v>
      </c>
      <c r="B138" s="3812"/>
      <c r="C138" s="515" t="s">
        <v>2490</v>
      </c>
      <c r="D138" s="504" t="s">
        <v>2491</v>
      </c>
      <c r="E138" s="515">
        <v>0.1</v>
      </c>
      <c r="F138" s="515">
        <v>15</v>
      </c>
    </row>
    <row r="139" spans="1:6" ht="13.5">
      <c r="A139" s="515">
        <v>65</v>
      </c>
      <c r="B139" s="515" t="s">
        <v>2492</v>
      </c>
      <c r="C139" s="515" t="s">
        <v>2493</v>
      </c>
      <c r="D139" s="504" t="s">
        <v>2494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2495</v>
      </c>
      <c r="B1" s="469"/>
      <c r="C1" s="469"/>
      <c r="D1" s="469"/>
      <c r="E1" s="469"/>
      <c r="F1" s="469"/>
      <c r="G1" s="469"/>
      <c r="H1" s="469"/>
      <c r="I1" s="469"/>
      <c r="J1" s="469"/>
      <c r="K1" s="469"/>
      <c r="L1" s="469"/>
      <c r="M1" s="469"/>
      <c r="N1" s="476"/>
    </row>
    <row r="2" spans="1:20">
      <c r="A2" s="470" t="s">
        <v>2496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2497</v>
      </c>
      <c r="R2" s="481" t="s">
        <v>2498</v>
      </c>
      <c r="S2" s="481" t="s">
        <v>2499</v>
      </c>
      <c r="T2" s="481" t="s">
        <v>2500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2501</v>
      </c>
      <c r="B93" s="469"/>
      <c r="C93" s="469"/>
      <c r="D93" s="469"/>
      <c r="E93" s="469"/>
      <c r="F93" s="469"/>
      <c r="G93" s="469"/>
      <c r="H93" s="469"/>
      <c r="I93" s="469"/>
      <c r="J93" s="469"/>
      <c r="K93" s="469"/>
      <c r="L93" s="469"/>
      <c r="M93" s="469"/>
    </row>
    <row r="94" spans="1:20">
      <c r="A94" s="470" t="s">
        <v>2496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2497</v>
      </c>
      <c r="R94" s="481" t="s">
        <v>2498</v>
      </c>
      <c r="S94" s="481" t="s">
        <v>2499</v>
      </c>
      <c r="T94" s="481" t="s">
        <v>2500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2502</v>
      </c>
      <c r="B185" s="469"/>
      <c r="C185" s="469"/>
      <c r="D185" s="469"/>
      <c r="E185" s="469"/>
      <c r="F185" s="469"/>
      <c r="G185" s="469"/>
      <c r="H185" s="469"/>
      <c r="I185" s="469"/>
      <c r="J185" s="469"/>
      <c r="K185" s="469"/>
      <c r="L185" s="469"/>
      <c r="M185" s="469"/>
    </row>
    <row r="186" spans="1:20">
      <c r="A186" s="470" t="s">
        <v>2496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2497</v>
      </c>
      <c r="R186" s="481" t="s">
        <v>2498</v>
      </c>
      <c r="S186" s="481" t="s">
        <v>2499</v>
      </c>
      <c r="T186" s="481" t="s">
        <v>2500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2503</v>
      </c>
      <c r="B277" s="469"/>
      <c r="C277" s="469"/>
      <c r="D277" s="469"/>
      <c r="E277" s="469"/>
      <c r="F277" s="469"/>
      <c r="G277" s="469"/>
      <c r="H277" s="469"/>
      <c r="I277" s="469"/>
      <c r="J277" s="469"/>
      <c r="K277" s="469"/>
      <c r="L277" s="469"/>
      <c r="M277" s="469"/>
    </row>
    <row r="278" spans="1:21">
      <c r="A278" s="470" t="s">
        <v>2496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2497</v>
      </c>
      <c r="R278" s="481" t="s">
        <v>2498</v>
      </c>
      <c r="S278" s="481" t="s">
        <v>2504</v>
      </c>
      <c r="T278" s="481" t="s">
        <v>2505</v>
      </c>
      <c r="U278" s="481" t="s">
        <v>2500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2506</v>
      </c>
      <c r="B369" s="485"/>
      <c r="C369" s="485"/>
      <c r="D369" s="485"/>
      <c r="E369" s="485"/>
      <c r="F369" s="485"/>
      <c r="G369" s="485"/>
      <c r="H369" s="485"/>
      <c r="I369" s="485"/>
      <c r="J369" s="485"/>
      <c r="K369" s="485"/>
      <c r="L369" s="485"/>
      <c r="M369" s="485"/>
    </row>
    <row r="370" spans="1:20">
      <c r="A370" s="470" t="s">
        <v>2496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2497</v>
      </c>
      <c r="R370" s="481" t="s">
        <v>2498</v>
      </c>
      <c r="S370" s="481" t="s">
        <v>2499</v>
      </c>
      <c r="T370" s="481" t="s">
        <v>2500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2507</v>
      </c>
      <c r="B1" s="383"/>
      <c r="C1" s="384"/>
      <c r="D1" s="384"/>
      <c r="E1" s="384"/>
      <c r="F1" s="384"/>
      <c r="G1" s="385"/>
    </row>
    <row r="2" spans="1:7" s="374" customFormat="1" ht="18" customHeight="1">
      <c r="A2" s="386" t="s">
        <v>2508</v>
      </c>
      <c r="B2" s="387">
        <f ca="1">C52</f>
        <v>25279</v>
      </c>
      <c r="C2" s="388" t="s">
        <v>1586</v>
      </c>
      <c r="D2" s="385"/>
      <c r="E2" s="385"/>
      <c r="F2" s="385"/>
      <c r="G2" s="385"/>
    </row>
    <row r="3" spans="1:7" s="374" customFormat="1" ht="18" customHeight="1">
      <c r="A3" s="389" t="s">
        <v>2509</v>
      </c>
      <c r="B3" s="390">
        <f ca="1">ROUND(B2*10000/'数据-汇总表'!E3,0)</f>
        <v>8261111</v>
      </c>
      <c r="C3" s="388" t="s">
        <v>2510</v>
      </c>
      <c r="D3" s="385"/>
      <c r="E3" s="385"/>
      <c r="F3" s="385"/>
      <c r="G3" s="385"/>
    </row>
    <row r="4" spans="1:7" s="375" customFormat="1" ht="15.75">
      <c r="A4" s="391" t="s">
        <v>2511</v>
      </c>
      <c r="B4" s="392"/>
      <c r="C4" s="392"/>
      <c r="D4" s="392"/>
      <c r="E4" s="392"/>
      <c r="F4" s="392"/>
      <c r="G4" s="393"/>
    </row>
    <row r="5" spans="1:7" s="376" customFormat="1" ht="13.5" customHeight="1">
      <c r="A5" s="394" t="s">
        <v>1687</v>
      </c>
      <c r="B5" s="395" t="s">
        <v>2512</v>
      </c>
      <c r="C5" s="396">
        <f>C6+C7+C8</f>
        <v>20610</v>
      </c>
      <c r="D5" s="396" t="s">
        <v>2513</v>
      </c>
      <c r="E5" s="397" t="s">
        <v>2514</v>
      </c>
      <c r="F5" s="397" t="s">
        <v>2515</v>
      </c>
      <c r="G5" s="398"/>
    </row>
    <row r="6" spans="1:7" s="376" customFormat="1" ht="13.5" customHeight="1">
      <c r="A6" s="399" t="s">
        <v>1691</v>
      </c>
      <c r="B6" s="400" t="s">
        <v>2516</v>
      </c>
      <c r="C6" s="401">
        <v>20000</v>
      </c>
      <c r="D6" s="402"/>
      <c r="E6" s="403"/>
      <c r="F6" s="403"/>
      <c r="G6" s="404"/>
    </row>
    <row r="7" spans="1:7" s="376" customFormat="1" ht="13.5" customHeight="1">
      <c r="A7" s="399" t="s">
        <v>1693</v>
      </c>
      <c r="B7" s="400" t="s">
        <v>2517</v>
      </c>
      <c r="C7" s="405">
        <f>ROUND(C6*F7,0)</f>
        <v>610</v>
      </c>
      <c r="D7" s="405"/>
      <c r="E7" s="403"/>
      <c r="F7" s="406">
        <f>'数据-取费表'!B48+'数据-取费表'!B49</f>
        <v>3.0499999999999999E-2</v>
      </c>
      <c r="G7" s="404"/>
    </row>
    <row r="8" spans="1:7" s="377" customFormat="1">
      <c r="A8" s="399" t="s">
        <v>1695</v>
      </c>
      <c r="B8" s="400" t="s">
        <v>2518</v>
      </c>
      <c r="C8" s="405" t="str">
        <f>IF(G8="已包含在土地购买价格中","0",'数据-取费表'!B29)</f>
        <v>0</v>
      </c>
      <c r="D8" s="407"/>
      <c r="E8" s="405"/>
      <c r="F8" s="406"/>
      <c r="G8" s="408" t="s">
        <v>2519</v>
      </c>
    </row>
    <row r="9" spans="1:7" s="376" customFormat="1" ht="13.5" customHeight="1">
      <c r="A9" s="409" t="s">
        <v>1597</v>
      </c>
      <c r="B9" s="410" t="s">
        <v>2520</v>
      </c>
      <c r="C9" s="411">
        <f>ROUND(D9*E9/10000,0)</f>
        <v>0</v>
      </c>
      <c r="D9" s="412">
        <f>'数据-汇总表'!E5</f>
        <v>0</v>
      </c>
      <c r="E9" s="411">
        <f>'数据-取费表'!B27</f>
        <v>0</v>
      </c>
      <c r="F9" s="406"/>
      <c r="G9" s="413"/>
    </row>
    <row r="10" spans="1:7" s="376" customFormat="1" ht="13.5" customHeight="1">
      <c r="A10" s="409" t="s">
        <v>1604</v>
      </c>
      <c r="B10" s="410" t="s">
        <v>2521</v>
      </c>
      <c r="C10" s="411">
        <f>ROUND(D10*E10/10000,0)</f>
        <v>1</v>
      </c>
      <c r="D10" s="412">
        <f>'数据-汇总表'!E6</f>
        <v>30.6</v>
      </c>
      <c r="E10" s="411">
        <f>'数据-取费表'!B28</f>
        <v>190</v>
      </c>
      <c r="F10" s="406"/>
      <c r="G10" s="413"/>
    </row>
    <row r="11" spans="1:7" s="376" customFormat="1" ht="13.5" hidden="1" customHeight="1">
      <c r="A11" s="414" t="s">
        <v>1700</v>
      </c>
      <c r="B11" s="400" t="s">
        <v>2522</v>
      </c>
      <c r="C11" s="396"/>
      <c r="D11" s="415"/>
      <c r="E11" s="403"/>
      <c r="F11" s="403"/>
      <c r="G11" s="404"/>
    </row>
    <row r="12" spans="1:7" s="376" customFormat="1" ht="13.5" hidden="1" customHeight="1">
      <c r="A12" s="414" t="s">
        <v>1702</v>
      </c>
      <c r="B12" s="400" t="s">
        <v>2523</v>
      </c>
      <c r="C12" s="396">
        <v>0</v>
      </c>
      <c r="D12" s="415"/>
      <c r="E12" s="416"/>
      <c r="F12" s="406">
        <v>3.0499999999999999E-2</v>
      </c>
      <c r="G12" s="404"/>
    </row>
    <row r="13" spans="1:7" s="376" customFormat="1" ht="13.5" hidden="1" customHeight="1">
      <c r="A13" s="414" t="s">
        <v>1703</v>
      </c>
      <c r="B13" s="400" t="s">
        <v>2524</v>
      </c>
      <c r="C13" s="396"/>
      <c r="D13" s="415"/>
      <c r="E13" s="403"/>
      <c r="F13" s="403"/>
      <c r="G13" s="404"/>
    </row>
    <row r="14" spans="1:7" s="376" customFormat="1" ht="13.5" hidden="1" customHeight="1">
      <c r="A14" s="414" t="s">
        <v>1705</v>
      </c>
      <c r="B14" s="400" t="s">
        <v>2518</v>
      </c>
      <c r="C14" s="396"/>
      <c r="D14" s="415"/>
      <c r="E14" s="403"/>
      <c r="F14" s="403"/>
      <c r="G14" s="404" t="s">
        <v>2525</v>
      </c>
    </row>
    <row r="15" spans="1:7" s="376" customFormat="1" ht="13.5" hidden="1" customHeight="1">
      <c r="A15" s="414" t="s">
        <v>1707</v>
      </c>
      <c r="B15" s="400" t="s">
        <v>2526</v>
      </c>
      <c r="C15" s="405"/>
      <c r="D15" s="415"/>
      <c r="E15" s="403"/>
      <c r="F15" s="403"/>
      <c r="G15" s="404" t="s">
        <v>2527</v>
      </c>
    </row>
    <row r="16" spans="1:7" s="376" customFormat="1" ht="13.5" hidden="1" customHeight="1">
      <c r="A16" s="414" t="s">
        <v>1710</v>
      </c>
      <c r="B16" s="400" t="s">
        <v>2518</v>
      </c>
      <c r="C16" s="405"/>
      <c r="D16" s="415"/>
      <c r="E16" s="403"/>
      <c r="F16" s="403"/>
      <c r="G16" s="404"/>
    </row>
    <row r="17" spans="1:7" s="376" customFormat="1" ht="13.5" hidden="1" customHeight="1">
      <c r="A17" s="414" t="s">
        <v>1711</v>
      </c>
      <c r="B17" s="400" t="s">
        <v>2528</v>
      </c>
      <c r="C17" s="417"/>
      <c r="D17" s="418"/>
      <c r="E17" s="417"/>
      <c r="F17" s="417"/>
      <c r="G17" s="404" t="s">
        <v>2527</v>
      </c>
    </row>
    <row r="18" spans="1:7" s="376" customFormat="1" ht="13.5" hidden="1" customHeight="1">
      <c r="A18" s="414" t="s">
        <v>1713</v>
      </c>
      <c r="B18" s="400" t="s">
        <v>2529</v>
      </c>
      <c r="C18" s="405">
        <v>0</v>
      </c>
      <c r="D18" s="415"/>
      <c r="E18" s="403"/>
      <c r="F18" s="406">
        <v>3.0499999999999999E-2</v>
      </c>
      <c r="G18" s="404" t="s">
        <v>2530</v>
      </c>
    </row>
    <row r="19" spans="1:7" s="377" customFormat="1" ht="13.5" customHeight="1">
      <c r="A19" s="419" t="s">
        <v>2098</v>
      </c>
      <c r="B19" s="395" t="s">
        <v>2531</v>
      </c>
      <c r="C19" s="396">
        <f>IF(G19="已包含在土地取得成本中","0",ROUND(D19*E19/10000,0))</f>
        <v>1</v>
      </c>
      <c r="D19" s="420">
        <f>'数据-汇总表'!E3</f>
        <v>30.6</v>
      </c>
      <c r="E19" s="396">
        <f>'数据-取费表'!B31</f>
        <v>200</v>
      </c>
      <c r="F19" s="421"/>
      <c r="G19" s="408" t="s">
        <v>2532</v>
      </c>
    </row>
    <row r="20" spans="1:7" s="376" customFormat="1" ht="13.5" customHeight="1">
      <c r="A20" s="419" t="s">
        <v>2134</v>
      </c>
      <c r="B20" s="395" t="s">
        <v>2533</v>
      </c>
      <c r="C20" s="422">
        <f>ROUND((C5+C19)*F20,0)</f>
        <v>412</v>
      </c>
      <c r="D20" s="422"/>
      <c r="E20" s="422"/>
      <c r="F20" s="423">
        <f>'数据-取费表'!B37</f>
        <v>0.02</v>
      </c>
      <c r="G20" s="424" t="s">
        <v>2534</v>
      </c>
    </row>
    <row r="21" spans="1:7" s="376" customFormat="1" ht="13.5" customHeight="1">
      <c r="A21" s="419" t="s">
        <v>2139</v>
      </c>
      <c r="B21" s="395" t="s">
        <v>2535</v>
      </c>
      <c r="C21" s="425">
        <f>F21</f>
        <v>0.02</v>
      </c>
      <c r="D21" s="426" t="s">
        <v>2536</v>
      </c>
      <c r="E21" s="422"/>
      <c r="F21" s="423">
        <f>'数据-取费表'!B38</f>
        <v>0.02</v>
      </c>
      <c r="G21" s="427" t="s">
        <v>2537</v>
      </c>
    </row>
    <row r="22" spans="1:7" s="376" customFormat="1" ht="13.5" customHeight="1">
      <c r="A22" s="419" t="s">
        <v>2149</v>
      </c>
      <c r="B22" s="395" t="s">
        <v>2538</v>
      </c>
      <c r="C22" s="428">
        <f ca="1">ROUND(SUM(C23:C25),0)</f>
        <v>1323</v>
      </c>
      <c r="D22" s="425">
        <f ca="1">C26</f>
        <v>5.9999999999999995E-4</v>
      </c>
      <c r="E22" s="426" t="s">
        <v>2536</v>
      </c>
      <c r="F22" s="429">
        <f ca="1">'数据-取费表'!B40</f>
        <v>3.1300000000000001E-2</v>
      </c>
      <c r="G22" s="424" t="str">
        <f>IF('数据-取费表'!B22&lt;=1,"单利计息","复利计息")</f>
        <v>复利计息</v>
      </c>
    </row>
    <row r="23" spans="1:7" s="376" customFormat="1" ht="13.5" customHeight="1">
      <c r="A23" s="430" t="s">
        <v>1691</v>
      </c>
      <c r="B23" s="400" t="s">
        <v>2539</v>
      </c>
      <c r="C23" s="431">
        <f ca="1">ROUND(IF('数据-取费表'!B22&lt;=1,C5*F22*'数据-取费表'!B23,C5*(POWER((1+F22),'数据-取费表'!B23)-1)),0)</f>
        <v>1310</v>
      </c>
      <c r="D23" s="432"/>
      <c r="E23" s="432"/>
      <c r="F23" s="433"/>
      <c r="G23" s="434" t="s">
        <v>2540</v>
      </c>
    </row>
    <row r="24" spans="1:7" s="376" customFormat="1" ht="13.5" customHeight="1">
      <c r="A24" s="430" t="s">
        <v>1693</v>
      </c>
      <c r="B24" s="400" t="s">
        <v>2541</v>
      </c>
      <c r="C24" s="431">
        <f ca="1">ROUND(IF('数据-取费表'!B22&lt;=1,C19*F22*('数据-取费表'!B19/2+'数据-取费表'!B21),C19*(POWER((1+F22),('数据-取费表'!B19/2+'数据-取费表'!B21))-1)),0)</f>
        <v>0</v>
      </c>
      <c r="D24" s="432"/>
      <c r="E24" s="432"/>
      <c r="F24" s="433"/>
      <c r="G24" s="434" t="s">
        <v>2542</v>
      </c>
    </row>
    <row r="25" spans="1:7" s="376" customFormat="1" ht="24">
      <c r="A25" s="430" t="s">
        <v>1695</v>
      </c>
      <c r="B25" s="400" t="s">
        <v>2543</v>
      </c>
      <c r="C25" s="431">
        <f ca="1">ROUND(IF('数据-取费表'!B22&lt;=1,C20*F22*'数据-取费表'!B23/2,C20*(POWER((1+F22),'数据-取费表'!B23/2)-1)),0)</f>
        <v>13</v>
      </c>
      <c r="D25" s="432"/>
      <c r="E25" s="435"/>
      <c r="F25" s="433"/>
      <c r="G25" s="436" t="s">
        <v>2544</v>
      </c>
    </row>
    <row r="26" spans="1:7" s="376" customFormat="1">
      <c r="A26" s="430" t="s">
        <v>1733</v>
      </c>
      <c r="B26" s="400" t="s">
        <v>2545</v>
      </c>
      <c r="C26" s="432">
        <f ca="1">ROUND(IF('数据-取费表'!B22&lt;=1,F21*F22*'数据-取费表'!B23/2,F21*(POWER((1+F22),'数据-取费表'!B23/2)-1)),4)</f>
        <v>5.9999999999999995E-4</v>
      </c>
      <c r="D26" s="432"/>
      <c r="E26" s="435"/>
      <c r="F26" s="433"/>
      <c r="G26" s="437"/>
    </row>
    <row r="27" spans="1:7" s="376" customFormat="1" ht="24.75">
      <c r="A27" s="419" t="s">
        <v>2158</v>
      </c>
      <c r="B27" s="438" t="s">
        <v>2546</v>
      </c>
      <c r="C27" s="439">
        <f>C28</f>
        <v>1051</v>
      </c>
      <c r="D27" s="425">
        <f>C29</f>
        <v>1E-3</v>
      </c>
      <c r="E27" s="426" t="s">
        <v>2536</v>
      </c>
      <c r="F27" s="440">
        <f>'数据-取费表'!Q16</f>
        <v>0.05</v>
      </c>
      <c r="G27" s="441" t="s">
        <v>2547</v>
      </c>
    </row>
    <row r="28" spans="1:7" s="376" customFormat="1" ht="13.5" customHeight="1">
      <c r="A28" s="430" t="s">
        <v>1691</v>
      </c>
      <c r="B28" s="442" t="s">
        <v>2548</v>
      </c>
      <c r="C28" s="443">
        <f>ROUND((C5+C19+C20)*F27*'数据-取费表'!B21/'数据-取费表'!B20,0)</f>
        <v>1051</v>
      </c>
      <c r="D28" s="425"/>
      <c r="E28" s="426"/>
      <c r="F28" s="440"/>
      <c r="G28" s="441"/>
    </row>
    <row r="29" spans="1:7" s="376" customFormat="1" ht="13.5" customHeight="1">
      <c r="A29" s="430" t="s">
        <v>1693</v>
      </c>
      <c r="B29" s="442" t="s">
        <v>2549</v>
      </c>
      <c r="C29" s="432">
        <f>ROUND(C21*F27*'数据-取费表'!B21/'数据-取费表'!B20,4)</f>
        <v>1E-3</v>
      </c>
      <c r="D29" s="425"/>
      <c r="E29" s="426"/>
      <c r="F29" s="440"/>
      <c r="G29" s="441"/>
    </row>
    <row r="30" spans="1:7" s="376" customFormat="1" ht="13.5" customHeight="1">
      <c r="A30" s="419" t="s">
        <v>2550</v>
      </c>
      <c r="B30" s="395" t="s">
        <v>2551</v>
      </c>
      <c r="C30" s="425">
        <f>F30</f>
        <v>5.5E-2</v>
      </c>
      <c r="D30" s="426" t="s">
        <v>2552</v>
      </c>
      <c r="E30" s="435"/>
      <c r="F30" s="429">
        <f>'数据-取费表'!B41</f>
        <v>5.5E-2</v>
      </c>
      <c r="G30" s="427" t="s">
        <v>2553</v>
      </c>
    </row>
    <row r="31" spans="1:7" ht="16.5" customHeight="1">
      <c r="A31" s="444">
        <v>1</v>
      </c>
      <c r="B31" s="395" t="s">
        <v>2554</v>
      </c>
      <c r="C31" s="396">
        <f ca="1">ROUND((C5+C19+C20+C22+C27)/(1-C21-D22-D27-C30/(1+'数据-取费表'!B42)),0)</f>
        <v>25266</v>
      </c>
      <c r="D31" s="445"/>
      <c r="E31" s="396"/>
      <c r="F31" s="446"/>
      <c r="G31" s="427" t="s">
        <v>2555</v>
      </c>
    </row>
    <row r="32" spans="1:7" s="375" customFormat="1" ht="15.75">
      <c r="A32" s="447" t="s">
        <v>2556</v>
      </c>
      <c r="B32" s="448"/>
      <c r="C32" s="448"/>
      <c r="D32" s="448"/>
      <c r="E32" s="448"/>
      <c r="F32" s="448"/>
      <c r="G32" s="449"/>
    </row>
    <row r="33" spans="1:7" s="376" customFormat="1" ht="13.5" customHeight="1">
      <c r="A33" s="394" t="s">
        <v>1687</v>
      </c>
      <c r="B33" s="395" t="s">
        <v>2557</v>
      </c>
      <c r="C33" s="450">
        <f>SUM(C34:C38)</f>
        <v>14</v>
      </c>
      <c r="D33" s="422"/>
      <c r="E33" s="397"/>
      <c r="F33" s="435"/>
      <c r="G33" s="427"/>
    </row>
    <row r="34" spans="1:7" s="378" customFormat="1" ht="13.5" customHeight="1">
      <c r="A34" s="430" t="s">
        <v>1691</v>
      </c>
      <c r="B34" s="400" t="s">
        <v>2558</v>
      </c>
      <c r="C34" s="405">
        <f>IF(F34=100%,'数据-取费表'!M16-SUMIF('数据-取费表'!C:C,"公共配套",'数据-取费表'!M:M),'数据-取费表'!O16-SUMIF('数据-取费表'!C:C,"公共配套",'数据-取费表'!O:O))</f>
        <v>12</v>
      </c>
      <c r="D34" s="402"/>
      <c r="E34" s="405"/>
      <c r="F34" s="451">
        <f>IF('数据-取费表'!B24=0,1,'数据-取费表'!N16)</f>
        <v>1</v>
      </c>
      <c r="G34" s="404" t="s">
        <v>2559</v>
      </c>
    </row>
    <row r="35" spans="1:7" ht="13.5" customHeight="1">
      <c r="A35" s="430" t="s">
        <v>1693</v>
      </c>
      <c r="B35" s="400" t="s">
        <v>2560</v>
      </c>
      <c r="C35" s="405">
        <f>ROUND(C34*F35,0)</f>
        <v>1</v>
      </c>
      <c r="D35" s="405"/>
      <c r="E35" s="405"/>
      <c r="F35" s="452">
        <f>'数据-取费表'!B33</f>
        <v>0.05</v>
      </c>
      <c r="G35" s="404" t="s">
        <v>2561</v>
      </c>
    </row>
    <row r="36" spans="1:7" ht="24">
      <c r="A36" s="430" t="s">
        <v>1695</v>
      </c>
      <c r="B36" s="400" t="s">
        <v>2562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2563</v>
      </c>
    </row>
    <row r="37" spans="1:7" s="378" customFormat="1" ht="13.5" customHeight="1">
      <c r="A37" s="430" t="s">
        <v>1733</v>
      </c>
      <c r="B37" s="400" t="s">
        <v>2564</v>
      </c>
      <c r="C37" s="443">
        <f>ROUND(E37*D37*F34/10000,0)</f>
        <v>1</v>
      </c>
      <c r="D37" s="402">
        <f>'数据-汇总表'!E3</f>
        <v>30.6</v>
      </c>
      <c r="E37" s="443">
        <f>'数据-取费表'!B35</f>
        <v>200</v>
      </c>
      <c r="F37" s="452"/>
      <c r="G37" s="454" t="s">
        <v>2565</v>
      </c>
    </row>
    <row r="38" spans="1:7" ht="13.5" customHeight="1">
      <c r="A38" s="430" t="s">
        <v>1755</v>
      </c>
      <c r="B38" s="400" t="s">
        <v>2523</v>
      </c>
      <c r="C38" s="405">
        <f>ROUND(C34*F38,0)</f>
        <v>0</v>
      </c>
      <c r="D38" s="405"/>
      <c r="E38" s="405"/>
      <c r="F38" s="452">
        <f>'数据-取费表'!B36</f>
        <v>0.02</v>
      </c>
      <c r="G38" s="404" t="s">
        <v>2561</v>
      </c>
    </row>
    <row r="39" spans="1:7" s="376" customFormat="1" ht="13.5" customHeight="1">
      <c r="A39" s="419" t="s">
        <v>2098</v>
      </c>
      <c r="B39" s="395" t="s">
        <v>2533</v>
      </c>
      <c r="C39" s="422">
        <f>ROUND(C33*F20,0)</f>
        <v>0</v>
      </c>
      <c r="D39" s="422"/>
      <c r="E39" s="422"/>
      <c r="F39" s="423"/>
      <c r="G39" s="424" t="s">
        <v>2566</v>
      </c>
    </row>
    <row r="40" spans="1:7" s="376" customFormat="1" ht="13.5" customHeight="1">
      <c r="A40" s="419" t="s">
        <v>2134</v>
      </c>
      <c r="B40" s="395" t="s">
        <v>2535</v>
      </c>
      <c r="C40" s="455">
        <f>F21</f>
        <v>0.02</v>
      </c>
      <c r="D40" s="426" t="s">
        <v>2567</v>
      </c>
      <c r="E40" s="422"/>
      <c r="F40" s="423"/>
      <c r="G40" s="427" t="s">
        <v>2568</v>
      </c>
    </row>
    <row r="41" spans="1:7" s="376" customFormat="1" ht="13.5" customHeight="1">
      <c r="A41" s="419" t="s">
        <v>2139</v>
      </c>
      <c r="B41" s="395" t="s">
        <v>2538</v>
      </c>
      <c r="C41" s="422">
        <f ca="1">ROUND(SUM(C42:C43),0)</f>
        <v>0</v>
      </c>
      <c r="D41" s="425">
        <f ca="1">C44</f>
        <v>5.9999999999999995E-4</v>
      </c>
      <c r="E41" s="426" t="s">
        <v>2567</v>
      </c>
      <c r="F41" s="429"/>
      <c r="G41" s="424" t="str">
        <f>IF('数据-取费表'!B22&lt;=1,"单利计息","复利计息")</f>
        <v>复利计息</v>
      </c>
    </row>
    <row r="42" spans="1:7" ht="13.5" customHeight="1">
      <c r="A42" s="430" t="s">
        <v>1691</v>
      </c>
      <c r="B42" s="400" t="s">
        <v>2539</v>
      </c>
      <c r="C42" s="432">
        <f ca="1">ROUND(IF('数据-取费表'!B22&lt;=1,C33*F22*'数据-取费表'!B21/2,C33*(POWER((1+F22),'数据-取费表'!B21/2)-1)),0)</f>
        <v>0</v>
      </c>
      <c r="D42" s="432"/>
      <c r="E42" s="432"/>
      <c r="F42" s="433"/>
      <c r="G42" s="3725" t="s">
        <v>2569</v>
      </c>
    </row>
    <row r="43" spans="1:7" ht="13.5" customHeight="1">
      <c r="A43" s="430" t="s">
        <v>1693</v>
      </c>
      <c r="B43" s="400" t="s">
        <v>2541</v>
      </c>
      <c r="C43" s="432">
        <f ca="1">ROUND(IF('数据-取费表'!B22&lt;=1,C39*F22*'数据-取费表'!B21/2,C39*(POWER((1+F22),'数据-取费表'!B21/2)-1)),0)</f>
        <v>0</v>
      </c>
      <c r="D43" s="432"/>
      <c r="E43" s="432"/>
      <c r="F43" s="433"/>
      <c r="G43" s="3726"/>
    </row>
    <row r="44" spans="1:7" ht="13.5" customHeight="1">
      <c r="A44" s="430" t="s">
        <v>1695</v>
      </c>
      <c r="B44" s="400" t="s">
        <v>2543</v>
      </c>
      <c r="C44" s="432">
        <f ca="1">ROUND(IF('数据-取费表'!B22&lt;=1,C40*F22*'数据-取费表'!B21/2,C40*(POWER((1+F22),'数据-取费表'!B21/2)-1)),4)</f>
        <v>5.9999999999999995E-4</v>
      </c>
      <c r="D44" s="432"/>
      <c r="E44" s="432"/>
      <c r="F44" s="433"/>
      <c r="G44" s="3727"/>
    </row>
    <row r="45" spans="1:7" s="376" customFormat="1" ht="13.5" customHeight="1">
      <c r="A45" s="419" t="s">
        <v>2149</v>
      </c>
      <c r="B45" s="438" t="s">
        <v>2546</v>
      </c>
      <c r="C45" s="439">
        <f>C46</f>
        <v>1</v>
      </c>
      <c r="D45" s="425">
        <f>C47</f>
        <v>1E-3</v>
      </c>
      <c r="E45" s="426" t="s">
        <v>2567</v>
      </c>
      <c r="F45" s="440"/>
      <c r="G45" s="441" t="s">
        <v>2570</v>
      </c>
    </row>
    <row r="46" spans="1:7" s="376" customFormat="1" ht="13.5" customHeight="1">
      <c r="A46" s="430" t="s">
        <v>1691</v>
      </c>
      <c r="B46" s="442" t="s">
        <v>2571</v>
      </c>
      <c r="C46" s="443">
        <f>ROUND((C33+C39)*F27,0)</f>
        <v>1</v>
      </c>
      <c r="D46" s="456"/>
      <c r="E46" s="426"/>
      <c r="F46" s="440"/>
      <c r="G46" s="441"/>
    </row>
    <row r="47" spans="1:7" s="376" customFormat="1" ht="13.5" customHeight="1">
      <c r="A47" s="430" t="s">
        <v>1693</v>
      </c>
      <c r="B47" s="442" t="s">
        <v>2572</v>
      </c>
      <c r="C47" s="432">
        <f>ROUND(C40*F27,4)</f>
        <v>1E-3</v>
      </c>
      <c r="D47" s="456"/>
      <c r="E47" s="426"/>
      <c r="F47" s="440"/>
      <c r="G47" s="441"/>
    </row>
    <row r="48" spans="1:7" s="376" customFormat="1" ht="13.5" customHeight="1">
      <c r="A48" s="419" t="s">
        <v>2158</v>
      </c>
      <c r="B48" s="395" t="s">
        <v>2551</v>
      </c>
      <c r="C48" s="455">
        <f>F30</f>
        <v>5.5E-2</v>
      </c>
      <c r="D48" s="426" t="s">
        <v>2573</v>
      </c>
      <c r="E48" s="422"/>
      <c r="F48" s="429"/>
      <c r="G48" s="427" t="s">
        <v>2574</v>
      </c>
    </row>
    <row r="49" spans="1:7" ht="16.5" customHeight="1">
      <c r="A49" s="419" t="s">
        <v>2550</v>
      </c>
      <c r="B49" s="395" t="s">
        <v>2575</v>
      </c>
      <c r="C49" s="422">
        <f ca="1">ROUND((C33+C39+C41+C45)/(1-C40-D41-D45-C48/(1+'数据-取费表'!B42)),0)</f>
        <v>16</v>
      </c>
      <c r="D49" s="422"/>
      <c r="E49" s="422"/>
      <c r="F49" s="457"/>
      <c r="G49" s="427" t="s">
        <v>2576</v>
      </c>
    </row>
    <row r="50" spans="1:7" s="378" customFormat="1" ht="24">
      <c r="A50" s="419" t="s">
        <v>2577</v>
      </c>
      <c r="B50" s="395" t="s">
        <v>2578</v>
      </c>
      <c r="C50" s="422"/>
      <c r="D50" s="422"/>
      <c r="E50" s="422"/>
      <c r="F50" s="457">
        <f>IF('数据-取费表'!B24=0,'数据-取费表'!N16,1)</f>
        <v>0.81499999999999995</v>
      </c>
      <c r="G50" s="441" t="s">
        <v>2579</v>
      </c>
    </row>
    <row r="51" spans="1:7" ht="16.5" customHeight="1">
      <c r="A51" s="419" t="s">
        <v>2580</v>
      </c>
      <c r="B51" s="395" t="s">
        <v>2581</v>
      </c>
      <c r="C51" s="422">
        <f ca="1">ROUND(C49*F50,0)</f>
        <v>13</v>
      </c>
      <c r="D51" s="422"/>
      <c r="E51" s="422"/>
      <c r="F51" s="457"/>
      <c r="G51" s="427" t="s">
        <v>2582</v>
      </c>
    </row>
    <row r="52" spans="1:7" s="375" customFormat="1" ht="15.75">
      <c r="A52" s="458" t="s">
        <v>2583</v>
      </c>
      <c r="B52" s="459"/>
      <c r="C52" s="460">
        <f ca="1">C31+C51</f>
        <v>25279</v>
      </c>
      <c r="D52" s="459"/>
      <c r="E52" s="459"/>
      <c r="F52" s="459"/>
      <c r="G52" s="461"/>
    </row>
    <row r="55" spans="1:7" ht="15">
      <c r="B55" s="462" t="s">
        <v>2584</v>
      </c>
      <c r="C55" s="463"/>
    </row>
    <row r="56" spans="1:7">
      <c r="B56" s="464" t="s">
        <v>2585</v>
      </c>
      <c r="C56" s="465">
        <f ca="1">ROUND(C51/C52,3)</f>
        <v>1E-3</v>
      </c>
    </row>
    <row r="57" spans="1:7">
      <c r="B57" s="464" t="s">
        <v>2586</v>
      </c>
      <c r="C57" s="466">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19" t="s">
        <v>2587</v>
      </c>
      <c r="B1" s="3819"/>
    </row>
    <row r="2" spans="1:7">
      <c r="A2" s="340"/>
      <c r="B2" s="340"/>
    </row>
    <row r="3" spans="1:7">
      <c r="A3" s="340"/>
      <c r="B3" s="340"/>
      <c r="C3" s="341" t="s">
        <v>229</v>
      </c>
      <c r="D3" s="341" t="s">
        <v>230</v>
      </c>
      <c r="E3" s="341" t="s">
        <v>232</v>
      </c>
      <c r="F3" s="341" t="s">
        <v>233</v>
      </c>
      <c r="G3" s="341" t="s">
        <v>231</v>
      </c>
    </row>
    <row r="4" spans="1:7">
      <c r="A4" s="342" t="s">
        <v>2588</v>
      </c>
      <c r="B4" s="343" t="s">
        <v>2589</v>
      </c>
      <c r="C4" s="341"/>
      <c r="D4" s="341"/>
      <c r="E4" s="341"/>
      <c r="F4" s="341"/>
      <c r="G4" s="341"/>
    </row>
    <row r="5" spans="1:7">
      <c r="A5" s="344" t="s">
        <v>235</v>
      </c>
      <c r="B5" s="345" t="s">
        <v>2590</v>
      </c>
      <c r="C5" s="346">
        <v>9.8000000000000004E-2</v>
      </c>
      <c r="D5" s="346">
        <v>8.6999999999999994E-2</v>
      </c>
      <c r="E5" s="346">
        <v>8.6999999999999994E-2</v>
      </c>
      <c r="F5" s="346">
        <v>9.8000000000000004E-2</v>
      </c>
      <c r="G5" s="347">
        <v>9.5000000000000001E-2</v>
      </c>
    </row>
    <row r="6" spans="1:7">
      <c r="A6" s="348" t="s">
        <v>235</v>
      </c>
      <c r="B6" s="349" t="s">
        <v>2591</v>
      </c>
      <c r="C6" s="350">
        <v>9.8000000000000004E-2</v>
      </c>
      <c r="D6" s="350">
        <v>9.8000000000000004E-2</v>
      </c>
      <c r="E6" s="350">
        <v>9.8000000000000004E-2</v>
      </c>
      <c r="F6" s="350">
        <v>0.1</v>
      </c>
      <c r="G6" s="351">
        <v>9.9000000000000005E-2</v>
      </c>
    </row>
    <row r="7" spans="1:7">
      <c r="A7" s="348" t="s">
        <v>235</v>
      </c>
      <c r="B7" s="349" t="s">
        <v>2592</v>
      </c>
      <c r="C7" s="350">
        <v>9.7000000000000003E-2</v>
      </c>
      <c r="D7" s="350">
        <v>9.7000000000000003E-2</v>
      </c>
      <c r="E7" s="350">
        <v>9.6000000000000002E-2</v>
      </c>
      <c r="F7" s="350">
        <v>0.1</v>
      </c>
      <c r="G7" s="351">
        <v>9.8000000000000004E-2</v>
      </c>
    </row>
    <row r="8" spans="1:7">
      <c r="A8" s="348" t="s">
        <v>235</v>
      </c>
      <c r="B8" s="349" t="s">
        <v>2593</v>
      </c>
      <c r="C8" s="350">
        <v>8.1000000000000003E-2</v>
      </c>
      <c r="D8" s="350">
        <v>8.2000000000000003E-2</v>
      </c>
      <c r="E8" s="350">
        <v>7.0000000000000007E-2</v>
      </c>
      <c r="F8" s="350">
        <v>9.6000000000000002E-2</v>
      </c>
      <c r="G8" s="351">
        <v>8.8999999999999996E-2</v>
      </c>
    </row>
    <row r="9" spans="1:7">
      <c r="A9" s="352" t="s">
        <v>235</v>
      </c>
      <c r="B9" s="353" t="s">
        <v>2594</v>
      </c>
      <c r="C9" s="354">
        <v>0.1</v>
      </c>
      <c r="D9" s="354">
        <v>0.1</v>
      </c>
      <c r="E9" s="354">
        <v>0.1</v>
      </c>
      <c r="F9" s="355"/>
      <c r="G9" s="356">
        <v>0.1</v>
      </c>
    </row>
    <row r="10" spans="1:7">
      <c r="A10" s="344" t="s">
        <v>251</v>
      </c>
      <c r="B10" s="345" t="s">
        <v>2595</v>
      </c>
      <c r="C10" s="346">
        <v>6.7000000000000004E-2</v>
      </c>
      <c r="D10" s="346">
        <v>7.9000000000000001E-2</v>
      </c>
      <c r="E10" s="346">
        <v>7.9000000000000001E-2</v>
      </c>
      <c r="F10" s="346">
        <v>0.1</v>
      </c>
      <c r="G10" s="347">
        <v>9.0999999999999998E-2</v>
      </c>
    </row>
    <row r="11" spans="1:7">
      <c r="A11" s="348" t="s">
        <v>251</v>
      </c>
      <c r="B11" s="349" t="s">
        <v>2596</v>
      </c>
      <c r="C11" s="350">
        <v>0.05</v>
      </c>
      <c r="D11" s="350">
        <v>5.2999999999999999E-2</v>
      </c>
      <c r="E11" s="350">
        <v>6.3E-2</v>
      </c>
      <c r="F11" s="350">
        <v>0.1</v>
      </c>
      <c r="G11" s="351">
        <v>7.1999999999999995E-2</v>
      </c>
    </row>
    <row r="12" spans="1:7">
      <c r="A12" s="348" t="s">
        <v>251</v>
      </c>
      <c r="B12" s="349" t="s">
        <v>2597</v>
      </c>
      <c r="C12" s="350">
        <v>5.2999999999999999E-2</v>
      </c>
      <c r="D12" s="350">
        <v>0.09</v>
      </c>
      <c r="E12" s="350">
        <v>7.1999999999999995E-2</v>
      </c>
      <c r="F12" s="350">
        <v>0.1</v>
      </c>
      <c r="G12" s="351">
        <v>9.7000000000000003E-2</v>
      </c>
    </row>
    <row r="13" spans="1:7">
      <c r="A13" s="348" t="s">
        <v>251</v>
      </c>
      <c r="B13" s="349" t="s">
        <v>2598</v>
      </c>
      <c r="C13" s="350">
        <v>9.7000000000000003E-2</v>
      </c>
      <c r="D13" s="350">
        <v>9.1999999999999998E-2</v>
      </c>
      <c r="E13" s="350">
        <v>9.5000000000000001E-2</v>
      </c>
      <c r="F13" s="350">
        <v>0.1</v>
      </c>
      <c r="G13" s="351">
        <v>9.7000000000000003E-2</v>
      </c>
    </row>
    <row r="14" spans="1:7">
      <c r="A14" s="348" t="s">
        <v>251</v>
      </c>
      <c r="B14" s="349" t="s">
        <v>2599</v>
      </c>
      <c r="C14" s="350">
        <v>9.7000000000000003E-2</v>
      </c>
      <c r="D14" s="350">
        <v>9.7000000000000003E-2</v>
      </c>
      <c r="E14" s="350">
        <v>9.7000000000000003E-2</v>
      </c>
      <c r="F14" s="350">
        <v>0.1</v>
      </c>
      <c r="G14" s="351">
        <v>9.8000000000000004E-2</v>
      </c>
    </row>
    <row r="15" spans="1:7">
      <c r="A15" s="348" t="s">
        <v>251</v>
      </c>
      <c r="B15" s="349" t="s">
        <v>2600</v>
      </c>
      <c r="C15" s="350">
        <v>9.8000000000000004E-2</v>
      </c>
      <c r="D15" s="350">
        <v>9.0999999999999998E-2</v>
      </c>
      <c r="E15" s="350">
        <v>0.06</v>
      </c>
      <c r="F15" s="350">
        <v>0.1</v>
      </c>
      <c r="G15" s="351">
        <v>9.7000000000000003E-2</v>
      </c>
    </row>
    <row r="16" spans="1:7">
      <c r="A16" s="348" t="s">
        <v>251</v>
      </c>
      <c r="B16" s="349" t="s">
        <v>2601</v>
      </c>
      <c r="C16" s="350">
        <v>9.8000000000000004E-2</v>
      </c>
      <c r="D16" s="350">
        <v>9.7000000000000003E-2</v>
      </c>
      <c r="E16" s="350">
        <v>9.5000000000000001E-2</v>
      </c>
      <c r="F16" s="350">
        <v>0.1</v>
      </c>
      <c r="G16" s="351">
        <v>9.9000000000000005E-2</v>
      </c>
    </row>
    <row r="17" spans="1:7">
      <c r="A17" s="348" t="s">
        <v>251</v>
      </c>
      <c r="B17" s="349" t="s">
        <v>2602</v>
      </c>
      <c r="C17" s="350">
        <v>8.8999999999999996E-2</v>
      </c>
      <c r="D17" s="350">
        <v>9.1999999999999998E-2</v>
      </c>
      <c r="E17" s="350">
        <v>6.0999999999999999E-2</v>
      </c>
      <c r="F17" s="350">
        <v>0.1</v>
      </c>
      <c r="G17" s="351">
        <v>9.7000000000000003E-2</v>
      </c>
    </row>
    <row r="18" spans="1:7">
      <c r="A18" s="348" t="s">
        <v>251</v>
      </c>
      <c r="B18" s="349" t="s">
        <v>2603</v>
      </c>
      <c r="C18" s="350">
        <v>9.8000000000000004E-2</v>
      </c>
      <c r="D18" s="350">
        <v>9.8000000000000004E-2</v>
      </c>
      <c r="E18" s="350">
        <v>9.8000000000000004E-2</v>
      </c>
      <c r="F18" s="357"/>
      <c r="G18" s="351">
        <v>9.9000000000000005E-2</v>
      </c>
    </row>
    <row r="19" spans="1:7">
      <c r="A19" s="348" t="s">
        <v>251</v>
      </c>
      <c r="B19" s="349" t="s">
        <v>2604</v>
      </c>
      <c r="C19" s="350">
        <v>9.9000000000000005E-2</v>
      </c>
      <c r="D19" s="350">
        <v>7.3999999999999996E-2</v>
      </c>
      <c r="E19" s="350">
        <v>8.1000000000000003E-2</v>
      </c>
      <c r="F19" s="357"/>
      <c r="G19" s="351">
        <v>9.2999999999999999E-2</v>
      </c>
    </row>
    <row r="20" spans="1:7">
      <c r="A20" s="348" t="s">
        <v>251</v>
      </c>
      <c r="B20" s="349" t="s">
        <v>2605</v>
      </c>
      <c r="C20" s="350">
        <v>0.1</v>
      </c>
      <c r="D20" s="350">
        <v>8.8999999999999996E-2</v>
      </c>
      <c r="E20" s="350">
        <v>8.8999999999999996E-2</v>
      </c>
      <c r="F20" s="357"/>
      <c r="G20" s="351">
        <v>9.5000000000000001E-2</v>
      </c>
    </row>
    <row r="21" spans="1:7">
      <c r="A21" s="348" t="s">
        <v>251</v>
      </c>
      <c r="B21" s="349" t="s">
        <v>2606</v>
      </c>
      <c r="C21" s="350">
        <v>0.1</v>
      </c>
      <c r="D21" s="350">
        <v>9.0999999999999998E-2</v>
      </c>
      <c r="E21" s="350">
        <v>8.2000000000000003E-2</v>
      </c>
      <c r="F21" s="357"/>
      <c r="G21" s="351">
        <v>9.7000000000000003E-2</v>
      </c>
    </row>
    <row r="22" spans="1:7">
      <c r="A22" s="348" t="s">
        <v>251</v>
      </c>
      <c r="B22" s="349" t="s">
        <v>2607</v>
      </c>
      <c r="C22" s="350">
        <v>9.5000000000000001E-2</v>
      </c>
      <c r="D22" s="350">
        <v>9.9000000000000005E-2</v>
      </c>
      <c r="E22" s="350">
        <v>9.8000000000000004E-2</v>
      </c>
      <c r="F22" s="357"/>
      <c r="G22" s="351">
        <v>0.1</v>
      </c>
    </row>
    <row r="23" spans="1:7">
      <c r="A23" s="348" t="s">
        <v>251</v>
      </c>
      <c r="B23" s="349" t="s">
        <v>2608</v>
      </c>
      <c r="C23" s="350">
        <v>9.9000000000000005E-2</v>
      </c>
      <c r="D23" s="350">
        <v>0.1</v>
      </c>
      <c r="E23" s="350">
        <v>0.1</v>
      </c>
      <c r="F23" s="357"/>
      <c r="G23" s="351">
        <v>0.1</v>
      </c>
    </row>
    <row r="24" spans="1:7">
      <c r="A24" s="348" t="s">
        <v>251</v>
      </c>
      <c r="B24" s="349" t="s">
        <v>2609</v>
      </c>
      <c r="C24" s="350">
        <v>9.5000000000000001E-2</v>
      </c>
      <c r="D24" s="350">
        <v>0.1</v>
      </c>
      <c r="E24" s="350">
        <v>9.8000000000000004E-2</v>
      </c>
      <c r="F24" s="357"/>
      <c r="G24" s="351">
        <v>0.1</v>
      </c>
    </row>
    <row r="25" spans="1:7">
      <c r="A25" s="348" t="s">
        <v>251</v>
      </c>
      <c r="B25" s="349" t="s">
        <v>2610</v>
      </c>
      <c r="C25" s="350">
        <v>0.05</v>
      </c>
      <c r="D25" s="350">
        <v>9.6000000000000002E-2</v>
      </c>
      <c r="E25" s="350">
        <v>9.6000000000000002E-2</v>
      </c>
      <c r="F25" s="357"/>
      <c r="G25" s="351">
        <v>9.6000000000000002E-2</v>
      </c>
    </row>
    <row r="26" spans="1:7">
      <c r="A26" s="348" t="s">
        <v>251</v>
      </c>
      <c r="B26" s="349" t="s">
        <v>2611</v>
      </c>
      <c r="C26" s="350">
        <v>6.3E-2</v>
      </c>
      <c r="D26" s="350">
        <v>9.9000000000000005E-2</v>
      </c>
      <c r="E26" s="350">
        <v>9.8000000000000004E-2</v>
      </c>
      <c r="F26" s="357"/>
      <c r="G26" s="351">
        <v>0.1</v>
      </c>
    </row>
    <row r="27" spans="1:7">
      <c r="A27" s="348" t="s">
        <v>251</v>
      </c>
      <c r="B27" s="349" t="s">
        <v>2612</v>
      </c>
      <c r="C27" s="350">
        <v>5.1999999999999998E-2</v>
      </c>
      <c r="D27" s="350">
        <v>9.5000000000000001E-2</v>
      </c>
      <c r="E27" s="350">
        <v>6.4000000000000001E-2</v>
      </c>
      <c r="F27" s="357"/>
      <c r="G27" s="351">
        <v>9.7000000000000003E-2</v>
      </c>
    </row>
    <row r="28" spans="1:7">
      <c r="A28" s="348" t="s">
        <v>251</v>
      </c>
      <c r="B28" s="349" t="s">
        <v>2613</v>
      </c>
      <c r="C28" s="357"/>
      <c r="D28" s="350">
        <v>6.3E-2</v>
      </c>
      <c r="E28" s="350">
        <v>5.1999999999999998E-2</v>
      </c>
      <c r="F28" s="357"/>
      <c r="G28" s="351">
        <v>6.3E-2</v>
      </c>
    </row>
    <row r="29" spans="1:7">
      <c r="A29" s="352" t="s">
        <v>251</v>
      </c>
      <c r="B29" s="353" t="s">
        <v>2614</v>
      </c>
      <c r="C29" s="358"/>
      <c r="D29" s="354">
        <v>5.1999999999999998E-2</v>
      </c>
      <c r="E29" s="354">
        <v>7.0000000000000007E-2</v>
      </c>
      <c r="F29" s="358"/>
      <c r="G29" s="356">
        <v>7.0999999999999994E-2</v>
      </c>
    </row>
    <row r="30" spans="1:7">
      <c r="A30" s="359" t="s">
        <v>264</v>
      </c>
      <c r="B30" s="345" t="s">
        <v>2615</v>
      </c>
      <c r="C30" s="346">
        <v>6.6000000000000003E-2</v>
      </c>
      <c r="D30" s="346">
        <v>6.6000000000000003E-2</v>
      </c>
      <c r="E30" s="346">
        <v>5.7000000000000002E-2</v>
      </c>
      <c r="F30" s="346">
        <v>0.1</v>
      </c>
      <c r="G30" s="347">
        <v>6.8000000000000005E-2</v>
      </c>
    </row>
    <row r="31" spans="1:7">
      <c r="A31" s="360" t="s">
        <v>264</v>
      </c>
      <c r="B31" s="349" t="s">
        <v>2616</v>
      </c>
      <c r="C31" s="350">
        <v>5.5E-2</v>
      </c>
      <c r="D31" s="350">
        <v>8.2000000000000003E-2</v>
      </c>
      <c r="E31" s="350">
        <v>6.4000000000000001E-2</v>
      </c>
      <c r="F31" s="350">
        <v>0.1</v>
      </c>
      <c r="G31" s="351">
        <v>9.5000000000000001E-2</v>
      </c>
    </row>
    <row r="32" spans="1:7">
      <c r="A32" s="360" t="s">
        <v>264</v>
      </c>
      <c r="B32" s="349" t="s">
        <v>2617</v>
      </c>
      <c r="C32" s="350">
        <v>8.2000000000000003E-2</v>
      </c>
      <c r="D32" s="350">
        <v>8.6999999999999994E-2</v>
      </c>
      <c r="E32" s="350">
        <v>9.5000000000000001E-2</v>
      </c>
      <c r="F32" s="350">
        <v>0.1</v>
      </c>
      <c r="G32" s="351">
        <v>9.6000000000000002E-2</v>
      </c>
    </row>
    <row r="33" spans="1:7">
      <c r="A33" s="360" t="s">
        <v>264</v>
      </c>
      <c r="B33" s="349" t="s">
        <v>2618</v>
      </c>
      <c r="C33" s="350">
        <v>9.9000000000000005E-2</v>
      </c>
      <c r="D33" s="350">
        <v>9.1999999999999998E-2</v>
      </c>
      <c r="E33" s="350">
        <v>8.6999999999999994E-2</v>
      </c>
      <c r="F33" s="350">
        <v>0.1</v>
      </c>
      <c r="G33" s="351">
        <v>9.7000000000000003E-2</v>
      </c>
    </row>
    <row r="34" spans="1:7">
      <c r="A34" s="360" t="s">
        <v>264</v>
      </c>
      <c r="B34" s="349" t="s">
        <v>2619</v>
      </c>
      <c r="C34" s="350">
        <v>8.4000000000000005E-2</v>
      </c>
      <c r="D34" s="350">
        <v>9.7000000000000003E-2</v>
      </c>
      <c r="E34" s="350">
        <v>7.0999999999999994E-2</v>
      </c>
      <c r="F34" s="350">
        <v>0.1</v>
      </c>
      <c r="G34" s="351">
        <v>9.8000000000000004E-2</v>
      </c>
    </row>
    <row r="35" spans="1:7">
      <c r="A35" s="360" t="s">
        <v>264</v>
      </c>
      <c r="B35" s="349" t="s">
        <v>2620</v>
      </c>
      <c r="C35" s="350">
        <v>8.3000000000000004E-2</v>
      </c>
      <c r="D35" s="350">
        <v>9.7000000000000003E-2</v>
      </c>
      <c r="E35" s="350">
        <v>6.0999999999999999E-2</v>
      </c>
      <c r="F35" s="350">
        <v>0.1</v>
      </c>
      <c r="G35" s="351">
        <v>9.9000000000000005E-2</v>
      </c>
    </row>
    <row r="36" spans="1:7">
      <c r="A36" s="360" t="s">
        <v>264</v>
      </c>
      <c r="B36" s="349" t="s">
        <v>2621</v>
      </c>
      <c r="C36" s="350">
        <v>9.7000000000000003E-2</v>
      </c>
      <c r="D36" s="350">
        <v>9.7000000000000003E-2</v>
      </c>
      <c r="E36" s="350">
        <v>7.8E-2</v>
      </c>
      <c r="F36" s="350">
        <v>0.1</v>
      </c>
      <c r="G36" s="351">
        <v>9.9000000000000005E-2</v>
      </c>
    </row>
    <row r="37" spans="1:7">
      <c r="A37" s="360" t="s">
        <v>264</v>
      </c>
      <c r="B37" s="349" t="s">
        <v>2622</v>
      </c>
      <c r="C37" s="350">
        <v>9.7000000000000003E-2</v>
      </c>
      <c r="D37" s="350">
        <v>9.5000000000000001E-2</v>
      </c>
      <c r="E37" s="350">
        <v>7.8E-2</v>
      </c>
      <c r="F37" s="350">
        <v>0.1</v>
      </c>
      <c r="G37" s="351">
        <v>9.7000000000000003E-2</v>
      </c>
    </row>
    <row r="38" spans="1:7">
      <c r="A38" s="360" t="s">
        <v>264</v>
      </c>
      <c r="B38" s="349" t="s">
        <v>2623</v>
      </c>
      <c r="C38" s="350">
        <v>9.7000000000000003E-2</v>
      </c>
      <c r="D38" s="350">
        <v>7.6999999999999999E-2</v>
      </c>
      <c r="E38" s="350">
        <v>7.0000000000000007E-2</v>
      </c>
      <c r="F38" s="350">
        <v>0.1</v>
      </c>
      <c r="G38" s="351">
        <v>7.6999999999999999E-2</v>
      </c>
    </row>
    <row r="39" spans="1:7">
      <c r="A39" s="360" t="s">
        <v>264</v>
      </c>
      <c r="B39" s="349" t="s">
        <v>2624</v>
      </c>
      <c r="C39" s="350">
        <v>9.5000000000000001E-2</v>
      </c>
      <c r="D39" s="350">
        <v>7.6999999999999999E-2</v>
      </c>
      <c r="E39" s="350">
        <v>6.6000000000000003E-2</v>
      </c>
      <c r="F39" s="350">
        <v>0.1</v>
      </c>
      <c r="G39" s="351">
        <v>8.5999999999999993E-2</v>
      </c>
    </row>
    <row r="40" spans="1:7">
      <c r="A40" s="360" t="s">
        <v>264</v>
      </c>
      <c r="B40" s="349" t="s">
        <v>2625</v>
      </c>
      <c r="C40" s="350">
        <v>7.6999999999999999E-2</v>
      </c>
      <c r="D40" s="350">
        <v>7.8E-2</v>
      </c>
      <c r="E40" s="350">
        <v>8.2000000000000003E-2</v>
      </c>
      <c r="F40" s="361"/>
      <c r="G40" s="351">
        <v>7.8E-2</v>
      </c>
    </row>
    <row r="41" spans="1:7">
      <c r="A41" s="360" t="s">
        <v>264</v>
      </c>
      <c r="B41" s="349" t="s">
        <v>2626</v>
      </c>
      <c r="C41" s="350">
        <v>7.8E-2</v>
      </c>
      <c r="D41" s="350">
        <v>7.8E-2</v>
      </c>
      <c r="E41" s="350">
        <v>8.2000000000000003E-2</v>
      </c>
      <c r="F41" s="361"/>
      <c r="G41" s="351">
        <v>8.5999999999999993E-2</v>
      </c>
    </row>
    <row r="42" spans="1:7">
      <c r="A42" s="360" t="s">
        <v>264</v>
      </c>
      <c r="B42" s="349" t="s">
        <v>2627</v>
      </c>
      <c r="C42" s="350">
        <v>7.8E-2</v>
      </c>
      <c r="D42" s="350">
        <v>9.6000000000000002E-2</v>
      </c>
      <c r="E42" s="350">
        <v>7.1999999999999995E-2</v>
      </c>
      <c r="F42" s="361"/>
      <c r="G42" s="351">
        <v>9.8000000000000004E-2</v>
      </c>
    </row>
    <row r="43" spans="1:7">
      <c r="A43" s="360" t="s">
        <v>264</v>
      </c>
      <c r="B43" s="349" t="s">
        <v>2628</v>
      </c>
      <c r="C43" s="350">
        <v>7.8E-2</v>
      </c>
      <c r="D43" s="350">
        <v>9.9000000000000005E-2</v>
      </c>
      <c r="E43" s="350">
        <v>9.6000000000000002E-2</v>
      </c>
      <c r="F43" s="361"/>
      <c r="G43" s="351">
        <v>0.1</v>
      </c>
    </row>
    <row r="44" spans="1:7">
      <c r="A44" s="360" t="s">
        <v>264</v>
      </c>
      <c r="B44" s="349" t="s">
        <v>2629</v>
      </c>
      <c r="C44" s="350">
        <v>9.6000000000000002E-2</v>
      </c>
      <c r="D44" s="350">
        <v>0.1</v>
      </c>
      <c r="E44" s="350">
        <v>9.8000000000000004E-2</v>
      </c>
      <c r="F44" s="361"/>
      <c r="G44" s="351">
        <v>0.1</v>
      </c>
    </row>
    <row r="45" spans="1:7">
      <c r="A45" s="360" t="s">
        <v>264</v>
      </c>
      <c r="B45" s="349" t="s">
        <v>2630</v>
      </c>
      <c r="C45" s="350">
        <v>9.9000000000000005E-2</v>
      </c>
      <c r="D45" s="350">
        <v>9.8000000000000004E-2</v>
      </c>
      <c r="E45" s="350">
        <v>9.5000000000000001E-2</v>
      </c>
      <c r="F45" s="361"/>
      <c r="G45" s="351">
        <v>9.8000000000000004E-2</v>
      </c>
    </row>
    <row r="46" spans="1:7">
      <c r="A46" s="360" t="s">
        <v>264</v>
      </c>
      <c r="B46" s="349" t="s">
        <v>2631</v>
      </c>
      <c r="C46" s="350">
        <v>0.1</v>
      </c>
      <c r="D46" s="350">
        <v>9.9000000000000005E-2</v>
      </c>
      <c r="E46" s="350">
        <v>9.6000000000000002E-2</v>
      </c>
      <c r="F46" s="361"/>
      <c r="G46" s="351">
        <v>0.1</v>
      </c>
    </row>
    <row r="47" spans="1:7">
      <c r="A47" s="360" t="s">
        <v>264</v>
      </c>
      <c r="B47" s="349" t="s">
        <v>2632</v>
      </c>
      <c r="C47" s="350">
        <v>9.8000000000000004E-2</v>
      </c>
      <c r="D47" s="350">
        <v>8.6999999999999994E-2</v>
      </c>
      <c r="E47" s="350">
        <v>5.8999999999999997E-2</v>
      </c>
      <c r="F47" s="361"/>
      <c r="G47" s="351">
        <v>9.6000000000000002E-2</v>
      </c>
    </row>
    <row r="48" spans="1:7">
      <c r="A48" s="360" t="s">
        <v>264</v>
      </c>
      <c r="B48" s="349" t="s">
        <v>2633</v>
      </c>
      <c r="C48" s="350">
        <v>9.9000000000000005E-2</v>
      </c>
      <c r="D48" s="350">
        <v>9.8000000000000004E-2</v>
      </c>
      <c r="E48" s="350">
        <v>9.5000000000000001E-2</v>
      </c>
      <c r="F48" s="361"/>
      <c r="G48" s="351">
        <v>9.8000000000000004E-2</v>
      </c>
    </row>
    <row r="49" spans="1:7">
      <c r="A49" s="360" t="s">
        <v>264</v>
      </c>
      <c r="B49" s="349" t="s">
        <v>2634</v>
      </c>
      <c r="C49" s="350">
        <v>8.7999999999999995E-2</v>
      </c>
      <c r="D49" s="350">
        <v>9.9000000000000005E-2</v>
      </c>
      <c r="E49" s="350">
        <v>7.0000000000000007E-2</v>
      </c>
      <c r="F49" s="361"/>
      <c r="G49" s="351">
        <v>0.1</v>
      </c>
    </row>
    <row r="50" spans="1:7">
      <c r="A50" s="360" t="s">
        <v>264</v>
      </c>
      <c r="B50" s="349" t="s">
        <v>2635</v>
      </c>
      <c r="C50" s="350">
        <v>9.8000000000000004E-2</v>
      </c>
      <c r="D50" s="350">
        <v>7.2999999999999995E-2</v>
      </c>
      <c r="E50" s="350">
        <v>7.0999999999999994E-2</v>
      </c>
      <c r="F50" s="361"/>
      <c r="G50" s="351">
        <v>7.2999999999999995E-2</v>
      </c>
    </row>
    <row r="51" spans="1:7">
      <c r="A51" s="360" t="s">
        <v>264</v>
      </c>
      <c r="B51" s="349" t="s">
        <v>2636</v>
      </c>
      <c r="C51" s="350">
        <v>9.9000000000000005E-2</v>
      </c>
      <c r="D51" s="350">
        <v>8.5000000000000006E-2</v>
      </c>
      <c r="E51" s="350">
        <v>6.3E-2</v>
      </c>
      <c r="F51" s="361"/>
      <c r="G51" s="351">
        <v>9.6000000000000002E-2</v>
      </c>
    </row>
    <row r="52" spans="1:7">
      <c r="A52" s="360" t="s">
        <v>264</v>
      </c>
      <c r="B52" s="349" t="s">
        <v>2637</v>
      </c>
      <c r="C52" s="350">
        <v>7.3999999999999996E-2</v>
      </c>
      <c r="D52" s="350">
        <v>9.6000000000000002E-2</v>
      </c>
      <c r="E52" s="350">
        <v>0.05</v>
      </c>
      <c r="F52" s="361"/>
      <c r="G52" s="351">
        <v>9.8000000000000004E-2</v>
      </c>
    </row>
    <row r="53" spans="1:7">
      <c r="A53" s="360" t="s">
        <v>264</v>
      </c>
      <c r="B53" s="349" t="s">
        <v>2638</v>
      </c>
      <c r="C53" s="350">
        <v>8.5999999999999993E-2</v>
      </c>
      <c r="D53" s="361"/>
      <c r="E53" s="350">
        <v>9.1999999999999998E-2</v>
      </c>
      <c r="F53" s="361"/>
      <c r="G53" s="362"/>
    </row>
    <row r="54" spans="1:7">
      <c r="A54" s="363" t="s">
        <v>264</v>
      </c>
      <c r="B54" s="353" t="s">
        <v>2639</v>
      </c>
      <c r="C54" s="354">
        <v>9.6000000000000002E-2</v>
      </c>
      <c r="D54" s="355"/>
      <c r="E54" s="364"/>
      <c r="F54" s="355"/>
      <c r="G54" s="365"/>
    </row>
    <row r="55" spans="1:7">
      <c r="A55" s="359" t="s">
        <v>275</v>
      </c>
      <c r="B55" s="345" t="s">
        <v>2640</v>
      </c>
      <c r="C55" s="346">
        <v>9.6000000000000002E-2</v>
      </c>
      <c r="D55" s="346">
        <v>8.4000000000000005E-2</v>
      </c>
      <c r="E55" s="346">
        <v>9.1999999999999998E-2</v>
      </c>
      <c r="F55" s="346">
        <v>0.1</v>
      </c>
      <c r="G55" s="347">
        <v>9.5000000000000001E-2</v>
      </c>
    </row>
    <row r="56" spans="1:7">
      <c r="A56" s="360" t="s">
        <v>275</v>
      </c>
      <c r="B56" s="349" t="s">
        <v>2641</v>
      </c>
      <c r="C56" s="350">
        <v>8.4000000000000005E-2</v>
      </c>
      <c r="D56" s="350">
        <v>9.1999999999999998E-2</v>
      </c>
      <c r="E56" s="350">
        <v>9.5000000000000001E-2</v>
      </c>
      <c r="F56" s="350">
        <v>9.1999999999999998E-2</v>
      </c>
      <c r="G56" s="351">
        <v>9.6000000000000002E-2</v>
      </c>
    </row>
    <row r="57" spans="1:7">
      <c r="A57" s="360" t="s">
        <v>275</v>
      </c>
      <c r="B57" s="349" t="s">
        <v>2642</v>
      </c>
      <c r="C57" s="350">
        <v>9.9000000000000005E-2</v>
      </c>
      <c r="D57" s="350">
        <v>9.6000000000000002E-2</v>
      </c>
      <c r="E57" s="350">
        <v>9.1999999999999998E-2</v>
      </c>
      <c r="F57" s="350">
        <v>0.1</v>
      </c>
      <c r="G57" s="351">
        <v>9.8000000000000004E-2</v>
      </c>
    </row>
    <row r="58" spans="1:7">
      <c r="A58" s="360" t="s">
        <v>275</v>
      </c>
      <c r="B58" s="349" t="s">
        <v>2643</v>
      </c>
      <c r="C58" s="350">
        <v>9.8000000000000004E-2</v>
      </c>
      <c r="D58" s="350">
        <v>9.5000000000000001E-2</v>
      </c>
      <c r="E58" s="350">
        <v>5.7000000000000002E-2</v>
      </c>
      <c r="F58" s="350">
        <v>0.1</v>
      </c>
      <c r="G58" s="351">
        <v>9.6000000000000002E-2</v>
      </c>
    </row>
    <row r="59" spans="1:7">
      <c r="A59" s="360" t="s">
        <v>275</v>
      </c>
      <c r="B59" s="349" t="s">
        <v>2644</v>
      </c>
      <c r="C59" s="350">
        <v>9.5000000000000001E-2</v>
      </c>
      <c r="D59" s="350">
        <v>0.1</v>
      </c>
      <c r="E59" s="350">
        <v>7.4999999999999997E-2</v>
      </c>
      <c r="F59" s="350">
        <v>0.1</v>
      </c>
      <c r="G59" s="351">
        <v>0.1</v>
      </c>
    </row>
    <row r="60" spans="1:7">
      <c r="A60" s="360" t="s">
        <v>275</v>
      </c>
      <c r="B60" s="349" t="s">
        <v>2645</v>
      </c>
      <c r="C60" s="350">
        <v>0.1</v>
      </c>
      <c r="D60" s="350">
        <v>9.7000000000000003E-2</v>
      </c>
      <c r="E60" s="350">
        <v>0.1</v>
      </c>
      <c r="F60" s="350">
        <v>0.1</v>
      </c>
      <c r="G60" s="351">
        <v>9.7000000000000003E-2</v>
      </c>
    </row>
    <row r="61" spans="1:7">
      <c r="A61" s="360" t="s">
        <v>275</v>
      </c>
      <c r="B61" s="349" t="s">
        <v>2646</v>
      </c>
      <c r="C61" s="350">
        <v>9.7000000000000003E-2</v>
      </c>
      <c r="D61" s="350">
        <v>0.1</v>
      </c>
      <c r="E61" s="350">
        <v>9.2999999999999999E-2</v>
      </c>
      <c r="F61" s="350">
        <v>0.1</v>
      </c>
      <c r="G61" s="351">
        <v>0.1</v>
      </c>
    </row>
    <row r="62" spans="1:7">
      <c r="A62" s="360" t="s">
        <v>275</v>
      </c>
      <c r="B62" s="349" t="s">
        <v>2647</v>
      </c>
      <c r="C62" s="350">
        <v>0.1</v>
      </c>
      <c r="D62" s="350">
        <v>9.7000000000000003E-2</v>
      </c>
      <c r="E62" s="350">
        <v>8.8999999999999996E-2</v>
      </c>
      <c r="F62" s="350">
        <v>0.1</v>
      </c>
      <c r="G62" s="351">
        <v>9.8000000000000004E-2</v>
      </c>
    </row>
    <row r="63" spans="1:7">
      <c r="A63" s="360" t="s">
        <v>275</v>
      </c>
      <c r="B63" s="349" t="s">
        <v>2648</v>
      </c>
      <c r="C63" s="350">
        <v>9.7000000000000003E-2</v>
      </c>
      <c r="D63" s="350">
        <v>9.7000000000000003E-2</v>
      </c>
      <c r="E63" s="350">
        <v>9.9000000000000005E-2</v>
      </c>
      <c r="F63" s="350">
        <v>0.1</v>
      </c>
      <c r="G63" s="351">
        <v>9.7000000000000003E-2</v>
      </c>
    </row>
    <row r="64" spans="1:7">
      <c r="A64" s="360" t="s">
        <v>275</v>
      </c>
      <c r="B64" s="349" t="s">
        <v>2649</v>
      </c>
      <c r="C64" s="350">
        <v>9.7000000000000003E-2</v>
      </c>
      <c r="D64" s="350">
        <v>7.3999999999999996E-2</v>
      </c>
      <c r="E64" s="350">
        <v>7.8E-2</v>
      </c>
      <c r="F64" s="350">
        <v>0.1</v>
      </c>
      <c r="G64" s="351">
        <v>8.8999999999999996E-2</v>
      </c>
    </row>
    <row r="65" spans="1:7">
      <c r="A65" s="360" t="s">
        <v>275</v>
      </c>
      <c r="B65" s="349" t="s">
        <v>2650</v>
      </c>
      <c r="C65" s="350">
        <v>7.2999999999999995E-2</v>
      </c>
      <c r="D65" s="350">
        <v>9.8000000000000004E-2</v>
      </c>
      <c r="E65" s="350">
        <v>9.5000000000000001E-2</v>
      </c>
      <c r="F65" s="350">
        <v>0.1</v>
      </c>
      <c r="G65" s="351">
        <v>9.9000000000000005E-2</v>
      </c>
    </row>
    <row r="66" spans="1:7">
      <c r="A66" s="360" t="s">
        <v>275</v>
      </c>
      <c r="B66" s="349" t="s">
        <v>2651</v>
      </c>
      <c r="C66" s="350">
        <v>9.8000000000000004E-2</v>
      </c>
      <c r="D66" s="350">
        <v>9.5000000000000001E-2</v>
      </c>
      <c r="E66" s="350">
        <v>0.05</v>
      </c>
      <c r="F66" s="350">
        <v>0.1</v>
      </c>
      <c r="G66" s="351">
        <v>9.7000000000000003E-2</v>
      </c>
    </row>
    <row r="67" spans="1:7">
      <c r="A67" s="360" t="s">
        <v>275</v>
      </c>
      <c r="B67" s="349" t="s">
        <v>2652</v>
      </c>
      <c r="C67" s="350">
        <v>9.5000000000000001E-2</v>
      </c>
      <c r="D67" s="350">
        <v>9.7000000000000003E-2</v>
      </c>
      <c r="E67" s="350">
        <v>9.7000000000000003E-2</v>
      </c>
      <c r="F67" s="350">
        <v>0.1</v>
      </c>
      <c r="G67" s="351">
        <v>9.9000000000000005E-2</v>
      </c>
    </row>
    <row r="68" spans="1:7">
      <c r="A68" s="360" t="s">
        <v>275</v>
      </c>
      <c r="B68" s="349" t="s">
        <v>2653</v>
      </c>
      <c r="C68" s="350">
        <v>9.7000000000000003E-2</v>
      </c>
      <c r="D68" s="350">
        <v>6.8000000000000005E-2</v>
      </c>
      <c r="E68" s="350">
        <v>6.6000000000000003E-2</v>
      </c>
      <c r="F68" s="350">
        <v>0.1</v>
      </c>
      <c r="G68" s="351">
        <v>8.4000000000000005E-2</v>
      </c>
    </row>
    <row r="69" spans="1:7">
      <c r="A69" s="360" t="s">
        <v>275</v>
      </c>
      <c r="B69" s="349" t="s">
        <v>2654</v>
      </c>
      <c r="C69" s="350">
        <v>6.8000000000000005E-2</v>
      </c>
      <c r="D69" s="350">
        <v>9.8000000000000004E-2</v>
      </c>
      <c r="E69" s="350">
        <v>9.5000000000000001E-2</v>
      </c>
      <c r="F69" s="350">
        <v>0.1</v>
      </c>
      <c r="G69" s="351">
        <v>0.1</v>
      </c>
    </row>
    <row r="70" spans="1:7">
      <c r="A70" s="360" t="s">
        <v>275</v>
      </c>
      <c r="B70" s="349" t="s">
        <v>2655</v>
      </c>
      <c r="C70" s="350">
        <v>9.8000000000000004E-2</v>
      </c>
      <c r="D70" s="350">
        <v>8.8999999999999996E-2</v>
      </c>
      <c r="E70" s="350">
        <v>5.8999999999999997E-2</v>
      </c>
      <c r="F70" s="350">
        <v>0.1</v>
      </c>
      <c r="G70" s="351">
        <v>9.6000000000000002E-2</v>
      </c>
    </row>
    <row r="71" spans="1:7">
      <c r="A71" s="360" t="s">
        <v>275</v>
      </c>
      <c r="B71" s="349" t="s">
        <v>2656</v>
      </c>
      <c r="C71" s="350">
        <v>8.8999999999999996E-2</v>
      </c>
      <c r="D71" s="350">
        <v>9.9000000000000005E-2</v>
      </c>
      <c r="E71" s="350">
        <v>9.6000000000000002E-2</v>
      </c>
      <c r="F71" s="350">
        <v>0.1</v>
      </c>
      <c r="G71" s="351">
        <v>0.1</v>
      </c>
    </row>
    <row r="72" spans="1:7">
      <c r="A72" s="360" t="s">
        <v>275</v>
      </c>
      <c r="B72" s="349" t="s">
        <v>2657</v>
      </c>
      <c r="C72" s="350">
        <v>9.9000000000000005E-2</v>
      </c>
      <c r="D72" s="350">
        <v>0.1</v>
      </c>
      <c r="E72" s="350">
        <v>7.0000000000000007E-2</v>
      </c>
      <c r="F72" s="361"/>
      <c r="G72" s="351">
        <v>0.1</v>
      </c>
    </row>
    <row r="73" spans="1:7">
      <c r="A73" s="360" t="s">
        <v>275</v>
      </c>
      <c r="B73" s="349" t="s">
        <v>2658</v>
      </c>
      <c r="C73" s="350">
        <v>0.1</v>
      </c>
      <c r="D73" s="350">
        <v>0.1</v>
      </c>
      <c r="E73" s="350">
        <v>9.6000000000000002E-2</v>
      </c>
      <c r="F73" s="361"/>
      <c r="G73" s="351">
        <v>0.1</v>
      </c>
    </row>
    <row r="74" spans="1:7">
      <c r="A74" s="360" t="s">
        <v>275</v>
      </c>
      <c r="B74" s="349" t="s">
        <v>2659</v>
      </c>
      <c r="C74" s="350">
        <v>0.1</v>
      </c>
      <c r="D74" s="350">
        <v>0.1</v>
      </c>
      <c r="E74" s="350">
        <v>9.8000000000000004E-2</v>
      </c>
      <c r="F74" s="361"/>
      <c r="G74" s="351">
        <v>0.1</v>
      </c>
    </row>
    <row r="75" spans="1:7">
      <c r="A75" s="360" t="s">
        <v>275</v>
      </c>
      <c r="B75" s="349" t="s">
        <v>2660</v>
      </c>
      <c r="C75" s="350">
        <v>0.1</v>
      </c>
      <c r="D75" s="350">
        <v>9.9000000000000005E-2</v>
      </c>
      <c r="E75" s="350">
        <v>9.8000000000000004E-2</v>
      </c>
      <c r="F75" s="361"/>
      <c r="G75" s="351">
        <v>0.1</v>
      </c>
    </row>
    <row r="76" spans="1:7">
      <c r="A76" s="360" t="s">
        <v>275</v>
      </c>
      <c r="B76" s="349" t="s">
        <v>2661</v>
      </c>
      <c r="C76" s="350">
        <v>9.9000000000000005E-2</v>
      </c>
      <c r="D76" s="350">
        <v>0.1</v>
      </c>
      <c r="E76" s="350">
        <v>9.7000000000000003E-2</v>
      </c>
      <c r="F76" s="361"/>
      <c r="G76" s="351">
        <v>0.1</v>
      </c>
    </row>
    <row r="77" spans="1:7">
      <c r="A77" s="360" t="s">
        <v>275</v>
      </c>
      <c r="B77" s="349" t="s">
        <v>2662</v>
      </c>
      <c r="C77" s="350">
        <v>0.1</v>
      </c>
      <c r="D77" s="350">
        <v>0.1</v>
      </c>
      <c r="E77" s="350">
        <v>9.6000000000000002E-2</v>
      </c>
      <c r="F77" s="361"/>
      <c r="G77" s="351">
        <v>0.1</v>
      </c>
    </row>
    <row r="78" spans="1:7">
      <c r="A78" s="360" t="s">
        <v>275</v>
      </c>
      <c r="B78" s="349" t="s">
        <v>2663</v>
      </c>
      <c r="C78" s="350">
        <v>0.1</v>
      </c>
      <c r="D78" s="350">
        <v>8.5000000000000006E-2</v>
      </c>
      <c r="E78" s="350">
        <v>9.6000000000000002E-2</v>
      </c>
      <c r="F78" s="361"/>
      <c r="G78" s="351">
        <v>9.6000000000000002E-2</v>
      </c>
    </row>
    <row r="79" spans="1:7">
      <c r="A79" s="360" t="s">
        <v>275</v>
      </c>
      <c r="B79" s="349" t="s">
        <v>2664</v>
      </c>
      <c r="C79" s="350">
        <v>0.05</v>
      </c>
      <c r="D79" s="350">
        <v>9.6000000000000002E-2</v>
      </c>
      <c r="E79" s="350">
        <v>9.5000000000000001E-2</v>
      </c>
      <c r="F79" s="361"/>
      <c r="G79" s="351">
        <v>9.8000000000000004E-2</v>
      </c>
    </row>
    <row r="80" spans="1:7">
      <c r="A80" s="360" t="s">
        <v>275</v>
      </c>
      <c r="B80" s="349" t="s">
        <v>2665</v>
      </c>
      <c r="C80" s="350">
        <v>8.5999999999999993E-2</v>
      </c>
      <c r="D80" s="366"/>
      <c r="E80" s="350">
        <v>0.1</v>
      </c>
      <c r="F80" s="361"/>
      <c r="G80" s="362"/>
    </row>
    <row r="81" spans="1:7">
      <c r="A81" s="360" t="s">
        <v>275</v>
      </c>
      <c r="B81" s="349" t="s">
        <v>2666</v>
      </c>
      <c r="C81" s="350">
        <v>9.6000000000000002E-2</v>
      </c>
      <c r="D81" s="361"/>
      <c r="E81" s="350">
        <v>9.8000000000000004E-2</v>
      </c>
      <c r="F81" s="361"/>
      <c r="G81" s="362"/>
    </row>
    <row r="82" spans="1:7">
      <c r="A82" s="360" t="s">
        <v>275</v>
      </c>
      <c r="B82" s="349" t="s">
        <v>2667</v>
      </c>
      <c r="C82" s="366"/>
      <c r="D82" s="361"/>
      <c r="E82" s="350">
        <v>7.6999999999999999E-2</v>
      </c>
      <c r="F82" s="361"/>
      <c r="G82" s="362"/>
    </row>
    <row r="83" spans="1:7">
      <c r="A83" s="360" t="s">
        <v>275</v>
      </c>
      <c r="B83" s="349" t="s">
        <v>2668</v>
      </c>
      <c r="C83" s="361"/>
      <c r="D83" s="361"/>
      <c r="E83" s="361"/>
      <c r="F83" s="350">
        <v>0.1</v>
      </c>
      <c r="G83" s="367"/>
    </row>
    <row r="84" spans="1:7">
      <c r="A84" s="360" t="s">
        <v>275</v>
      </c>
      <c r="B84" s="349" t="s">
        <v>2669</v>
      </c>
      <c r="C84" s="361"/>
      <c r="D84" s="361"/>
      <c r="E84" s="361"/>
      <c r="F84" s="350">
        <v>0.1</v>
      </c>
      <c r="G84" s="367"/>
    </row>
    <row r="85" spans="1:7">
      <c r="A85" s="360" t="s">
        <v>275</v>
      </c>
      <c r="B85" s="349" t="s">
        <v>2670</v>
      </c>
      <c r="C85" s="361"/>
      <c r="D85" s="361"/>
      <c r="E85" s="361"/>
      <c r="F85" s="350">
        <v>0.1</v>
      </c>
      <c r="G85" s="367"/>
    </row>
    <row r="86" spans="1:7">
      <c r="A86" s="363" t="s">
        <v>275</v>
      </c>
      <c r="B86" s="353" t="s">
        <v>2671</v>
      </c>
      <c r="C86" s="354">
        <v>9.8000000000000004E-2</v>
      </c>
      <c r="D86" s="354">
        <v>9.8000000000000004E-2</v>
      </c>
      <c r="E86" s="354">
        <v>9.6000000000000002E-2</v>
      </c>
      <c r="F86" s="364"/>
      <c r="G86" s="356">
        <v>0.1</v>
      </c>
    </row>
    <row r="87" spans="1:7">
      <c r="A87" s="359" t="s">
        <v>286</v>
      </c>
      <c r="B87" s="345" t="s">
        <v>2672</v>
      </c>
      <c r="C87" s="346">
        <v>0.1</v>
      </c>
      <c r="D87" s="346">
        <v>0.1</v>
      </c>
      <c r="E87" s="346">
        <v>9.8000000000000004E-2</v>
      </c>
      <c r="F87" s="346">
        <v>0.1</v>
      </c>
      <c r="G87" s="347">
        <v>0.1</v>
      </c>
    </row>
    <row r="88" spans="1:7">
      <c r="A88" s="360" t="s">
        <v>286</v>
      </c>
      <c r="B88" s="349" t="s">
        <v>2673</v>
      </c>
      <c r="C88" s="350">
        <v>9.0999999999999998E-2</v>
      </c>
      <c r="D88" s="350">
        <v>9.1999999999999998E-2</v>
      </c>
      <c r="E88" s="350">
        <v>0.1</v>
      </c>
      <c r="F88" s="350">
        <v>0.1</v>
      </c>
      <c r="G88" s="351">
        <v>9.6000000000000002E-2</v>
      </c>
    </row>
    <row r="89" spans="1:7">
      <c r="A89" s="360" t="s">
        <v>286</v>
      </c>
      <c r="B89" s="349" t="s">
        <v>2674</v>
      </c>
      <c r="C89" s="350">
        <v>0.1</v>
      </c>
      <c r="D89" s="350">
        <v>0.1</v>
      </c>
      <c r="E89" s="350">
        <v>6.7000000000000004E-2</v>
      </c>
      <c r="F89" s="350">
        <v>9.2999999999999999E-2</v>
      </c>
      <c r="G89" s="351">
        <v>0.1</v>
      </c>
    </row>
    <row r="90" spans="1:7">
      <c r="A90" s="360" t="s">
        <v>286</v>
      </c>
      <c r="B90" s="349" t="s">
        <v>2675</v>
      </c>
      <c r="C90" s="350">
        <v>9.6000000000000002E-2</v>
      </c>
      <c r="D90" s="350">
        <v>9.6000000000000002E-2</v>
      </c>
      <c r="E90" s="350">
        <v>0.1</v>
      </c>
      <c r="F90" s="350">
        <v>0.1</v>
      </c>
      <c r="G90" s="351">
        <v>9.8000000000000004E-2</v>
      </c>
    </row>
    <row r="91" spans="1:7">
      <c r="A91" s="360" t="s">
        <v>286</v>
      </c>
      <c r="B91" s="349" t="s">
        <v>2676</v>
      </c>
      <c r="C91" s="350">
        <v>7.6999999999999999E-2</v>
      </c>
      <c r="D91" s="350">
        <v>7.6999999999999999E-2</v>
      </c>
      <c r="E91" s="350">
        <v>9.6000000000000002E-2</v>
      </c>
      <c r="F91" s="350">
        <v>0.1</v>
      </c>
      <c r="G91" s="351">
        <v>7.6999999999999999E-2</v>
      </c>
    </row>
    <row r="92" spans="1:7">
      <c r="A92" s="360" t="s">
        <v>286</v>
      </c>
      <c r="B92" s="349" t="s">
        <v>2677</v>
      </c>
      <c r="C92" s="350">
        <v>0.1</v>
      </c>
      <c r="D92" s="350">
        <v>0.1</v>
      </c>
      <c r="E92" s="350">
        <v>9.1999999999999998E-2</v>
      </c>
      <c r="F92" s="350">
        <v>0.1</v>
      </c>
      <c r="G92" s="351">
        <v>0.1</v>
      </c>
    </row>
    <row r="93" spans="1:7">
      <c r="A93" s="360" t="s">
        <v>286</v>
      </c>
      <c r="B93" s="349" t="s">
        <v>2678</v>
      </c>
      <c r="C93" s="350">
        <v>9.8000000000000004E-2</v>
      </c>
      <c r="D93" s="350">
        <v>9.8000000000000004E-2</v>
      </c>
      <c r="E93" s="350">
        <v>9.6000000000000002E-2</v>
      </c>
      <c r="F93" s="350">
        <v>0.1</v>
      </c>
      <c r="G93" s="351">
        <v>9.9000000000000005E-2</v>
      </c>
    </row>
    <row r="94" spans="1:7">
      <c r="A94" s="360" t="s">
        <v>286</v>
      </c>
      <c r="B94" s="349" t="s">
        <v>2679</v>
      </c>
      <c r="C94" s="350">
        <v>8.7999999999999995E-2</v>
      </c>
      <c r="D94" s="350">
        <v>8.7999999999999995E-2</v>
      </c>
      <c r="E94" s="350">
        <v>9.6000000000000002E-2</v>
      </c>
      <c r="F94" s="350">
        <v>0.1</v>
      </c>
      <c r="G94" s="351">
        <v>8.7999999999999995E-2</v>
      </c>
    </row>
    <row r="95" spans="1:7">
      <c r="A95" s="360" t="s">
        <v>286</v>
      </c>
      <c r="B95" s="349" t="s">
        <v>2680</v>
      </c>
      <c r="C95" s="350">
        <v>9.6000000000000002E-2</v>
      </c>
      <c r="D95" s="350">
        <v>9.6000000000000002E-2</v>
      </c>
      <c r="E95" s="350">
        <v>0.1</v>
      </c>
      <c r="F95" s="350">
        <v>0.1</v>
      </c>
      <c r="G95" s="351">
        <v>9.8000000000000004E-2</v>
      </c>
    </row>
    <row r="96" spans="1:7">
      <c r="A96" s="360" t="s">
        <v>286</v>
      </c>
      <c r="B96" s="349" t="s">
        <v>2681</v>
      </c>
      <c r="C96" s="350">
        <v>9.7000000000000003E-2</v>
      </c>
      <c r="D96" s="350">
        <v>9.7000000000000003E-2</v>
      </c>
      <c r="E96" s="350">
        <v>0.1</v>
      </c>
      <c r="F96" s="350">
        <v>0.1</v>
      </c>
      <c r="G96" s="351">
        <v>9.8000000000000004E-2</v>
      </c>
    </row>
    <row r="97" spans="1:7">
      <c r="A97" s="360" t="s">
        <v>286</v>
      </c>
      <c r="B97" s="349" t="s">
        <v>2682</v>
      </c>
      <c r="C97" s="350">
        <v>9.6000000000000002E-2</v>
      </c>
      <c r="D97" s="350">
        <v>9.6000000000000002E-2</v>
      </c>
      <c r="E97" s="350">
        <v>9.9000000000000005E-2</v>
      </c>
      <c r="F97" s="350">
        <v>0.1</v>
      </c>
      <c r="G97" s="351">
        <v>9.8000000000000004E-2</v>
      </c>
    </row>
    <row r="98" spans="1:7">
      <c r="A98" s="360" t="s">
        <v>286</v>
      </c>
      <c r="B98" s="349" t="s">
        <v>2683</v>
      </c>
      <c r="C98" s="350">
        <v>9.8000000000000004E-2</v>
      </c>
      <c r="D98" s="350">
        <v>9.8000000000000004E-2</v>
      </c>
      <c r="E98" s="350">
        <v>0.1</v>
      </c>
      <c r="F98" s="350">
        <v>0.1</v>
      </c>
      <c r="G98" s="351">
        <v>9.9000000000000005E-2</v>
      </c>
    </row>
    <row r="99" spans="1:7">
      <c r="A99" s="360" t="s">
        <v>286</v>
      </c>
      <c r="B99" s="349" t="s">
        <v>2684</v>
      </c>
      <c r="C99" s="350">
        <v>9.6000000000000002E-2</v>
      </c>
      <c r="D99" s="350">
        <v>9.6000000000000002E-2</v>
      </c>
      <c r="E99" s="350">
        <v>0.1</v>
      </c>
      <c r="F99" s="350">
        <v>0.1</v>
      </c>
      <c r="G99" s="351">
        <v>9.7000000000000003E-2</v>
      </c>
    </row>
    <row r="100" spans="1:7">
      <c r="A100" s="360" t="s">
        <v>286</v>
      </c>
      <c r="B100" s="349" t="s">
        <v>2685</v>
      </c>
      <c r="C100" s="350">
        <v>0.1</v>
      </c>
      <c r="D100" s="350">
        <v>0.1</v>
      </c>
      <c r="E100" s="350">
        <v>9.7000000000000003E-2</v>
      </c>
      <c r="F100" s="350">
        <v>9.8000000000000004E-2</v>
      </c>
      <c r="G100" s="351">
        <v>0.1</v>
      </c>
    </row>
    <row r="101" spans="1:7">
      <c r="A101" s="360" t="s">
        <v>286</v>
      </c>
      <c r="B101" s="349" t="s">
        <v>2686</v>
      </c>
      <c r="C101" s="350">
        <v>0.1</v>
      </c>
      <c r="D101" s="350">
        <v>0.1</v>
      </c>
      <c r="E101" s="350">
        <v>9.5000000000000001E-2</v>
      </c>
      <c r="F101" s="350">
        <v>0.1</v>
      </c>
      <c r="G101" s="351">
        <v>0.1</v>
      </c>
    </row>
    <row r="102" spans="1:7">
      <c r="A102" s="360" t="s">
        <v>286</v>
      </c>
      <c r="B102" s="349" t="s">
        <v>2687</v>
      </c>
      <c r="C102" s="350">
        <v>0.1</v>
      </c>
      <c r="D102" s="350">
        <v>0.1</v>
      </c>
      <c r="E102" s="350">
        <v>9.9000000000000005E-2</v>
      </c>
      <c r="F102" s="350">
        <v>9.7000000000000003E-2</v>
      </c>
      <c r="G102" s="351">
        <v>0.1</v>
      </c>
    </row>
    <row r="103" spans="1:7">
      <c r="A103" s="360" t="s">
        <v>286</v>
      </c>
      <c r="B103" s="349" t="s">
        <v>2688</v>
      </c>
      <c r="C103" s="350">
        <v>0.1</v>
      </c>
      <c r="D103" s="350">
        <v>0.1</v>
      </c>
      <c r="E103" s="350">
        <v>9.8000000000000004E-2</v>
      </c>
      <c r="F103" s="350">
        <v>0.1</v>
      </c>
      <c r="G103" s="351">
        <v>0.1</v>
      </c>
    </row>
    <row r="104" spans="1:7">
      <c r="A104" s="360" t="s">
        <v>286</v>
      </c>
      <c r="B104" s="349" t="s">
        <v>2689</v>
      </c>
      <c r="C104" s="350">
        <v>0.1</v>
      </c>
      <c r="D104" s="350">
        <v>0.1</v>
      </c>
      <c r="E104" s="350">
        <v>9.8000000000000004E-2</v>
      </c>
      <c r="F104" s="350">
        <v>0.1</v>
      </c>
      <c r="G104" s="351">
        <v>0.1</v>
      </c>
    </row>
    <row r="105" spans="1:7">
      <c r="A105" s="360" t="s">
        <v>286</v>
      </c>
      <c r="B105" s="349" t="s">
        <v>2690</v>
      </c>
      <c r="C105" s="350">
        <v>9.8000000000000004E-2</v>
      </c>
      <c r="D105" s="350">
        <v>9.8000000000000004E-2</v>
      </c>
      <c r="E105" s="350">
        <v>9.8000000000000004E-2</v>
      </c>
      <c r="F105" s="350">
        <v>0.1</v>
      </c>
      <c r="G105" s="351">
        <v>9.9000000000000005E-2</v>
      </c>
    </row>
    <row r="106" spans="1:7">
      <c r="A106" s="360" t="s">
        <v>286</v>
      </c>
      <c r="B106" s="349" t="s">
        <v>2691</v>
      </c>
      <c r="C106" s="350">
        <v>9.7000000000000003E-2</v>
      </c>
      <c r="D106" s="350">
        <v>9.7000000000000003E-2</v>
      </c>
      <c r="E106" s="350">
        <v>9.7000000000000003E-2</v>
      </c>
      <c r="F106" s="350">
        <v>0.1</v>
      </c>
      <c r="G106" s="351">
        <v>9.9000000000000005E-2</v>
      </c>
    </row>
    <row r="107" spans="1:7">
      <c r="A107" s="360" t="s">
        <v>286</v>
      </c>
      <c r="B107" s="349" t="s">
        <v>2692</v>
      </c>
      <c r="C107" s="350">
        <v>0.1</v>
      </c>
      <c r="D107" s="350">
        <v>0.1</v>
      </c>
      <c r="E107" s="350">
        <v>8.5999999999999993E-2</v>
      </c>
      <c r="F107" s="350">
        <v>0.09</v>
      </c>
      <c r="G107" s="351">
        <v>0.1</v>
      </c>
    </row>
    <row r="108" spans="1:7">
      <c r="A108" s="360" t="s">
        <v>286</v>
      </c>
      <c r="B108" s="349" t="s">
        <v>2693</v>
      </c>
      <c r="C108" s="350">
        <v>0.1</v>
      </c>
      <c r="D108" s="350">
        <v>0.1</v>
      </c>
      <c r="E108" s="350">
        <v>9.6000000000000002E-2</v>
      </c>
      <c r="F108" s="361"/>
      <c r="G108" s="351">
        <v>0.1</v>
      </c>
    </row>
    <row r="109" spans="1:7">
      <c r="A109" s="360" t="s">
        <v>286</v>
      </c>
      <c r="B109" s="349" t="s">
        <v>2694</v>
      </c>
      <c r="C109" s="350">
        <v>0.1</v>
      </c>
      <c r="D109" s="350">
        <v>0.1</v>
      </c>
      <c r="E109" s="350">
        <v>0.1</v>
      </c>
      <c r="F109" s="361"/>
      <c r="G109" s="351">
        <v>0.1</v>
      </c>
    </row>
    <row r="110" spans="1:7">
      <c r="A110" s="360" t="s">
        <v>286</v>
      </c>
      <c r="B110" s="349" t="s">
        <v>2695</v>
      </c>
      <c r="C110" s="350">
        <v>0.1</v>
      </c>
      <c r="D110" s="350">
        <v>0.1</v>
      </c>
      <c r="E110" s="350">
        <v>0.1</v>
      </c>
      <c r="F110" s="361"/>
      <c r="G110" s="351">
        <v>0.1</v>
      </c>
    </row>
    <row r="111" spans="1:7">
      <c r="A111" s="360" t="s">
        <v>286</v>
      </c>
      <c r="B111" s="349" t="s">
        <v>2696</v>
      </c>
      <c r="C111" s="350">
        <v>0.1</v>
      </c>
      <c r="D111" s="350">
        <v>0.1</v>
      </c>
      <c r="E111" s="350">
        <v>9.5000000000000001E-2</v>
      </c>
      <c r="F111" s="361"/>
      <c r="G111" s="351">
        <v>0.1</v>
      </c>
    </row>
    <row r="112" spans="1:7">
      <c r="A112" s="360" t="s">
        <v>286</v>
      </c>
      <c r="B112" s="349" t="s">
        <v>2697</v>
      </c>
      <c r="C112" s="350">
        <v>9.7000000000000003E-2</v>
      </c>
      <c r="D112" s="350">
        <v>9.7000000000000003E-2</v>
      </c>
      <c r="E112" s="350">
        <v>0.05</v>
      </c>
      <c r="F112" s="361"/>
      <c r="G112" s="351">
        <v>9.8000000000000004E-2</v>
      </c>
    </row>
    <row r="113" spans="1:7">
      <c r="A113" s="360" t="s">
        <v>286</v>
      </c>
      <c r="B113" s="349" t="s">
        <v>2698</v>
      </c>
      <c r="C113" s="350">
        <v>0.1</v>
      </c>
      <c r="D113" s="350">
        <v>0.1</v>
      </c>
      <c r="E113" s="361"/>
      <c r="F113" s="361"/>
      <c r="G113" s="351">
        <v>0.1</v>
      </c>
    </row>
    <row r="114" spans="1:7">
      <c r="A114" s="360" t="s">
        <v>286</v>
      </c>
      <c r="B114" s="349" t="s">
        <v>2699</v>
      </c>
      <c r="C114" s="350">
        <v>9.7000000000000003E-2</v>
      </c>
      <c r="D114" s="350">
        <v>9.7000000000000003E-2</v>
      </c>
      <c r="E114" s="361"/>
      <c r="F114" s="361"/>
      <c r="G114" s="351">
        <v>9.9000000000000005E-2</v>
      </c>
    </row>
    <row r="115" spans="1:7">
      <c r="A115" s="360" t="s">
        <v>286</v>
      </c>
      <c r="B115" s="349" t="s">
        <v>2700</v>
      </c>
      <c r="C115" s="350">
        <v>0.1</v>
      </c>
      <c r="D115" s="350">
        <v>0.1</v>
      </c>
      <c r="E115" s="361"/>
      <c r="F115" s="361"/>
      <c r="G115" s="351">
        <v>0.1</v>
      </c>
    </row>
    <row r="116" spans="1:7">
      <c r="A116" s="360" t="s">
        <v>286</v>
      </c>
      <c r="B116" s="349" t="s">
        <v>2701</v>
      </c>
      <c r="C116" s="350">
        <v>0.1</v>
      </c>
      <c r="D116" s="350">
        <v>0.1</v>
      </c>
      <c r="E116" s="361"/>
      <c r="F116" s="361"/>
      <c r="G116" s="351">
        <v>0.1</v>
      </c>
    </row>
    <row r="117" spans="1:7">
      <c r="A117" s="360" t="s">
        <v>286</v>
      </c>
      <c r="B117" s="349" t="s">
        <v>2702</v>
      </c>
      <c r="C117" s="350">
        <v>9.7000000000000003E-2</v>
      </c>
      <c r="D117" s="350">
        <v>9.7000000000000003E-2</v>
      </c>
      <c r="E117" s="361"/>
      <c r="F117" s="361"/>
      <c r="G117" s="351">
        <v>9.7000000000000003E-2</v>
      </c>
    </row>
    <row r="118" spans="1:7">
      <c r="A118" s="360" t="s">
        <v>286</v>
      </c>
      <c r="B118" s="349" t="s">
        <v>2703</v>
      </c>
      <c r="C118" s="350">
        <v>0.1</v>
      </c>
      <c r="D118" s="350">
        <v>0.1</v>
      </c>
      <c r="E118" s="361"/>
      <c r="F118" s="361"/>
      <c r="G118" s="351">
        <v>0.1</v>
      </c>
    </row>
    <row r="119" spans="1:7">
      <c r="A119" s="360" t="s">
        <v>286</v>
      </c>
      <c r="B119" s="349" t="s">
        <v>2704</v>
      </c>
      <c r="C119" s="350">
        <v>5.0999999999999997E-2</v>
      </c>
      <c r="D119" s="350">
        <v>5.1999999999999998E-2</v>
      </c>
      <c r="E119" s="361"/>
      <c r="F119" s="366"/>
      <c r="G119" s="351">
        <v>0.06</v>
      </c>
    </row>
    <row r="120" spans="1:7">
      <c r="A120" s="360" t="s">
        <v>286</v>
      </c>
      <c r="B120" s="349" t="s">
        <v>2705</v>
      </c>
      <c r="C120" s="361"/>
      <c r="D120" s="361"/>
      <c r="E120" s="361"/>
      <c r="F120" s="350">
        <v>0.1</v>
      </c>
      <c r="G120" s="367"/>
    </row>
    <row r="121" spans="1:7">
      <c r="A121" s="360" t="s">
        <v>286</v>
      </c>
      <c r="B121" s="349" t="s">
        <v>2706</v>
      </c>
      <c r="C121" s="361"/>
      <c r="D121" s="361"/>
      <c r="E121" s="361"/>
      <c r="F121" s="350">
        <v>0.1</v>
      </c>
      <c r="G121" s="367"/>
    </row>
    <row r="122" spans="1:7">
      <c r="A122" s="360" t="s">
        <v>286</v>
      </c>
      <c r="B122" s="349" t="s">
        <v>2707</v>
      </c>
      <c r="C122" s="350">
        <v>0.1</v>
      </c>
      <c r="D122" s="350">
        <v>0.1</v>
      </c>
      <c r="E122" s="350">
        <v>9.8000000000000004E-2</v>
      </c>
      <c r="F122" s="350">
        <v>0.1</v>
      </c>
      <c r="G122" s="351">
        <v>0.1</v>
      </c>
    </row>
    <row r="123" spans="1:7">
      <c r="A123" s="360" t="s">
        <v>286</v>
      </c>
      <c r="B123" s="349" t="s">
        <v>2708</v>
      </c>
      <c r="C123" s="350">
        <v>0.1</v>
      </c>
      <c r="D123" s="350">
        <v>0.1</v>
      </c>
      <c r="E123" s="350">
        <v>9.8000000000000004E-2</v>
      </c>
      <c r="F123" s="350">
        <v>0.1</v>
      </c>
      <c r="G123" s="351">
        <v>0.1</v>
      </c>
    </row>
    <row r="124" spans="1:7">
      <c r="A124" s="360" t="s">
        <v>286</v>
      </c>
      <c r="B124" s="349" t="s">
        <v>2709</v>
      </c>
      <c r="C124" s="350">
        <v>0.1</v>
      </c>
      <c r="D124" s="350">
        <v>0.1</v>
      </c>
      <c r="E124" s="350">
        <v>9.8000000000000004E-2</v>
      </c>
      <c r="F124" s="366"/>
      <c r="G124" s="351">
        <v>0.1</v>
      </c>
    </row>
    <row r="125" spans="1:7">
      <c r="A125" s="360" t="s">
        <v>286</v>
      </c>
      <c r="B125" s="349" t="s">
        <v>2710</v>
      </c>
      <c r="C125" s="350">
        <v>9.8000000000000004E-2</v>
      </c>
      <c r="D125" s="350">
        <v>9.8000000000000004E-2</v>
      </c>
      <c r="E125" s="350">
        <v>9.6000000000000002E-2</v>
      </c>
      <c r="F125" s="366"/>
      <c r="G125" s="351">
        <v>0.1</v>
      </c>
    </row>
    <row r="126" spans="1:7">
      <c r="A126" s="363" t="s">
        <v>286</v>
      </c>
      <c r="B126" s="353" t="s">
        <v>2711</v>
      </c>
      <c r="C126" s="354">
        <v>0.1</v>
      </c>
      <c r="D126" s="354">
        <v>0.1</v>
      </c>
      <c r="E126" s="354">
        <v>9.8000000000000004E-2</v>
      </c>
      <c r="F126" s="354">
        <v>0.1</v>
      </c>
      <c r="G126" s="356">
        <v>0.1</v>
      </c>
    </row>
    <row r="127" spans="1:7">
      <c r="A127" s="359" t="s">
        <v>295</v>
      </c>
      <c r="B127" s="345" t="s">
        <v>2712</v>
      </c>
      <c r="C127" s="346">
        <v>0.121</v>
      </c>
      <c r="D127" s="346">
        <v>0.121</v>
      </c>
      <c r="E127" s="346">
        <v>0.107</v>
      </c>
      <c r="F127" s="346">
        <v>0.13</v>
      </c>
      <c r="G127" s="347">
        <v>0.122</v>
      </c>
    </row>
    <row r="128" spans="1:7">
      <c r="A128" s="360" t="s">
        <v>295</v>
      </c>
      <c r="B128" s="349" t="s">
        <v>2713</v>
      </c>
      <c r="C128" s="350">
        <v>0.11600000000000001</v>
      </c>
      <c r="D128" s="350">
        <v>0.11700000000000001</v>
      </c>
      <c r="E128" s="350">
        <v>0.104</v>
      </c>
      <c r="F128" s="350">
        <v>0.13</v>
      </c>
      <c r="G128" s="351">
        <v>0.11700000000000001</v>
      </c>
    </row>
    <row r="129" spans="1:7">
      <c r="A129" s="360" t="s">
        <v>295</v>
      </c>
      <c r="B129" s="349" t="s">
        <v>2714</v>
      </c>
      <c r="C129" s="350">
        <v>0.107</v>
      </c>
      <c r="D129" s="350">
        <v>0.108</v>
      </c>
      <c r="E129" s="350">
        <v>0.1</v>
      </c>
      <c r="F129" s="350">
        <v>0.13</v>
      </c>
      <c r="G129" s="351">
        <v>0.11700000000000001</v>
      </c>
    </row>
    <row r="130" spans="1:7">
      <c r="A130" s="360" t="s">
        <v>295</v>
      </c>
      <c r="B130" s="349" t="s">
        <v>2715</v>
      </c>
      <c r="C130" s="350">
        <v>0.13</v>
      </c>
      <c r="D130" s="350">
        <v>0.13</v>
      </c>
      <c r="E130" s="350">
        <v>0.126</v>
      </c>
      <c r="F130" s="350">
        <v>0.13</v>
      </c>
      <c r="G130" s="351">
        <v>0.13</v>
      </c>
    </row>
    <row r="131" spans="1:7">
      <c r="A131" s="360" t="s">
        <v>295</v>
      </c>
      <c r="B131" s="349" t="s">
        <v>2716</v>
      </c>
      <c r="C131" s="350">
        <v>0.13</v>
      </c>
      <c r="D131" s="350">
        <v>0.13</v>
      </c>
      <c r="E131" s="350">
        <v>0.13</v>
      </c>
      <c r="F131" s="350">
        <v>0.13</v>
      </c>
      <c r="G131" s="351">
        <v>0.13</v>
      </c>
    </row>
    <row r="132" spans="1:7">
      <c r="A132" s="360" t="s">
        <v>295</v>
      </c>
      <c r="B132" s="349" t="s">
        <v>2717</v>
      </c>
      <c r="C132" s="350">
        <v>0.13</v>
      </c>
      <c r="D132" s="350">
        <v>0.13</v>
      </c>
      <c r="E132" s="350">
        <v>0.126</v>
      </c>
      <c r="F132" s="350">
        <v>0.13</v>
      </c>
      <c r="G132" s="351">
        <v>0.13</v>
      </c>
    </row>
    <row r="133" spans="1:7">
      <c r="A133" s="360" t="s">
        <v>295</v>
      </c>
      <c r="B133" s="349" t="s">
        <v>2718</v>
      </c>
      <c r="C133" s="350">
        <v>0.111</v>
      </c>
      <c r="D133" s="350">
        <v>0.111</v>
      </c>
      <c r="E133" s="350">
        <v>0.10199999999999999</v>
      </c>
      <c r="F133" s="350">
        <v>0.13</v>
      </c>
      <c r="G133" s="351">
        <v>0.121</v>
      </c>
    </row>
    <row r="134" spans="1:7">
      <c r="A134" s="360" t="s">
        <v>295</v>
      </c>
      <c r="B134" s="349" t="s">
        <v>2719</v>
      </c>
      <c r="C134" s="350">
        <v>0.121</v>
      </c>
      <c r="D134" s="350">
        <v>0.121</v>
      </c>
      <c r="E134" s="350">
        <v>0.1</v>
      </c>
      <c r="F134" s="350">
        <v>0.13</v>
      </c>
      <c r="G134" s="351">
        <v>0.123</v>
      </c>
    </row>
    <row r="135" spans="1:7">
      <c r="A135" s="360" t="s">
        <v>295</v>
      </c>
      <c r="B135" s="349" t="s">
        <v>2720</v>
      </c>
      <c r="C135" s="350">
        <v>0.105</v>
      </c>
      <c r="D135" s="350">
        <v>0.106</v>
      </c>
      <c r="E135" s="350">
        <v>0.1</v>
      </c>
      <c r="F135" s="350">
        <v>0.13</v>
      </c>
      <c r="G135" s="351">
        <v>0.115</v>
      </c>
    </row>
    <row r="136" spans="1:7">
      <c r="A136" s="360" t="s">
        <v>295</v>
      </c>
      <c r="B136" s="349" t="s">
        <v>2721</v>
      </c>
      <c r="C136" s="350">
        <v>0.127</v>
      </c>
      <c r="D136" s="350">
        <v>0.127</v>
      </c>
      <c r="E136" s="350">
        <v>0.121</v>
      </c>
      <c r="F136" s="350">
        <v>0.123</v>
      </c>
      <c r="G136" s="351">
        <v>0.129</v>
      </c>
    </row>
    <row r="137" spans="1:7">
      <c r="A137" s="360" t="s">
        <v>295</v>
      </c>
      <c r="B137" s="349" t="s">
        <v>2722</v>
      </c>
      <c r="C137" s="350">
        <v>0.13</v>
      </c>
      <c r="D137" s="350">
        <v>0.13</v>
      </c>
      <c r="E137" s="350">
        <v>0.129</v>
      </c>
      <c r="F137" s="350">
        <v>0.13</v>
      </c>
      <c r="G137" s="351">
        <v>0.13</v>
      </c>
    </row>
    <row r="138" spans="1:7">
      <c r="A138" s="360" t="s">
        <v>295</v>
      </c>
      <c r="B138" s="349" t="s">
        <v>2723</v>
      </c>
      <c r="C138" s="350">
        <v>0.13</v>
      </c>
      <c r="D138" s="350">
        <v>0.13</v>
      </c>
      <c r="E138" s="350">
        <v>0.125</v>
      </c>
      <c r="F138" s="350">
        <v>0.13</v>
      </c>
      <c r="G138" s="351">
        <v>0.13</v>
      </c>
    </row>
    <row r="139" spans="1:7">
      <c r="A139" s="360" t="s">
        <v>295</v>
      </c>
      <c r="B139" s="349" t="s">
        <v>2724</v>
      </c>
      <c r="C139" s="350">
        <v>0.13</v>
      </c>
      <c r="D139" s="350">
        <v>0.13</v>
      </c>
      <c r="E139" s="350">
        <v>0.126</v>
      </c>
      <c r="F139" s="350">
        <v>0.13</v>
      </c>
      <c r="G139" s="351">
        <v>0.13</v>
      </c>
    </row>
    <row r="140" spans="1:7">
      <c r="A140" s="360" t="s">
        <v>295</v>
      </c>
      <c r="B140" s="349" t="s">
        <v>2725</v>
      </c>
      <c r="C140" s="350">
        <v>0.1</v>
      </c>
      <c r="D140" s="350">
        <v>0.1</v>
      </c>
      <c r="E140" s="350">
        <v>0.1</v>
      </c>
      <c r="F140" s="350">
        <v>0.123</v>
      </c>
      <c r="G140" s="351">
        <v>0.107</v>
      </c>
    </row>
    <row r="141" spans="1:7">
      <c r="A141" s="360" t="s">
        <v>295</v>
      </c>
      <c r="B141" s="349" t="s">
        <v>2726</v>
      </c>
      <c r="C141" s="350">
        <v>0.127</v>
      </c>
      <c r="D141" s="350">
        <v>0.127</v>
      </c>
      <c r="E141" s="350">
        <v>0.122</v>
      </c>
      <c r="F141" s="350">
        <v>0.1</v>
      </c>
      <c r="G141" s="351">
        <v>0.129</v>
      </c>
    </row>
    <row r="142" spans="1:7">
      <c r="A142" s="360" t="s">
        <v>295</v>
      </c>
      <c r="B142" s="349" t="s">
        <v>2727</v>
      </c>
      <c r="C142" s="350">
        <v>0.121</v>
      </c>
      <c r="D142" s="350">
        <v>0.122</v>
      </c>
      <c r="E142" s="350">
        <v>0.1</v>
      </c>
      <c r="F142" s="350">
        <v>0.123</v>
      </c>
      <c r="G142" s="351">
        <v>0.123</v>
      </c>
    </row>
    <row r="143" spans="1:7">
      <c r="A143" s="360" t="s">
        <v>295</v>
      </c>
      <c r="B143" s="349" t="s">
        <v>2728</v>
      </c>
      <c r="C143" s="350">
        <v>0.1</v>
      </c>
      <c r="D143" s="350">
        <v>0.1</v>
      </c>
      <c r="E143" s="350">
        <v>0.1</v>
      </c>
      <c r="F143" s="350">
        <v>0.13</v>
      </c>
      <c r="G143" s="351">
        <v>0.1</v>
      </c>
    </row>
    <row r="144" spans="1:7">
      <c r="A144" s="360" t="s">
        <v>295</v>
      </c>
      <c r="B144" s="349" t="s">
        <v>2729</v>
      </c>
      <c r="C144" s="350">
        <v>0.106</v>
      </c>
      <c r="D144" s="350">
        <v>0.105</v>
      </c>
      <c r="E144" s="350">
        <v>0.1</v>
      </c>
      <c r="F144" s="350">
        <v>0.13</v>
      </c>
      <c r="G144" s="351">
        <v>0.11799999999999999</v>
      </c>
    </row>
    <row r="145" spans="1:7">
      <c r="A145" s="360" t="s">
        <v>295</v>
      </c>
      <c r="B145" s="349" t="s">
        <v>2730</v>
      </c>
      <c r="C145" s="350">
        <v>0.123</v>
      </c>
      <c r="D145" s="350">
        <v>0.123</v>
      </c>
      <c r="E145" s="350">
        <v>0.11700000000000001</v>
      </c>
      <c r="F145" s="350">
        <v>0.13</v>
      </c>
      <c r="G145" s="351">
        <v>0.126</v>
      </c>
    </row>
    <row r="146" spans="1:7">
      <c r="A146" s="360" t="s">
        <v>295</v>
      </c>
      <c r="B146" s="349" t="s">
        <v>2731</v>
      </c>
      <c r="C146" s="350">
        <v>0.127</v>
      </c>
      <c r="D146" s="350">
        <v>0.127</v>
      </c>
      <c r="E146" s="350">
        <v>0.12</v>
      </c>
      <c r="F146" s="361"/>
      <c r="G146" s="351">
        <v>0.129</v>
      </c>
    </row>
    <row r="147" spans="1:7">
      <c r="A147" s="360" t="s">
        <v>295</v>
      </c>
      <c r="B147" s="349" t="s">
        <v>2732</v>
      </c>
      <c r="C147" s="350">
        <v>0.13</v>
      </c>
      <c r="D147" s="350">
        <v>0.13</v>
      </c>
      <c r="E147" s="350">
        <v>0.126</v>
      </c>
      <c r="F147" s="361"/>
      <c r="G147" s="351">
        <v>0.13</v>
      </c>
    </row>
    <row r="148" spans="1:7">
      <c r="A148" s="360" t="s">
        <v>295</v>
      </c>
      <c r="B148" s="349" t="s">
        <v>2733</v>
      </c>
      <c r="C148" s="350">
        <v>0.13</v>
      </c>
      <c r="D148" s="350">
        <v>0.13</v>
      </c>
      <c r="E148" s="350">
        <v>0.13</v>
      </c>
      <c r="F148" s="361"/>
      <c r="G148" s="351">
        <v>0.13</v>
      </c>
    </row>
    <row r="149" spans="1:7">
      <c r="A149" s="360" t="s">
        <v>295</v>
      </c>
      <c r="B149" s="349" t="s">
        <v>2734</v>
      </c>
      <c r="C149" s="350">
        <v>0.13</v>
      </c>
      <c r="D149" s="350">
        <v>0.13</v>
      </c>
      <c r="E149" s="350">
        <v>0.13</v>
      </c>
      <c r="F149" s="350">
        <v>0.13</v>
      </c>
      <c r="G149" s="351">
        <v>0.13</v>
      </c>
    </row>
    <row r="150" spans="1:7">
      <c r="A150" s="360" t="s">
        <v>295</v>
      </c>
      <c r="B150" s="349" t="s">
        <v>2735</v>
      </c>
      <c r="C150" s="350">
        <v>0.13</v>
      </c>
      <c r="D150" s="350">
        <v>0.13</v>
      </c>
      <c r="E150" s="350">
        <v>0.127</v>
      </c>
      <c r="F150" s="350">
        <v>0.13</v>
      </c>
      <c r="G150" s="351">
        <v>0.13</v>
      </c>
    </row>
    <row r="151" spans="1:7">
      <c r="A151" s="360" t="s">
        <v>295</v>
      </c>
      <c r="B151" s="349" t="s">
        <v>2736</v>
      </c>
      <c r="C151" s="350">
        <v>0.13</v>
      </c>
      <c r="D151" s="350">
        <v>0.13</v>
      </c>
      <c r="E151" s="350">
        <v>0.13</v>
      </c>
      <c r="F151" s="350">
        <v>0.13</v>
      </c>
      <c r="G151" s="351">
        <v>0.13</v>
      </c>
    </row>
    <row r="152" spans="1:7">
      <c r="A152" s="360" t="s">
        <v>295</v>
      </c>
      <c r="B152" s="349" t="s">
        <v>2737</v>
      </c>
      <c r="C152" s="350">
        <v>0.13</v>
      </c>
      <c r="D152" s="350">
        <v>0.13</v>
      </c>
      <c r="E152" s="350">
        <v>0.13</v>
      </c>
      <c r="F152" s="350">
        <v>0.13</v>
      </c>
      <c r="G152" s="351">
        <v>0.13</v>
      </c>
    </row>
    <row r="153" spans="1:7">
      <c r="A153" s="360" t="s">
        <v>295</v>
      </c>
      <c r="B153" s="349" t="s">
        <v>2738</v>
      </c>
      <c r="C153" s="350">
        <v>0.13</v>
      </c>
      <c r="D153" s="350">
        <v>0.13</v>
      </c>
      <c r="E153" s="350">
        <v>0.13</v>
      </c>
      <c r="F153" s="350">
        <v>0.13</v>
      </c>
      <c r="G153" s="351">
        <v>0.13</v>
      </c>
    </row>
    <row r="154" spans="1:7">
      <c r="A154" s="360" t="s">
        <v>295</v>
      </c>
      <c r="B154" s="349" t="s">
        <v>2739</v>
      </c>
      <c r="C154" s="350">
        <v>0.121</v>
      </c>
      <c r="D154" s="350">
        <v>0.121</v>
      </c>
      <c r="E154" s="350">
        <v>0.105</v>
      </c>
      <c r="F154" s="350">
        <v>0.121</v>
      </c>
      <c r="G154" s="351">
        <v>0.123</v>
      </c>
    </row>
    <row r="155" spans="1:7">
      <c r="A155" s="360" t="s">
        <v>295</v>
      </c>
      <c r="B155" s="349" t="s">
        <v>2740</v>
      </c>
      <c r="C155" s="350">
        <v>0.1</v>
      </c>
      <c r="D155" s="350">
        <v>0.1</v>
      </c>
      <c r="E155" s="350">
        <v>0.1</v>
      </c>
      <c r="F155" s="350">
        <v>0.1</v>
      </c>
      <c r="G155" s="351">
        <v>0.1</v>
      </c>
    </row>
    <row r="156" spans="1:7">
      <c r="A156" s="360" t="s">
        <v>295</v>
      </c>
      <c r="B156" s="349" t="s">
        <v>2741</v>
      </c>
      <c r="C156" s="350">
        <v>0.13</v>
      </c>
      <c r="D156" s="350">
        <v>0.13</v>
      </c>
      <c r="E156" s="350">
        <v>0.13</v>
      </c>
      <c r="F156" s="350">
        <v>0.13</v>
      </c>
      <c r="G156" s="351">
        <v>0.13</v>
      </c>
    </row>
    <row r="157" spans="1:7">
      <c r="A157" s="360" t="s">
        <v>295</v>
      </c>
      <c r="B157" s="349" t="s">
        <v>2742</v>
      </c>
      <c r="C157" s="350">
        <v>0.13</v>
      </c>
      <c r="D157" s="350">
        <v>0.13</v>
      </c>
      <c r="E157" s="350">
        <v>0.125</v>
      </c>
      <c r="F157" s="350">
        <v>0.13</v>
      </c>
      <c r="G157" s="351">
        <v>0.13</v>
      </c>
    </row>
    <row r="158" spans="1:7">
      <c r="A158" s="360" t="s">
        <v>295</v>
      </c>
      <c r="B158" s="349" t="s">
        <v>2743</v>
      </c>
      <c r="C158" s="350">
        <v>0.124</v>
      </c>
      <c r="D158" s="350">
        <v>0.124</v>
      </c>
      <c r="E158" s="350">
        <v>0.11700000000000001</v>
      </c>
      <c r="F158" s="350">
        <v>0.121</v>
      </c>
      <c r="G158" s="351">
        <v>0.124</v>
      </c>
    </row>
    <row r="159" spans="1:7">
      <c r="A159" s="360" t="s">
        <v>295</v>
      </c>
      <c r="B159" s="349" t="s">
        <v>2744</v>
      </c>
      <c r="C159" s="350">
        <v>0.127</v>
      </c>
      <c r="D159" s="350">
        <v>0.127</v>
      </c>
      <c r="E159" s="350">
        <v>0.122</v>
      </c>
      <c r="F159" s="350">
        <v>0.13</v>
      </c>
      <c r="G159" s="351">
        <v>0.129</v>
      </c>
    </row>
    <row r="160" spans="1:7">
      <c r="A160" s="360" t="s">
        <v>295</v>
      </c>
      <c r="B160" s="349" t="s">
        <v>2745</v>
      </c>
      <c r="C160" s="350">
        <v>0.13</v>
      </c>
      <c r="D160" s="350">
        <v>0.13</v>
      </c>
      <c r="E160" s="350">
        <v>0.124</v>
      </c>
      <c r="F160" s="350">
        <v>0.126</v>
      </c>
      <c r="G160" s="351">
        <v>0.13</v>
      </c>
    </row>
    <row r="161" spans="1:7">
      <c r="A161" s="360" t="s">
        <v>295</v>
      </c>
      <c r="B161" s="349" t="s">
        <v>2746</v>
      </c>
      <c r="C161" s="350">
        <v>0.13</v>
      </c>
      <c r="D161" s="350">
        <v>0.13</v>
      </c>
      <c r="E161" s="350">
        <v>0.124</v>
      </c>
      <c r="F161" s="350">
        <v>0.127</v>
      </c>
      <c r="G161" s="351">
        <v>0.13</v>
      </c>
    </row>
    <row r="162" spans="1:7">
      <c r="A162" s="360" t="s">
        <v>295</v>
      </c>
      <c r="B162" s="349" t="s">
        <v>2747</v>
      </c>
      <c r="C162" s="350">
        <v>0.1</v>
      </c>
      <c r="D162" s="350">
        <v>0.1</v>
      </c>
      <c r="E162" s="350">
        <v>0.1</v>
      </c>
      <c r="F162" s="350">
        <v>0.121</v>
      </c>
      <c r="G162" s="351">
        <v>0.105</v>
      </c>
    </row>
    <row r="163" spans="1:7">
      <c r="A163" s="360" t="s">
        <v>295</v>
      </c>
      <c r="B163" s="349" t="s">
        <v>2748</v>
      </c>
      <c r="C163" s="350">
        <v>0.1</v>
      </c>
      <c r="D163" s="350">
        <v>0.1</v>
      </c>
      <c r="E163" s="350">
        <v>0.1</v>
      </c>
      <c r="F163" s="350">
        <v>0.1</v>
      </c>
      <c r="G163" s="351">
        <v>0.1</v>
      </c>
    </row>
    <row r="164" spans="1:7">
      <c r="A164" s="360" t="s">
        <v>295</v>
      </c>
      <c r="B164" s="349" t="s">
        <v>2749</v>
      </c>
      <c r="C164" s="366"/>
      <c r="D164" s="366"/>
      <c r="E164" s="366"/>
      <c r="F164" s="350">
        <v>0.1</v>
      </c>
      <c r="G164" s="362"/>
    </row>
    <row r="165" spans="1:7">
      <c r="A165" s="360" t="s">
        <v>295</v>
      </c>
      <c r="B165" s="349" t="s">
        <v>2750</v>
      </c>
      <c r="C165" s="350">
        <v>0.126</v>
      </c>
      <c r="D165" s="350">
        <v>0.126</v>
      </c>
      <c r="E165" s="350">
        <v>0.11899999999999999</v>
      </c>
      <c r="F165" s="350">
        <v>0.13</v>
      </c>
      <c r="G165" s="351">
        <v>0.128</v>
      </c>
    </row>
    <row r="166" spans="1:7">
      <c r="A166" s="360" t="s">
        <v>295</v>
      </c>
      <c r="B166" s="349" t="s">
        <v>2751</v>
      </c>
      <c r="C166" s="350">
        <v>0.129</v>
      </c>
      <c r="D166" s="350">
        <v>0.129</v>
      </c>
      <c r="E166" s="350">
        <v>0.123</v>
      </c>
      <c r="F166" s="350">
        <v>0.128</v>
      </c>
      <c r="G166" s="351">
        <v>0.13</v>
      </c>
    </row>
    <row r="167" spans="1:7">
      <c r="A167" s="360" t="s">
        <v>295</v>
      </c>
      <c r="B167" s="349" t="s">
        <v>2752</v>
      </c>
      <c r="C167" s="350">
        <v>0.125</v>
      </c>
      <c r="D167" s="350">
        <v>0.125</v>
      </c>
      <c r="E167" s="350">
        <v>0.11700000000000001</v>
      </c>
      <c r="F167" s="350">
        <v>0.13</v>
      </c>
      <c r="G167" s="351">
        <v>0.126</v>
      </c>
    </row>
    <row r="168" spans="1:7">
      <c r="A168" s="360" t="s">
        <v>295</v>
      </c>
      <c r="B168" s="349" t="s">
        <v>2753</v>
      </c>
      <c r="C168" s="350">
        <v>0.128</v>
      </c>
      <c r="D168" s="350">
        <v>0.128</v>
      </c>
      <c r="E168" s="350">
        <v>0.123</v>
      </c>
      <c r="F168" s="361"/>
      <c r="G168" s="351">
        <v>0.13</v>
      </c>
    </row>
    <row r="169" spans="1:7">
      <c r="A169" s="360" t="s">
        <v>295</v>
      </c>
      <c r="B169" s="349" t="s">
        <v>2754</v>
      </c>
      <c r="C169" s="366"/>
      <c r="D169" s="366"/>
      <c r="E169" s="366"/>
      <c r="F169" s="350">
        <v>0.05</v>
      </c>
      <c r="G169" s="362"/>
    </row>
    <row r="170" spans="1:7">
      <c r="A170" s="360" t="s">
        <v>295</v>
      </c>
      <c r="B170" s="349" t="s">
        <v>2755</v>
      </c>
      <c r="C170" s="366"/>
      <c r="D170" s="366"/>
      <c r="E170" s="366"/>
      <c r="F170" s="350">
        <v>0.05</v>
      </c>
      <c r="G170" s="362"/>
    </row>
    <row r="171" spans="1:7">
      <c r="A171" s="360" t="s">
        <v>295</v>
      </c>
      <c r="B171" s="349" t="s">
        <v>2756</v>
      </c>
      <c r="C171" s="366"/>
      <c r="D171" s="366"/>
      <c r="E171" s="366"/>
      <c r="F171" s="350">
        <v>0.05</v>
      </c>
      <c r="G171" s="367"/>
    </row>
    <row r="172" spans="1:7">
      <c r="A172" s="360" t="s">
        <v>295</v>
      </c>
      <c r="B172" s="349" t="s">
        <v>2757</v>
      </c>
      <c r="C172" s="366"/>
      <c r="D172" s="366"/>
      <c r="E172" s="366"/>
      <c r="F172" s="350">
        <v>0.05</v>
      </c>
      <c r="G172" s="367"/>
    </row>
    <row r="173" spans="1:7">
      <c r="A173" s="360" t="s">
        <v>295</v>
      </c>
      <c r="B173" s="349" t="s">
        <v>2758</v>
      </c>
      <c r="C173" s="366"/>
      <c r="D173" s="366"/>
      <c r="E173" s="366"/>
      <c r="F173" s="350">
        <v>0.05</v>
      </c>
      <c r="G173" s="362"/>
    </row>
    <row r="174" spans="1:7">
      <c r="A174" s="360" t="s">
        <v>295</v>
      </c>
      <c r="B174" s="349" t="s">
        <v>2759</v>
      </c>
      <c r="C174" s="366"/>
      <c r="D174" s="366"/>
      <c r="E174" s="366"/>
      <c r="F174" s="350">
        <v>0.05</v>
      </c>
      <c r="G174" s="362"/>
    </row>
    <row r="175" spans="1:7">
      <c r="A175" s="360" t="s">
        <v>295</v>
      </c>
      <c r="B175" s="349" t="s">
        <v>2760</v>
      </c>
      <c r="C175" s="366"/>
      <c r="D175" s="366"/>
      <c r="E175" s="366"/>
      <c r="F175" s="350">
        <v>0.05</v>
      </c>
      <c r="G175" s="362"/>
    </row>
    <row r="176" spans="1:7">
      <c r="A176" s="360" t="s">
        <v>295</v>
      </c>
      <c r="B176" s="349" t="s">
        <v>2761</v>
      </c>
      <c r="C176" s="366"/>
      <c r="D176" s="366"/>
      <c r="E176" s="366"/>
      <c r="F176" s="350">
        <v>0.05</v>
      </c>
      <c r="G176" s="362"/>
    </row>
    <row r="177" spans="1:7">
      <c r="A177" s="360" t="s">
        <v>295</v>
      </c>
      <c r="B177" s="349" t="s">
        <v>2762</v>
      </c>
      <c r="C177" s="361"/>
      <c r="D177" s="361"/>
      <c r="E177" s="361"/>
      <c r="F177" s="350">
        <v>0.05</v>
      </c>
      <c r="G177" s="367"/>
    </row>
    <row r="178" spans="1:7">
      <c r="A178" s="360" t="s">
        <v>295</v>
      </c>
      <c r="B178" s="349" t="s">
        <v>2763</v>
      </c>
      <c r="C178" s="361"/>
      <c r="D178" s="361"/>
      <c r="E178" s="361"/>
      <c r="F178" s="350">
        <v>0.05</v>
      </c>
      <c r="G178" s="367"/>
    </row>
    <row r="179" spans="1:7">
      <c r="A179" s="360" t="s">
        <v>295</v>
      </c>
      <c r="B179" s="349" t="s">
        <v>2764</v>
      </c>
      <c r="C179" s="361"/>
      <c r="D179" s="361"/>
      <c r="E179" s="361"/>
      <c r="F179" s="350">
        <v>0.05</v>
      </c>
      <c r="G179" s="367"/>
    </row>
    <row r="180" spans="1:7">
      <c r="A180" s="360" t="s">
        <v>295</v>
      </c>
      <c r="B180" s="349" t="s">
        <v>2765</v>
      </c>
      <c r="C180" s="361"/>
      <c r="D180" s="361"/>
      <c r="E180" s="361"/>
      <c r="F180" s="350">
        <v>0.05</v>
      </c>
      <c r="G180" s="367"/>
    </row>
    <row r="181" spans="1:7">
      <c r="A181" s="360" t="s">
        <v>295</v>
      </c>
      <c r="B181" s="349" t="s">
        <v>2766</v>
      </c>
      <c r="C181" s="361"/>
      <c r="D181" s="361"/>
      <c r="E181" s="361"/>
      <c r="F181" s="350">
        <v>0.05</v>
      </c>
      <c r="G181" s="367"/>
    </row>
    <row r="182" spans="1:7">
      <c r="A182" s="360" t="s">
        <v>295</v>
      </c>
      <c r="B182" s="349" t="s">
        <v>2767</v>
      </c>
      <c r="C182" s="361"/>
      <c r="D182" s="361"/>
      <c r="E182" s="361"/>
      <c r="F182" s="350">
        <v>0.05</v>
      </c>
      <c r="G182" s="367"/>
    </row>
    <row r="183" spans="1:7">
      <c r="A183" s="360" t="s">
        <v>295</v>
      </c>
      <c r="B183" s="349" t="s">
        <v>2768</v>
      </c>
      <c r="C183" s="361"/>
      <c r="D183" s="361"/>
      <c r="E183" s="361"/>
      <c r="F183" s="350">
        <v>0.05</v>
      </c>
      <c r="G183" s="367"/>
    </row>
    <row r="184" spans="1:7">
      <c r="A184" s="360" t="s">
        <v>295</v>
      </c>
      <c r="B184" s="349" t="s">
        <v>2769</v>
      </c>
      <c r="C184" s="361"/>
      <c r="D184" s="361"/>
      <c r="E184" s="361"/>
      <c r="F184" s="350">
        <v>0.05</v>
      </c>
      <c r="G184" s="367"/>
    </row>
    <row r="185" spans="1:7">
      <c r="A185" s="360" t="s">
        <v>295</v>
      </c>
      <c r="B185" s="349" t="s">
        <v>2770</v>
      </c>
      <c r="C185" s="361"/>
      <c r="D185" s="361"/>
      <c r="E185" s="361"/>
      <c r="F185" s="350">
        <v>0.05</v>
      </c>
      <c r="G185" s="367"/>
    </row>
    <row r="186" spans="1:7">
      <c r="A186" s="360" t="s">
        <v>295</v>
      </c>
      <c r="B186" s="349" t="s">
        <v>2771</v>
      </c>
      <c r="C186" s="361"/>
      <c r="D186" s="361"/>
      <c r="E186" s="361"/>
      <c r="F186" s="350">
        <v>0.05</v>
      </c>
      <c r="G186" s="367"/>
    </row>
    <row r="187" spans="1:7">
      <c r="A187" s="360" t="s">
        <v>295</v>
      </c>
      <c r="B187" s="349" t="s">
        <v>2772</v>
      </c>
      <c r="C187" s="361"/>
      <c r="D187" s="361"/>
      <c r="E187" s="361"/>
      <c r="F187" s="350">
        <v>0.05</v>
      </c>
      <c r="G187" s="367"/>
    </row>
    <row r="188" spans="1:7">
      <c r="A188" s="360" t="s">
        <v>295</v>
      </c>
      <c r="B188" s="349" t="s">
        <v>2773</v>
      </c>
      <c r="C188" s="361"/>
      <c r="D188" s="361"/>
      <c r="E188" s="361"/>
      <c r="F188" s="350">
        <v>0.05</v>
      </c>
      <c r="G188" s="367"/>
    </row>
    <row r="189" spans="1:7">
      <c r="A189" s="363" t="s">
        <v>295</v>
      </c>
      <c r="B189" s="353" t="s">
        <v>2774</v>
      </c>
      <c r="C189" s="355"/>
      <c r="D189" s="355"/>
      <c r="E189" s="355"/>
      <c r="F189" s="354">
        <v>0.05</v>
      </c>
      <c r="G189" s="368"/>
    </row>
    <row r="190" spans="1:7">
      <c r="A190" s="359" t="s">
        <v>303</v>
      </c>
      <c r="B190" s="345" t="s">
        <v>2775</v>
      </c>
      <c r="C190" s="346">
        <v>0.124</v>
      </c>
      <c r="D190" s="346">
        <v>0.124</v>
      </c>
      <c r="E190" s="346">
        <v>0.129</v>
      </c>
      <c r="F190" s="346">
        <v>0.13</v>
      </c>
      <c r="G190" s="347">
        <v>0.127</v>
      </c>
    </row>
    <row r="191" spans="1:7">
      <c r="A191" s="360" t="s">
        <v>303</v>
      </c>
      <c r="B191" s="349" t="s">
        <v>2776</v>
      </c>
      <c r="C191" s="350">
        <v>0.13</v>
      </c>
      <c r="D191" s="350">
        <v>0.13</v>
      </c>
      <c r="E191" s="350">
        <v>0.13</v>
      </c>
      <c r="F191" s="350">
        <v>0.13</v>
      </c>
      <c r="G191" s="351">
        <v>0.13</v>
      </c>
    </row>
    <row r="192" spans="1:7">
      <c r="A192" s="360" t="s">
        <v>303</v>
      </c>
      <c r="B192" s="349" t="s">
        <v>2777</v>
      </c>
      <c r="C192" s="350">
        <v>0.13</v>
      </c>
      <c r="D192" s="350">
        <v>0.13</v>
      </c>
      <c r="E192" s="350">
        <v>0.13</v>
      </c>
      <c r="F192" s="350">
        <v>0.13</v>
      </c>
      <c r="G192" s="351">
        <v>0.13</v>
      </c>
    </row>
    <row r="193" spans="1:7">
      <c r="A193" s="360" t="s">
        <v>303</v>
      </c>
      <c r="B193" s="349" t="s">
        <v>2778</v>
      </c>
      <c r="C193" s="350">
        <v>0.13</v>
      </c>
      <c r="D193" s="350">
        <v>0.13</v>
      </c>
      <c r="E193" s="350">
        <v>0.13</v>
      </c>
      <c r="F193" s="350">
        <v>0.13</v>
      </c>
      <c r="G193" s="351">
        <v>0.13</v>
      </c>
    </row>
    <row r="194" spans="1:7">
      <c r="A194" s="360" t="s">
        <v>303</v>
      </c>
      <c r="B194" s="349" t="s">
        <v>2779</v>
      </c>
      <c r="C194" s="350">
        <v>0.123</v>
      </c>
      <c r="D194" s="350">
        <v>0.123</v>
      </c>
      <c r="E194" s="350">
        <v>0.128</v>
      </c>
      <c r="F194" s="350">
        <v>0.13</v>
      </c>
      <c r="G194" s="351">
        <v>0.126</v>
      </c>
    </row>
    <row r="195" spans="1:7">
      <c r="A195" s="360" t="s">
        <v>303</v>
      </c>
      <c r="B195" s="349" t="s">
        <v>2780</v>
      </c>
      <c r="C195" s="350">
        <v>0.127</v>
      </c>
      <c r="D195" s="350">
        <v>0.127</v>
      </c>
      <c r="E195" s="350">
        <v>0.121</v>
      </c>
      <c r="F195" s="350">
        <v>0.129</v>
      </c>
      <c r="G195" s="351">
        <v>0.129</v>
      </c>
    </row>
    <row r="196" spans="1:7">
      <c r="A196" s="360" t="s">
        <v>303</v>
      </c>
      <c r="B196" s="349" t="s">
        <v>2781</v>
      </c>
      <c r="C196" s="350">
        <v>0.127</v>
      </c>
      <c r="D196" s="350">
        <v>0.128</v>
      </c>
      <c r="E196" s="350">
        <v>0.122</v>
      </c>
      <c r="F196" s="350">
        <v>0.13</v>
      </c>
      <c r="G196" s="351">
        <v>0.129</v>
      </c>
    </row>
    <row r="197" spans="1:7">
      <c r="A197" s="360" t="s">
        <v>303</v>
      </c>
      <c r="B197" s="349" t="s">
        <v>2782</v>
      </c>
      <c r="C197" s="350">
        <v>0.126</v>
      </c>
      <c r="D197" s="350">
        <v>0.126</v>
      </c>
      <c r="E197" s="350">
        <v>0.11899999999999999</v>
      </c>
      <c r="F197" s="350">
        <v>0.13</v>
      </c>
      <c r="G197" s="351">
        <v>0.128</v>
      </c>
    </row>
    <row r="198" spans="1:7">
      <c r="A198" s="360" t="s">
        <v>303</v>
      </c>
      <c r="B198" s="349" t="s">
        <v>2783</v>
      </c>
      <c r="C198" s="350">
        <v>0.13</v>
      </c>
      <c r="D198" s="350">
        <v>0.13</v>
      </c>
      <c r="E198" s="350">
        <v>0.126</v>
      </c>
      <c r="F198" s="366"/>
      <c r="G198" s="351">
        <v>0.13</v>
      </c>
    </row>
    <row r="199" spans="1:7">
      <c r="A199" s="360" t="s">
        <v>303</v>
      </c>
      <c r="B199" s="349" t="s">
        <v>2784</v>
      </c>
      <c r="C199" s="350">
        <v>0.13</v>
      </c>
      <c r="D199" s="350">
        <v>0.13</v>
      </c>
      <c r="E199" s="350">
        <v>0.13</v>
      </c>
      <c r="F199" s="350">
        <v>0.13</v>
      </c>
      <c r="G199" s="351">
        <v>0.13</v>
      </c>
    </row>
    <row r="200" spans="1:7">
      <c r="A200" s="360" t="s">
        <v>303</v>
      </c>
      <c r="B200" s="349" t="s">
        <v>2785</v>
      </c>
      <c r="C200" s="366"/>
      <c r="D200" s="366"/>
      <c r="E200" s="366"/>
      <c r="F200" s="350">
        <v>0.13</v>
      </c>
      <c r="G200" s="362"/>
    </row>
    <row r="201" spans="1:7">
      <c r="A201" s="360" t="s">
        <v>303</v>
      </c>
      <c r="B201" s="349" t="s">
        <v>2786</v>
      </c>
      <c r="C201" s="350">
        <v>0.13</v>
      </c>
      <c r="D201" s="350">
        <v>0.13</v>
      </c>
      <c r="E201" s="350">
        <v>0.13</v>
      </c>
      <c r="F201" s="350">
        <v>0.129</v>
      </c>
      <c r="G201" s="351">
        <v>0.13</v>
      </c>
    </row>
    <row r="202" spans="1:7">
      <c r="A202" s="360" t="s">
        <v>303</v>
      </c>
      <c r="B202" s="349" t="s">
        <v>2787</v>
      </c>
      <c r="C202" s="350">
        <v>0.13</v>
      </c>
      <c r="D202" s="350">
        <v>0.13</v>
      </c>
      <c r="E202" s="350">
        <v>0.13</v>
      </c>
      <c r="F202" s="350">
        <v>0.13</v>
      </c>
      <c r="G202" s="351">
        <v>0.13</v>
      </c>
    </row>
    <row r="203" spans="1:7">
      <c r="A203" s="360" t="s">
        <v>303</v>
      </c>
      <c r="B203" s="349" t="s">
        <v>2788</v>
      </c>
      <c r="C203" s="350">
        <v>0.129</v>
      </c>
      <c r="D203" s="350">
        <v>0.129</v>
      </c>
      <c r="E203" s="350">
        <v>0.13</v>
      </c>
      <c r="F203" s="350">
        <v>0.13</v>
      </c>
      <c r="G203" s="351">
        <v>0.13</v>
      </c>
    </row>
    <row r="204" spans="1:7">
      <c r="A204" s="360" t="s">
        <v>303</v>
      </c>
      <c r="B204" s="349" t="s">
        <v>2789</v>
      </c>
      <c r="C204" s="350">
        <v>0.129</v>
      </c>
      <c r="D204" s="350">
        <v>0.129</v>
      </c>
      <c r="E204" s="350">
        <v>0.123</v>
      </c>
      <c r="F204" s="350">
        <v>0.13</v>
      </c>
      <c r="G204" s="351">
        <v>0.13</v>
      </c>
    </row>
    <row r="205" spans="1:7">
      <c r="A205" s="360" t="s">
        <v>303</v>
      </c>
      <c r="B205" s="349" t="s">
        <v>2790</v>
      </c>
      <c r="C205" s="350">
        <v>0.13</v>
      </c>
      <c r="D205" s="350">
        <v>0.13</v>
      </c>
      <c r="E205" s="350">
        <v>0.13</v>
      </c>
      <c r="F205" s="350">
        <v>0.13</v>
      </c>
      <c r="G205" s="351">
        <v>0.13</v>
      </c>
    </row>
    <row r="206" spans="1:7">
      <c r="A206" s="360" t="s">
        <v>303</v>
      </c>
      <c r="B206" s="349" t="s">
        <v>2791</v>
      </c>
      <c r="C206" s="350">
        <v>0.13</v>
      </c>
      <c r="D206" s="350">
        <v>0.13</v>
      </c>
      <c r="E206" s="350">
        <v>0.13</v>
      </c>
      <c r="F206" s="350">
        <v>0.128</v>
      </c>
      <c r="G206" s="351">
        <v>0.13</v>
      </c>
    </row>
    <row r="207" spans="1:7">
      <c r="A207" s="360" t="s">
        <v>303</v>
      </c>
      <c r="B207" s="349" t="s">
        <v>2792</v>
      </c>
      <c r="C207" s="350">
        <v>0.13</v>
      </c>
      <c r="D207" s="350">
        <v>0.13</v>
      </c>
      <c r="E207" s="350">
        <v>0.13</v>
      </c>
      <c r="F207" s="350">
        <v>0.13</v>
      </c>
      <c r="G207" s="351">
        <v>0.13</v>
      </c>
    </row>
    <row r="208" spans="1:7">
      <c r="A208" s="360" t="s">
        <v>303</v>
      </c>
      <c r="B208" s="349" t="s">
        <v>2793</v>
      </c>
      <c r="C208" s="350">
        <v>0.13</v>
      </c>
      <c r="D208" s="350">
        <v>0.13</v>
      </c>
      <c r="E208" s="350">
        <v>0.13</v>
      </c>
      <c r="F208" s="350">
        <v>0.13</v>
      </c>
      <c r="G208" s="351">
        <v>0.13</v>
      </c>
    </row>
    <row r="209" spans="1:7">
      <c r="A209" s="360" t="s">
        <v>303</v>
      </c>
      <c r="B209" s="349" t="s">
        <v>2794</v>
      </c>
      <c r="C209" s="350">
        <v>0.13</v>
      </c>
      <c r="D209" s="350">
        <v>0.13</v>
      </c>
      <c r="E209" s="350">
        <v>0.13</v>
      </c>
      <c r="F209" s="350">
        <v>0.13</v>
      </c>
      <c r="G209" s="351">
        <v>0.13</v>
      </c>
    </row>
    <row r="210" spans="1:7">
      <c r="A210" s="360" t="s">
        <v>303</v>
      </c>
      <c r="B210" s="349" t="s">
        <v>2795</v>
      </c>
      <c r="C210" s="350">
        <v>0.121</v>
      </c>
      <c r="D210" s="350">
        <v>0.121</v>
      </c>
      <c r="E210" s="350">
        <v>0.125</v>
      </c>
      <c r="F210" s="350">
        <v>0.13</v>
      </c>
      <c r="G210" s="351">
        <v>0.123</v>
      </c>
    </row>
    <row r="211" spans="1:7">
      <c r="A211" s="360" t="s">
        <v>303</v>
      </c>
      <c r="B211" s="349" t="s">
        <v>2796</v>
      </c>
      <c r="C211" s="350">
        <v>0.123</v>
      </c>
      <c r="D211" s="350">
        <v>0.123</v>
      </c>
      <c r="E211" s="350">
        <v>0.127</v>
      </c>
      <c r="F211" s="350">
        <v>0.115</v>
      </c>
      <c r="G211" s="351">
        <v>0.126</v>
      </c>
    </row>
    <row r="212" spans="1:7">
      <c r="A212" s="360" t="s">
        <v>303</v>
      </c>
      <c r="B212" s="349" t="s">
        <v>2797</v>
      </c>
      <c r="C212" s="350">
        <v>0.126</v>
      </c>
      <c r="D212" s="350">
        <v>0.126</v>
      </c>
      <c r="E212" s="350">
        <v>0.13</v>
      </c>
      <c r="F212" s="350">
        <v>0.13</v>
      </c>
      <c r="G212" s="351">
        <v>0.129</v>
      </c>
    </row>
    <row r="213" spans="1:7">
      <c r="A213" s="360" t="s">
        <v>303</v>
      </c>
      <c r="B213" s="349" t="s">
        <v>2798</v>
      </c>
      <c r="C213" s="350">
        <v>0.129</v>
      </c>
      <c r="D213" s="350">
        <v>0.13</v>
      </c>
      <c r="E213" s="350">
        <v>0.127</v>
      </c>
      <c r="F213" s="350">
        <v>0.13</v>
      </c>
      <c r="G213" s="351">
        <v>0.13</v>
      </c>
    </row>
    <row r="214" spans="1:7">
      <c r="A214" s="360" t="s">
        <v>303</v>
      </c>
      <c r="B214" s="349" t="s">
        <v>2799</v>
      </c>
      <c r="C214" s="350">
        <v>0.128</v>
      </c>
      <c r="D214" s="350">
        <v>0.128</v>
      </c>
      <c r="E214" s="350">
        <v>0.13</v>
      </c>
      <c r="F214" s="350">
        <v>0.13</v>
      </c>
      <c r="G214" s="351">
        <v>0.13</v>
      </c>
    </row>
    <row r="215" spans="1:7">
      <c r="A215" s="360" t="s">
        <v>303</v>
      </c>
      <c r="B215" s="349" t="s">
        <v>2800</v>
      </c>
      <c r="C215" s="350">
        <v>0.13</v>
      </c>
      <c r="D215" s="350">
        <v>0.13</v>
      </c>
      <c r="E215" s="350">
        <v>0.13</v>
      </c>
      <c r="F215" s="350">
        <v>0.129</v>
      </c>
      <c r="G215" s="351">
        <v>0.13</v>
      </c>
    </row>
    <row r="216" spans="1:7">
      <c r="A216" s="360" t="s">
        <v>303</v>
      </c>
      <c r="B216" s="349" t="s">
        <v>2801</v>
      </c>
      <c r="C216" s="350">
        <v>0.13</v>
      </c>
      <c r="D216" s="350">
        <v>0.13</v>
      </c>
      <c r="E216" s="350">
        <v>0.13</v>
      </c>
      <c r="F216" s="350">
        <v>0.13</v>
      </c>
      <c r="G216" s="351">
        <v>0.13</v>
      </c>
    </row>
    <row r="217" spans="1:7">
      <c r="A217" s="360" t="s">
        <v>303</v>
      </c>
      <c r="B217" s="349" t="s">
        <v>2802</v>
      </c>
      <c r="C217" s="350">
        <v>0.129</v>
      </c>
      <c r="D217" s="350">
        <v>0.129</v>
      </c>
      <c r="E217" s="350">
        <v>0.13</v>
      </c>
      <c r="F217" s="350">
        <v>0.13</v>
      </c>
      <c r="G217" s="351">
        <v>0.13</v>
      </c>
    </row>
    <row r="218" spans="1:7">
      <c r="A218" s="360" t="s">
        <v>303</v>
      </c>
      <c r="B218" s="349" t="s">
        <v>2803</v>
      </c>
      <c r="C218" s="361"/>
      <c r="D218" s="361"/>
      <c r="E218" s="361"/>
      <c r="F218" s="350">
        <v>0.05</v>
      </c>
      <c r="G218" s="367"/>
    </row>
    <row r="219" spans="1:7">
      <c r="A219" s="360" t="s">
        <v>303</v>
      </c>
      <c r="B219" s="349" t="s">
        <v>2804</v>
      </c>
      <c r="C219" s="361"/>
      <c r="D219" s="361"/>
      <c r="E219" s="361"/>
      <c r="F219" s="350">
        <v>0.05</v>
      </c>
      <c r="G219" s="367"/>
    </row>
    <row r="220" spans="1:7">
      <c r="A220" s="360" t="s">
        <v>303</v>
      </c>
      <c r="B220" s="349" t="s">
        <v>2805</v>
      </c>
      <c r="C220" s="361"/>
      <c r="D220" s="361"/>
      <c r="E220" s="361"/>
      <c r="F220" s="350">
        <v>0.05</v>
      </c>
      <c r="G220" s="367"/>
    </row>
    <row r="221" spans="1:7">
      <c r="A221" s="360" t="s">
        <v>303</v>
      </c>
      <c r="B221" s="349" t="s">
        <v>2806</v>
      </c>
      <c r="C221" s="361"/>
      <c r="D221" s="361"/>
      <c r="E221" s="361"/>
      <c r="F221" s="350">
        <v>0.05</v>
      </c>
      <c r="G221" s="367"/>
    </row>
    <row r="222" spans="1:7">
      <c r="A222" s="360" t="s">
        <v>303</v>
      </c>
      <c r="B222" s="349" t="s">
        <v>2807</v>
      </c>
      <c r="C222" s="361"/>
      <c r="D222" s="361"/>
      <c r="E222" s="361"/>
      <c r="F222" s="350">
        <v>0.05</v>
      </c>
      <c r="G222" s="367"/>
    </row>
    <row r="223" spans="1:7">
      <c r="A223" s="360" t="s">
        <v>303</v>
      </c>
      <c r="B223" s="349" t="s">
        <v>2808</v>
      </c>
      <c r="C223" s="361"/>
      <c r="D223" s="361"/>
      <c r="E223" s="361"/>
      <c r="F223" s="350">
        <v>0.05</v>
      </c>
      <c r="G223" s="367"/>
    </row>
    <row r="224" spans="1:7">
      <c r="A224" s="360" t="s">
        <v>303</v>
      </c>
      <c r="B224" s="349" t="s">
        <v>2809</v>
      </c>
      <c r="C224" s="361"/>
      <c r="D224" s="361"/>
      <c r="E224" s="361"/>
      <c r="F224" s="350">
        <v>0.05</v>
      </c>
      <c r="G224" s="367"/>
    </row>
    <row r="225" spans="1:7">
      <c r="A225" s="360" t="s">
        <v>303</v>
      </c>
      <c r="B225" s="349" t="s">
        <v>2810</v>
      </c>
      <c r="C225" s="361"/>
      <c r="D225" s="361"/>
      <c r="E225" s="361"/>
      <c r="F225" s="350">
        <v>0.05</v>
      </c>
      <c r="G225" s="367"/>
    </row>
    <row r="226" spans="1:7">
      <c r="A226" s="360" t="s">
        <v>303</v>
      </c>
      <c r="B226" s="349" t="s">
        <v>2811</v>
      </c>
      <c r="C226" s="361"/>
      <c r="D226" s="361"/>
      <c r="E226" s="361"/>
      <c r="F226" s="350">
        <v>0.05</v>
      </c>
      <c r="G226" s="367"/>
    </row>
    <row r="227" spans="1:7">
      <c r="A227" s="360" t="s">
        <v>303</v>
      </c>
      <c r="B227" s="349" t="s">
        <v>2812</v>
      </c>
      <c r="C227" s="361"/>
      <c r="D227" s="361"/>
      <c r="E227" s="361"/>
      <c r="F227" s="350">
        <v>0.05</v>
      </c>
      <c r="G227" s="367"/>
    </row>
    <row r="228" spans="1:7">
      <c r="A228" s="360" t="s">
        <v>303</v>
      </c>
      <c r="B228" s="349" t="s">
        <v>2813</v>
      </c>
      <c r="C228" s="361"/>
      <c r="D228" s="361"/>
      <c r="E228" s="361"/>
      <c r="F228" s="350">
        <v>0.05</v>
      </c>
      <c r="G228" s="367"/>
    </row>
    <row r="229" spans="1:7">
      <c r="A229" s="360" t="s">
        <v>303</v>
      </c>
      <c r="B229" s="349" t="s">
        <v>2814</v>
      </c>
      <c r="C229" s="361"/>
      <c r="D229" s="361"/>
      <c r="E229" s="361"/>
      <c r="F229" s="350">
        <v>0.05</v>
      </c>
      <c r="G229" s="367"/>
    </row>
    <row r="230" spans="1:7">
      <c r="A230" s="360" t="s">
        <v>303</v>
      </c>
      <c r="B230" s="349" t="s">
        <v>2815</v>
      </c>
      <c r="C230" s="361"/>
      <c r="D230" s="361"/>
      <c r="E230" s="361"/>
      <c r="F230" s="350">
        <v>0.05</v>
      </c>
      <c r="G230" s="367"/>
    </row>
    <row r="231" spans="1:7">
      <c r="A231" s="360" t="s">
        <v>303</v>
      </c>
      <c r="B231" s="349" t="s">
        <v>2816</v>
      </c>
      <c r="C231" s="361"/>
      <c r="D231" s="361"/>
      <c r="E231" s="361"/>
      <c r="F231" s="350">
        <v>0.05</v>
      </c>
      <c r="G231" s="367"/>
    </row>
    <row r="232" spans="1:7">
      <c r="A232" s="360" t="s">
        <v>303</v>
      </c>
      <c r="B232" s="349" t="s">
        <v>2817</v>
      </c>
      <c r="C232" s="361"/>
      <c r="D232" s="361"/>
      <c r="E232" s="361"/>
      <c r="F232" s="350">
        <v>0.05</v>
      </c>
      <c r="G232" s="367"/>
    </row>
    <row r="233" spans="1:7">
      <c r="A233" s="363" t="s">
        <v>303</v>
      </c>
      <c r="B233" s="353" t="s">
        <v>2818</v>
      </c>
      <c r="C233" s="355"/>
      <c r="D233" s="355"/>
      <c r="E233" s="355"/>
      <c r="F233" s="354">
        <v>0.05</v>
      </c>
      <c r="G233" s="368"/>
    </row>
    <row r="234" spans="1:7">
      <c r="A234" s="359" t="s">
        <v>311</v>
      </c>
      <c r="B234" s="345" t="s">
        <v>2819</v>
      </c>
      <c r="C234" s="346">
        <v>0.13</v>
      </c>
      <c r="D234" s="346">
        <v>0.128</v>
      </c>
      <c r="E234" s="346">
        <v>0.14199999999999999</v>
      </c>
      <c r="F234" s="346">
        <v>0.14699999999999999</v>
      </c>
      <c r="G234" s="347">
        <v>0.14000000000000001</v>
      </c>
    </row>
    <row r="235" spans="1:7">
      <c r="A235" s="360" t="s">
        <v>311</v>
      </c>
      <c r="B235" s="349" t="s">
        <v>2820</v>
      </c>
      <c r="C235" s="350">
        <v>0.13600000000000001</v>
      </c>
      <c r="D235" s="350">
        <v>0.13800000000000001</v>
      </c>
      <c r="E235" s="350">
        <v>0.14499999999999999</v>
      </c>
      <c r="F235" s="350">
        <v>0.14299999999999999</v>
      </c>
      <c r="G235" s="351">
        <v>0.14099999999999999</v>
      </c>
    </row>
    <row r="236" spans="1:7">
      <c r="A236" s="360" t="s">
        <v>311</v>
      </c>
      <c r="B236" s="349" t="s">
        <v>2821</v>
      </c>
      <c r="C236" s="350">
        <v>0.15</v>
      </c>
      <c r="D236" s="350">
        <v>0.15</v>
      </c>
      <c r="E236" s="350">
        <v>0.15</v>
      </c>
      <c r="F236" s="350">
        <v>0.15</v>
      </c>
      <c r="G236" s="351">
        <v>0.15</v>
      </c>
    </row>
    <row r="237" spans="1:7">
      <c r="A237" s="360" t="s">
        <v>311</v>
      </c>
      <c r="B237" s="349" t="s">
        <v>2822</v>
      </c>
      <c r="C237" s="350">
        <v>0.15</v>
      </c>
      <c r="D237" s="350">
        <v>0.15</v>
      </c>
      <c r="E237" s="350">
        <v>0.15</v>
      </c>
      <c r="F237" s="350">
        <v>0.15</v>
      </c>
      <c r="G237" s="351">
        <v>0.15</v>
      </c>
    </row>
    <row r="238" spans="1:7">
      <c r="A238" s="360" t="s">
        <v>311</v>
      </c>
      <c r="B238" s="349" t="s">
        <v>2823</v>
      </c>
      <c r="C238" s="350">
        <v>0.14899999999999999</v>
      </c>
      <c r="D238" s="350">
        <v>0.14899999999999999</v>
      </c>
      <c r="E238" s="350">
        <v>0.15</v>
      </c>
      <c r="F238" s="350">
        <v>0.15</v>
      </c>
      <c r="G238" s="351">
        <v>0.15</v>
      </c>
    </row>
    <row r="239" spans="1:7">
      <c r="A239" s="360" t="s">
        <v>311</v>
      </c>
      <c r="B239" s="349" t="s">
        <v>2824</v>
      </c>
      <c r="C239" s="350">
        <v>0.15</v>
      </c>
      <c r="D239" s="350">
        <v>0.15</v>
      </c>
      <c r="E239" s="350">
        <v>0.15</v>
      </c>
      <c r="F239" s="350">
        <v>0.15</v>
      </c>
      <c r="G239" s="351">
        <v>0.15</v>
      </c>
    </row>
    <row r="240" spans="1:7">
      <c r="A240" s="360" t="s">
        <v>311</v>
      </c>
      <c r="B240" s="349" t="s">
        <v>2825</v>
      </c>
      <c r="C240" s="350">
        <v>0.15</v>
      </c>
      <c r="D240" s="350">
        <v>0.15</v>
      </c>
      <c r="E240" s="350">
        <v>0.15</v>
      </c>
      <c r="F240" s="350">
        <v>0.15</v>
      </c>
      <c r="G240" s="351">
        <v>0.15</v>
      </c>
    </row>
    <row r="241" spans="1:7">
      <c r="A241" s="360" t="s">
        <v>311</v>
      </c>
      <c r="B241" s="349" t="s">
        <v>2826</v>
      </c>
      <c r="C241" s="350">
        <v>0.14099999999999999</v>
      </c>
      <c r="D241" s="350">
        <v>0.14199999999999999</v>
      </c>
      <c r="E241" s="350">
        <v>0.14899999999999999</v>
      </c>
      <c r="F241" s="350">
        <v>0.15</v>
      </c>
      <c r="G241" s="351">
        <v>0.14399999999999999</v>
      </c>
    </row>
    <row r="242" spans="1:7">
      <c r="A242" s="360" t="s">
        <v>311</v>
      </c>
      <c r="B242" s="349" t="s">
        <v>2827</v>
      </c>
      <c r="C242" s="350">
        <v>0.14099999999999999</v>
      </c>
      <c r="D242" s="350">
        <v>0.14199999999999999</v>
      </c>
      <c r="E242" s="350">
        <v>0.14799999999999999</v>
      </c>
      <c r="F242" s="350">
        <v>0.127</v>
      </c>
      <c r="G242" s="351">
        <v>0.14399999999999999</v>
      </c>
    </row>
    <row r="243" spans="1:7">
      <c r="A243" s="360" t="s">
        <v>311</v>
      </c>
      <c r="B243" s="349" t="s">
        <v>2828</v>
      </c>
      <c r="C243" s="350">
        <v>0.14699999999999999</v>
      </c>
      <c r="D243" s="350">
        <v>0.14699999999999999</v>
      </c>
      <c r="E243" s="350">
        <v>0.15</v>
      </c>
      <c r="F243" s="350">
        <v>0.15</v>
      </c>
      <c r="G243" s="351">
        <v>0.14899999999999999</v>
      </c>
    </row>
    <row r="244" spans="1:7">
      <c r="A244" s="360" t="s">
        <v>311</v>
      </c>
      <c r="B244" s="349" t="s">
        <v>2829</v>
      </c>
      <c r="C244" s="350">
        <v>0.15</v>
      </c>
      <c r="D244" s="350">
        <v>0.15</v>
      </c>
      <c r="E244" s="350">
        <v>0.15</v>
      </c>
      <c r="F244" s="350">
        <v>0.15</v>
      </c>
      <c r="G244" s="351">
        <v>0.15</v>
      </c>
    </row>
    <row r="245" spans="1:7">
      <c r="A245" s="360" t="s">
        <v>311</v>
      </c>
      <c r="B245" s="349" t="s">
        <v>2830</v>
      </c>
      <c r="C245" s="350">
        <v>0.14199999999999999</v>
      </c>
      <c r="D245" s="350">
        <v>0.14199999999999999</v>
      </c>
      <c r="E245" s="350">
        <v>0.15</v>
      </c>
      <c r="F245" s="350">
        <v>0.15</v>
      </c>
      <c r="G245" s="351">
        <v>0.14499999999999999</v>
      </c>
    </row>
    <row r="246" spans="1:7">
      <c r="A246" s="360" t="s">
        <v>311</v>
      </c>
      <c r="B246" s="349" t="s">
        <v>2831</v>
      </c>
      <c r="C246" s="350">
        <v>0.14199999999999999</v>
      </c>
      <c r="D246" s="350">
        <v>0.14299999999999999</v>
      </c>
      <c r="E246" s="350">
        <v>0.15</v>
      </c>
      <c r="F246" s="350">
        <v>0.14199999999999999</v>
      </c>
      <c r="G246" s="351">
        <v>0.14399999999999999</v>
      </c>
    </row>
    <row r="247" spans="1:7">
      <c r="A247" s="360" t="s">
        <v>311</v>
      </c>
      <c r="B247" s="349" t="s">
        <v>2832</v>
      </c>
      <c r="C247" s="350">
        <v>0.14899999999999999</v>
      </c>
      <c r="D247" s="350">
        <v>0.14899999999999999</v>
      </c>
      <c r="E247" s="350">
        <v>0.15</v>
      </c>
      <c r="F247" s="350">
        <v>0.15</v>
      </c>
      <c r="G247" s="351">
        <v>0.15</v>
      </c>
    </row>
    <row r="248" spans="1:7">
      <c r="A248" s="360" t="s">
        <v>311</v>
      </c>
      <c r="B248" s="349" t="s">
        <v>2833</v>
      </c>
      <c r="C248" s="350">
        <v>0.14399999999999999</v>
      </c>
      <c r="D248" s="350">
        <v>0.14399999999999999</v>
      </c>
      <c r="E248" s="350">
        <v>0.14899999999999999</v>
      </c>
      <c r="F248" s="350">
        <v>0.14799999999999999</v>
      </c>
      <c r="G248" s="351">
        <v>0.14599999999999999</v>
      </c>
    </row>
    <row r="249" spans="1:7">
      <c r="A249" s="360" t="s">
        <v>311</v>
      </c>
      <c r="B249" s="349" t="s">
        <v>2834</v>
      </c>
      <c r="C249" s="350">
        <v>0.14000000000000001</v>
      </c>
      <c r="D249" s="350">
        <v>0.14000000000000001</v>
      </c>
      <c r="E249" s="350">
        <v>0.14699999999999999</v>
      </c>
      <c r="F249" s="350">
        <v>0.14899999999999999</v>
      </c>
      <c r="G249" s="351">
        <v>0.14199999999999999</v>
      </c>
    </row>
    <row r="250" spans="1:7">
      <c r="A250" s="360" t="s">
        <v>311</v>
      </c>
      <c r="B250" s="349" t="s">
        <v>2835</v>
      </c>
      <c r="C250" s="350">
        <v>0.14399999999999999</v>
      </c>
      <c r="D250" s="350">
        <v>0.14299999999999999</v>
      </c>
      <c r="E250" s="350">
        <v>0.14899999999999999</v>
      </c>
      <c r="F250" s="350">
        <v>0.15</v>
      </c>
      <c r="G250" s="351">
        <v>0.14599999999999999</v>
      </c>
    </row>
    <row r="251" spans="1:7">
      <c r="A251" s="360" t="s">
        <v>311</v>
      </c>
      <c r="B251" s="349" t="s">
        <v>2836</v>
      </c>
      <c r="C251" s="366"/>
      <c r="D251" s="361"/>
      <c r="E251" s="361"/>
      <c r="F251" s="350">
        <v>0.1</v>
      </c>
      <c r="G251" s="367"/>
    </row>
    <row r="252" spans="1:7">
      <c r="A252" s="360" t="s">
        <v>311</v>
      </c>
      <c r="B252" s="349" t="s">
        <v>2837</v>
      </c>
      <c r="C252" s="350">
        <v>0.14399999999999999</v>
      </c>
      <c r="D252" s="350">
        <v>0.14399999999999999</v>
      </c>
      <c r="E252" s="350">
        <v>0.15</v>
      </c>
      <c r="F252" s="350">
        <v>0.14899999999999999</v>
      </c>
      <c r="G252" s="351">
        <v>0.14599999999999999</v>
      </c>
    </row>
    <row r="253" spans="1:7">
      <c r="A253" s="360" t="s">
        <v>311</v>
      </c>
      <c r="B253" s="349" t="s">
        <v>2838</v>
      </c>
      <c r="C253" s="350">
        <v>0.14199999999999999</v>
      </c>
      <c r="D253" s="350">
        <v>0.14199999999999999</v>
      </c>
      <c r="E253" s="350">
        <v>0.14599999999999999</v>
      </c>
      <c r="F253" s="350">
        <v>0.14799999999999999</v>
      </c>
      <c r="G253" s="351">
        <v>0.14499999999999999</v>
      </c>
    </row>
    <row r="254" spans="1:7">
      <c r="A254" s="360" t="s">
        <v>311</v>
      </c>
      <c r="B254" s="349" t="s">
        <v>2839</v>
      </c>
      <c r="C254" s="350">
        <v>0.15</v>
      </c>
      <c r="D254" s="350">
        <v>0.15</v>
      </c>
      <c r="E254" s="350">
        <v>0.15</v>
      </c>
      <c r="F254" s="350">
        <v>0.15</v>
      </c>
      <c r="G254" s="351">
        <v>0.15</v>
      </c>
    </row>
    <row r="255" spans="1:7">
      <c r="A255" s="360" t="s">
        <v>311</v>
      </c>
      <c r="B255" s="349" t="s">
        <v>2840</v>
      </c>
      <c r="C255" s="350">
        <v>0.14299999999999999</v>
      </c>
      <c r="D255" s="350">
        <v>0.14299999999999999</v>
      </c>
      <c r="E255" s="350">
        <v>0.15</v>
      </c>
      <c r="F255" s="350">
        <v>0.15</v>
      </c>
      <c r="G255" s="351">
        <v>0.14499999999999999</v>
      </c>
    </row>
    <row r="256" spans="1:7">
      <c r="A256" s="360" t="s">
        <v>311</v>
      </c>
      <c r="B256" s="349" t="s">
        <v>2841</v>
      </c>
      <c r="C256" s="350">
        <v>0.15</v>
      </c>
      <c r="D256" s="350">
        <v>0.15</v>
      </c>
      <c r="E256" s="350">
        <v>0.15</v>
      </c>
      <c r="F256" s="350">
        <v>0.14599999999999999</v>
      </c>
      <c r="G256" s="351">
        <v>0.15</v>
      </c>
    </row>
    <row r="257" spans="1:7">
      <c r="A257" s="360" t="s">
        <v>311</v>
      </c>
      <c r="B257" s="349" t="s">
        <v>2842</v>
      </c>
      <c r="C257" s="350">
        <v>0.14199999999999999</v>
      </c>
      <c r="D257" s="350">
        <v>0.14299999999999999</v>
      </c>
      <c r="E257" s="350">
        <v>0.14799999999999999</v>
      </c>
      <c r="F257" s="350">
        <v>0.15</v>
      </c>
      <c r="G257" s="351">
        <v>0.14499999999999999</v>
      </c>
    </row>
    <row r="258" spans="1:7">
      <c r="A258" s="360" t="s">
        <v>311</v>
      </c>
      <c r="B258" s="349" t="s">
        <v>2843</v>
      </c>
      <c r="C258" s="350">
        <v>0.14299999999999999</v>
      </c>
      <c r="D258" s="350">
        <v>0.14299999999999999</v>
      </c>
      <c r="E258" s="350">
        <v>0.15</v>
      </c>
      <c r="F258" s="350">
        <v>0.14799999999999999</v>
      </c>
      <c r="G258" s="351">
        <v>0.14599999999999999</v>
      </c>
    </row>
    <row r="259" spans="1:7">
      <c r="A259" s="360" t="s">
        <v>311</v>
      </c>
      <c r="B259" s="349" t="s">
        <v>2844</v>
      </c>
      <c r="C259" s="350">
        <v>0.14399999999999999</v>
      </c>
      <c r="D259" s="350">
        <v>0.14399999999999999</v>
      </c>
      <c r="E259" s="350">
        <v>0.14899999999999999</v>
      </c>
      <c r="F259" s="350">
        <v>0.14699999999999999</v>
      </c>
      <c r="G259" s="351">
        <v>0.14599999999999999</v>
      </c>
    </row>
    <row r="260" spans="1:7">
      <c r="A260" s="360" t="s">
        <v>311</v>
      </c>
      <c r="B260" s="349" t="s">
        <v>2845</v>
      </c>
      <c r="C260" s="350">
        <v>0.109</v>
      </c>
      <c r="D260" s="350">
        <v>0.111</v>
      </c>
      <c r="E260" s="350">
        <v>0.13100000000000001</v>
      </c>
      <c r="F260" s="350">
        <v>0.126</v>
      </c>
      <c r="G260" s="351">
        <v>0.11899999999999999</v>
      </c>
    </row>
    <row r="261" spans="1:7">
      <c r="A261" s="360" t="s">
        <v>311</v>
      </c>
      <c r="B261" s="349" t="s">
        <v>2846</v>
      </c>
      <c r="C261" s="350">
        <v>0.1</v>
      </c>
      <c r="D261" s="350">
        <v>0.1</v>
      </c>
      <c r="E261" s="350">
        <v>0.11799999999999999</v>
      </c>
      <c r="F261" s="350">
        <v>0.108</v>
      </c>
      <c r="G261" s="351">
        <v>0.107</v>
      </c>
    </row>
    <row r="262" spans="1:7">
      <c r="A262" s="360" t="s">
        <v>311</v>
      </c>
      <c r="B262" s="349" t="s">
        <v>2847</v>
      </c>
      <c r="C262" s="350">
        <v>0.1</v>
      </c>
      <c r="D262" s="350">
        <v>0.1</v>
      </c>
      <c r="E262" s="350">
        <v>0.1</v>
      </c>
      <c r="F262" s="350">
        <v>0.14099999999999999</v>
      </c>
      <c r="G262" s="351">
        <v>0.1</v>
      </c>
    </row>
    <row r="263" spans="1:7">
      <c r="A263" s="360" t="s">
        <v>311</v>
      </c>
      <c r="B263" s="349" t="s">
        <v>2848</v>
      </c>
      <c r="C263" s="350">
        <v>0.14799999999999999</v>
      </c>
      <c r="D263" s="350">
        <v>0.14799999999999999</v>
      </c>
      <c r="E263" s="350">
        <v>0.15</v>
      </c>
      <c r="F263" s="350">
        <v>0.14699999999999999</v>
      </c>
      <c r="G263" s="351">
        <v>0.15</v>
      </c>
    </row>
    <row r="264" spans="1:7">
      <c r="A264" s="360" t="s">
        <v>311</v>
      </c>
      <c r="B264" s="349" t="s">
        <v>2849</v>
      </c>
      <c r="C264" s="350">
        <v>0.14299999999999999</v>
      </c>
      <c r="D264" s="350">
        <v>0.14299999999999999</v>
      </c>
      <c r="E264" s="350">
        <v>0.15</v>
      </c>
      <c r="F264" s="350">
        <v>0.14899999999999999</v>
      </c>
      <c r="G264" s="351">
        <v>0.14599999999999999</v>
      </c>
    </row>
    <row r="265" spans="1:7">
      <c r="A265" s="360" t="s">
        <v>311</v>
      </c>
      <c r="B265" s="349" t="s">
        <v>2850</v>
      </c>
      <c r="C265" s="361"/>
      <c r="D265" s="361"/>
      <c r="E265" s="361"/>
      <c r="F265" s="350">
        <v>0.05</v>
      </c>
      <c r="G265" s="367"/>
    </row>
    <row r="266" spans="1:7">
      <c r="A266" s="360" t="s">
        <v>311</v>
      </c>
      <c r="B266" s="349" t="s">
        <v>2851</v>
      </c>
      <c r="C266" s="361"/>
      <c r="D266" s="361"/>
      <c r="E266" s="361"/>
      <c r="F266" s="350">
        <v>0.05</v>
      </c>
      <c r="G266" s="367"/>
    </row>
    <row r="267" spans="1:7">
      <c r="A267" s="360" t="s">
        <v>311</v>
      </c>
      <c r="B267" s="349" t="s">
        <v>2852</v>
      </c>
      <c r="C267" s="361"/>
      <c r="D267" s="361"/>
      <c r="E267" s="361"/>
      <c r="F267" s="350">
        <v>0.05</v>
      </c>
      <c r="G267" s="367"/>
    </row>
    <row r="268" spans="1:7">
      <c r="A268" s="360" t="s">
        <v>311</v>
      </c>
      <c r="B268" s="349" t="s">
        <v>2853</v>
      </c>
      <c r="C268" s="361"/>
      <c r="D268" s="361"/>
      <c r="E268" s="361"/>
      <c r="F268" s="350">
        <v>0.05</v>
      </c>
      <c r="G268" s="367"/>
    </row>
    <row r="269" spans="1:7">
      <c r="A269" s="360" t="s">
        <v>311</v>
      </c>
      <c r="B269" s="349" t="s">
        <v>2854</v>
      </c>
      <c r="C269" s="361"/>
      <c r="D269" s="361"/>
      <c r="E269" s="361"/>
      <c r="F269" s="350">
        <v>0.05</v>
      </c>
      <c r="G269" s="367"/>
    </row>
    <row r="270" spans="1:7">
      <c r="A270" s="360" t="s">
        <v>311</v>
      </c>
      <c r="B270" s="349" t="s">
        <v>2855</v>
      </c>
      <c r="C270" s="361"/>
      <c r="D270" s="361"/>
      <c r="E270" s="361"/>
      <c r="F270" s="350">
        <v>0.05</v>
      </c>
      <c r="G270" s="367"/>
    </row>
    <row r="271" spans="1:7">
      <c r="A271" s="360" t="s">
        <v>311</v>
      </c>
      <c r="B271" s="349" t="s">
        <v>2856</v>
      </c>
      <c r="C271" s="361"/>
      <c r="D271" s="361"/>
      <c r="E271" s="361"/>
      <c r="F271" s="350">
        <v>0.05</v>
      </c>
      <c r="G271" s="367"/>
    </row>
    <row r="272" spans="1:7">
      <c r="A272" s="360" t="s">
        <v>311</v>
      </c>
      <c r="B272" s="349" t="s">
        <v>2857</v>
      </c>
      <c r="C272" s="361"/>
      <c r="D272" s="361"/>
      <c r="E272" s="361"/>
      <c r="F272" s="350">
        <v>0.05</v>
      </c>
      <c r="G272" s="367"/>
    </row>
    <row r="273" spans="1:7">
      <c r="A273" s="360" t="s">
        <v>311</v>
      </c>
      <c r="B273" s="349" t="s">
        <v>2858</v>
      </c>
      <c r="C273" s="361"/>
      <c r="D273" s="361"/>
      <c r="E273" s="361"/>
      <c r="F273" s="350">
        <v>0.05</v>
      </c>
      <c r="G273" s="367"/>
    </row>
    <row r="274" spans="1:7">
      <c r="A274" s="360" t="s">
        <v>311</v>
      </c>
      <c r="B274" s="349" t="s">
        <v>2859</v>
      </c>
      <c r="C274" s="361"/>
      <c r="D274" s="361"/>
      <c r="E274" s="361"/>
      <c r="F274" s="350">
        <v>0.05</v>
      </c>
      <c r="G274" s="367"/>
    </row>
    <row r="275" spans="1:7">
      <c r="A275" s="360" t="s">
        <v>311</v>
      </c>
      <c r="B275" s="349" t="s">
        <v>2860</v>
      </c>
      <c r="C275" s="361"/>
      <c r="D275" s="361"/>
      <c r="E275" s="361"/>
      <c r="F275" s="350">
        <v>0.05</v>
      </c>
      <c r="G275" s="367"/>
    </row>
    <row r="276" spans="1:7">
      <c r="A276" s="363" t="s">
        <v>311</v>
      </c>
      <c r="B276" s="353" t="s">
        <v>2861</v>
      </c>
      <c r="C276" s="355"/>
      <c r="D276" s="355"/>
      <c r="E276" s="355"/>
      <c r="F276" s="354">
        <v>0.05</v>
      </c>
      <c r="G276" s="368"/>
    </row>
    <row r="277" spans="1:7">
      <c r="A277" s="359" t="s">
        <v>318</v>
      </c>
      <c r="B277" s="345" t="s">
        <v>2862</v>
      </c>
      <c r="C277" s="346">
        <v>0.15</v>
      </c>
      <c r="D277" s="346">
        <v>0.15</v>
      </c>
      <c r="E277" s="346">
        <v>0.15</v>
      </c>
      <c r="F277" s="346">
        <v>0.15</v>
      </c>
      <c r="G277" s="347">
        <v>0.15</v>
      </c>
    </row>
    <row r="278" spans="1:7">
      <c r="A278" s="360" t="s">
        <v>318</v>
      </c>
      <c r="B278" s="349" t="s">
        <v>2863</v>
      </c>
      <c r="C278" s="350">
        <v>0.15</v>
      </c>
      <c r="D278" s="350">
        <v>0.15</v>
      </c>
      <c r="E278" s="350">
        <v>0.15</v>
      </c>
      <c r="F278" s="350">
        <v>0.15</v>
      </c>
      <c r="G278" s="351">
        <v>0.15</v>
      </c>
    </row>
    <row r="279" spans="1:7">
      <c r="A279" s="360" t="s">
        <v>318</v>
      </c>
      <c r="B279" s="349" t="s">
        <v>2864</v>
      </c>
      <c r="C279" s="350">
        <v>0.15</v>
      </c>
      <c r="D279" s="350">
        <v>0.15</v>
      </c>
      <c r="E279" s="350">
        <v>0.15</v>
      </c>
      <c r="F279" s="350">
        <v>0.15</v>
      </c>
      <c r="G279" s="351">
        <v>0.15</v>
      </c>
    </row>
    <row r="280" spans="1:7">
      <c r="A280" s="360" t="s">
        <v>318</v>
      </c>
      <c r="B280" s="349" t="s">
        <v>2865</v>
      </c>
      <c r="C280" s="350">
        <v>0.15</v>
      </c>
      <c r="D280" s="350">
        <v>0.15</v>
      </c>
      <c r="E280" s="350">
        <v>0.15</v>
      </c>
      <c r="F280" s="350">
        <v>0.15</v>
      </c>
      <c r="G280" s="351">
        <v>0.15</v>
      </c>
    </row>
    <row r="281" spans="1:7">
      <c r="A281" s="360" t="s">
        <v>318</v>
      </c>
      <c r="B281" s="349" t="s">
        <v>2866</v>
      </c>
      <c r="C281" s="350">
        <v>0.15</v>
      </c>
      <c r="D281" s="350">
        <v>0.15</v>
      </c>
      <c r="E281" s="350">
        <v>0.15</v>
      </c>
      <c r="F281" s="350">
        <v>0.15</v>
      </c>
      <c r="G281" s="351">
        <v>0.15</v>
      </c>
    </row>
    <row r="282" spans="1:7">
      <c r="A282" s="360" t="s">
        <v>318</v>
      </c>
      <c r="B282" s="349" t="s">
        <v>2867</v>
      </c>
      <c r="C282" s="350">
        <v>0.15</v>
      </c>
      <c r="D282" s="350">
        <v>0.15</v>
      </c>
      <c r="E282" s="350">
        <v>0.15</v>
      </c>
      <c r="F282" s="350">
        <v>0.14499999999999999</v>
      </c>
      <c r="G282" s="351">
        <v>0.15</v>
      </c>
    </row>
    <row r="283" spans="1:7">
      <c r="A283" s="360" t="s">
        <v>318</v>
      </c>
      <c r="B283" s="349" t="s">
        <v>2868</v>
      </c>
      <c r="C283" s="350">
        <v>0.15</v>
      </c>
      <c r="D283" s="350">
        <v>0.15</v>
      </c>
      <c r="E283" s="350">
        <v>0.15</v>
      </c>
      <c r="F283" s="350">
        <v>0.14199999999999999</v>
      </c>
      <c r="G283" s="351">
        <v>0.15</v>
      </c>
    </row>
    <row r="284" spans="1:7">
      <c r="A284" s="360" t="s">
        <v>318</v>
      </c>
      <c r="B284" s="349" t="s">
        <v>2869</v>
      </c>
      <c r="C284" s="350">
        <v>0.15</v>
      </c>
      <c r="D284" s="350">
        <v>0.15</v>
      </c>
      <c r="E284" s="350">
        <v>0.15</v>
      </c>
      <c r="F284" s="350">
        <v>0.15</v>
      </c>
      <c r="G284" s="351">
        <v>0.15</v>
      </c>
    </row>
    <row r="285" spans="1:7">
      <c r="A285" s="360" t="s">
        <v>318</v>
      </c>
      <c r="B285" s="349" t="s">
        <v>2870</v>
      </c>
      <c r="C285" s="350">
        <v>0.15</v>
      </c>
      <c r="D285" s="350">
        <v>0.15</v>
      </c>
      <c r="E285" s="350">
        <v>0.15</v>
      </c>
      <c r="F285" s="350">
        <v>0.15</v>
      </c>
      <c r="G285" s="351">
        <v>0.15</v>
      </c>
    </row>
    <row r="286" spans="1:7">
      <c r="A286" s="360" t="s">
        <v>318</v>
      </c>
      <c r="B286" s="349" t="s">
        <v>2871</v>
      </c>
      <c r="C286" s="350">
        <v>0.14499999999999999</v>
      </c>
      <c r="D286" s="350">
        <v>0.14499999999999999</v>
      </c>
      <c r="E286" s="350">
        <v>0.15</v>
      </c>
      <c r="F286" s="350">
        <v>0.14099999999999999</v>
      </c>
      <c r="G286" s="351">
        <v>0.14499999999999999</v>
      </c>
    </row>
    <row r="287" spans="1:7">
      <c r="A287" s="360" t="s">
        <v>318</v>
      </c>
      <c r="B287" s="349" t="s">
        <v>2872</v>
      </c>
      <c r="C287" s="350">
        <v>0.11</v>
      </c>
      <c r="D287" s="350">
        <v>0.111</v>
      </c>
      <c r="E287" s="350">
        <v>0.14099999999999999</v>
      </c>
      <c r="F287" s="350">
        <v>0.11</v>
      </c>
      <c r="G287" s="351">
        <v>0.12</v>
      </c>
    </row>
    <row r="288" spans="1:7">
      <c r="A288" s="360" t="s">
        <v>318</v>
      </c>
      <c r="B288" s="349" t="s">
        <v>2873</v>
      </c>
      <c r="C288" s="350">
        <v>0.14199999999999999</v>
      </c>
      <c r="D288" s="350">
        <v>0.14299999999999999</v>
      </c>
      <c r="E288" s="350">
        <v>0.15</v>
      </c>
      <c r="F288" s="350">
        <v>0.14199999999999999</v>
      </c>
      <c r="G288" s="351">
        <v>0.14399999999999999</v>
      </c>
    </row>
    <row r="289" spans="1:7">
      <c r="A289" s="360" t="s">
        <v>318</v>
      </c>
      <c r="B289" s="349" t="s">
        <v>2874</v>
      </c>
      <c r="C289" s="350">
        <v>0.14299999999999999</v>
      </c>
      <c r="D289" s="350">
        <v>0.14299999999999999</v>
      </c>
      <c r="E289" s="350">
        <v>0.14799999999999999</v>
      </c>
      <c r="F289" s="350">
        <v>0.14399999999999999</v>
      </c>
      <c r="G289" s="351">
        <v>0.14399999999999999</v>
      </c>
    </row>
    <row r="290" spans="1:7">
      <c r="A290" s="360" t="s">
        <v>318</v>
      </c>
      <c r="B290" s="349" t="s">
        <v>2875</v>
      </c>
      <c r="C290" s="350">
        <v>0.14799999999999999</v>
      </c>
      <c r="D290" s="350">
        <v>0.14899999999999999</v>
      </c>
      <c r="E290" s="350">
        <v>0.15</v>
      </c>
      <c r="F290" s="350">
        <v>0.127</v>
      </c>
      <c r="G290" s="351">
        <v>0.15</v>
      </c>
    </row>
    <row r="291" spans="1:7">
      <c r="A291" s="360" t="s">
        <v>318</v>
      </c>
      <c r="B291" s="349" t="s">
        <v>2876</v>
      </c>
      <c r="C291" s="350">
        <v>0.15</v>
      </c>
      <c r="D291" s="350">
        <v>0.15</v>
      </c>
      <c r="E291" s="350">
        <v>0.15</v>
      </c>
      <c r="F291" s="350">
        <v>0.14899999999999999</v>
      </c>
      <c r="G291" s="351">
        <v>0.15</v>
      </c>
    </row>
    <row r="292" spans="1:7">
      <c r="A292" s="360" t="s">
        <v>318</v>
      </c>
      <c r="B292" s="349" t="s">
        <v>2877</v>
      </c>
      <c r="C292" s="350">
        <v>0.15</v>
      </c>
      <c r="D292" s="350">
        <v>0.15</v>
      </c>
      <c r="E292" s="350">
        <v>0.15</v>
      </c>
      <c r="F292" s="350">
        <v>0.14399999999999999</v>
      </c>
      <c r="G292" s="351">
        <v>0.15</v>
      </c>
    </row>
    <row r="293" spans="1:7">
      <c r="A293" s="360" t="s">
        <v>318</v>
      </c>
      <c r="B293" s="349" t="s">
        <v>2878</v>
      </c>
      <c r="C293" s="350">
        <v>0.15</v>
      </c>
      <c r="D293" s="350">
        <v>0.15</v>
      </c>
      <c r="E293" s="350">
        <v>0.15</v>
      </c>
      <c r="F293" s="350">
        <v>0.14499999999999999</v>
      </c>
      <c r="G293" s="351">
        <v>0.15</v>
      </c>
    </row>
    <row r="294" spans="1:7">
      <c r="A294" s="360" t="s">
        <v>318</v>
      </c>
      <c r="B294" s="349" t="s">
        <v>2879</v>
      </c>
      <c r="C294" s="350">
        <v>0.15</v>
      </c>
      <c r="D294" s="350">
        <v>0.15</v>
      </c>
      <c r="E294" s="350">
        <v>0.15</v>
      </c>
      <c r="F294" s="350">
        <v>0.14899999999999999</v>
      </c>
      <c r="G294" s="351">
        <v>0.15</v>
      </c>
    </row>
    <row r="295" spans="1:7">
      <c r="A295" s="360" t="s">
        <v>318</v>
      </c>
      <c r="B295" s="349" t="s">
        <v>2880</v>
      </c>
      <c r="C295" s="350">
        <v>0.15</v>
      </c>
      <c r="D295" s="350">
        <v>0.15</v>
      </c>
      <c r="E295" s="350">
        <v>0.15</v>
      </c>
      <c r="F295" s="350">
        <v>0.14799999999999999</v>
      </c>
      <c r="G295" s="351">
        <v>0.15</v>
      </c>
    </row>
    <row r="296" spans="1:7">
      <c r="A296" s="360" t="s">
        <v>318</v>
      </c>
      <c r="B296" s="349" t="s">
        <v>2881</v>
      </c>
      <c r="C296" s="350">
        <v>0.15</v>
      </c>
      <c r="D296" s="350">
        <v>0.15</v>
      </c>
      <c r="E296" s="350">
        <v>0.15</v>
      </c>
      <c r="F296" s="350">
        <v>0.14399999999999999</v>
      </c>
      <c r="G296" s="351">
        <v>0.15</v>
      </c>
    </row>
    <row r="297" spans="1:7">
      <c r="A297" s="360" t="s">
        <v>318</v>
      </c>
      <c r="B297" s="349" t="s">
        <v>2882</v>
      </c>
      <c r="C297" s="350">
        <v>0.15</v>
      </c>
      <c r="D297" s="350">
        <v>0.15</v>
      </c>
      <c r="E297" s="350">
        <v>0.15</v>
      </c>
      <c r="F297" s="350">
        <v>0.14499999999999999</v>
      </c>
      <c r="G297" s="351">
        <v>0.15</v>
      </c>
    </row>
    <row r="298" spans="1:7">
      <c r="A298" s="360" t="s">
        <v>318</v>
      </c>
      <c r="B298" s="349" t="s">
        <v>2883</v>
      </c>
      <c r="C298" s="350">
        <v>0.15</v>
      </c>
      <c r="D298" s="350">
        <v>0.15</v>
      </c>
      <c r="E298" s="350">
        <v>0.15</v>
      </c>
      <c r="F298" s="350">
        <v>0.15</v>
      </c>
      <c r="G298" s="351">
        <v>0.15</v>
      </c>
    </row>
    <row r="299" spans="1:7">
      <c r="A299" s="360" t="s">
        <v>318</v>
      </c>
      <c r="B299" s="369" t="s">
        <v>547</v>
      </c>
      <c r="C299" s="350">
        <v>0.15</v>
      </c>
      <c r="D299" s="350">
        <v>0.15</v>
      </c>
      <c r="E299" s="350">
        <v>0.15</v>
      </c>
      <c r="F299" s="350">
        <v>0.14499999999999999</v>
      </c>
      <c r="G299" s="351">
        <v>0.15</v>
      </c>
    </row>
    <row r="300" spans="1:7">
      <c r="A300" s="360" t="s">
        <v>318</v>
      </c>
      <c r="B300" s="369" t="s">
        <v>2884</v>
      </c>
      <c r="C300" s="350">
        <v>0.15</v>
      </c>
      <c r="D300" s="350">
        <v>0.15</v>
      </c>
      <c r="E300" s="350">
        <v>0.15</v>
      </c>
      <c r="F300" s="350">
        <v>0.14599999999999999</v>
      </c>
      <c r="G300" s="351">
        <v>0.15</v>
      </c>
    </row>
    <row r="301" spans="1:7">
      <c r="A301" s="360" t="s">
        <v>318</v>
      </c>
      <c r="B301" s="369" t="s">
        <v>2885</v>
      </c>
      <c r="C301" s="350">
        <v>0.126</v>
      </c>
      <c r="D301" s="350">
        <v>0.124</v>
      </c>
      <c r="E301" s="350">
        <v>0.14099999999999999</v>
      </c>
      <c r="F301" s="350">
        <v>0.14399999999999999</v>
      </c>
      <c r="G301" s="351">
        <v>0.13</v>
      </c>
    </row>
    <row r="302" spans="1:7">
      <c r="A302" s="360" t="s">
        <v>318</v>
      </c>
      <c r="B302" s="349" t="s">
        <v>2886</v>
      </c>
      <c r="C302" s="350">
        <v>0.15</v>
      </c>
      <c r="D302" s="350">
        <v>0.15</v>
      </c>
      <c r="E302" s="350">
        <v>0.15</v>
      </c>
      <c r="F302" s="350">
        <v>0.14699999999999999</v>
      </c>
      <c r="G302" s="351">
        <v>0.15</v>
      </c>
    </row>
    <row r="303" spans="1:7">
      <c r="A303" s="360" t="s">
        <v>318</v>
      </c>
      <c r="B303" s="349" t="s">
        <v>2887</v>
      </c>
      <c r="C303" s="350">
        <v>0.15</v>
      </c>
      <c r="D303" s="350">
        <v>0.15</v>
      </c>
      <c r="E303" s="350">
        <v>0.15</v>
      </c>
      <c r="F303" s="350">
        <v>0.14199999999999999</v>
      </c>
      <c r="G303" s="351">
        <v>0.15</v>
      </c>
    </row>
    <row r="304" spans="1:7">
      <c r="A304" s="360" t="s">
        <v>318</v>
      </c>
      <c r="B304" s="349" t="s">
        <v>2888</v>
      </c>
      <c r="C304" s="350">
        <v>0.15</v>
      </c>
      <c r="D304" s="350">
        <v>0.15</v>
      </c>
      <c r="E304" s="350">
        <v>0.15</v>
      </c>
      <c r="F304" s="350">
        <v>0.14499999999999999</v>
      </c>
      <c r="G304" s="351">
        <v>0.15</v>
      </c>
    </row>
    <row r="305" spans="1:7">
      <c r="A305" s="360" t="s">
        <v>318</v>
      </c>
      <c r="B305" s="349" t="s">
        <v>2889</v>
      </c>
      <c r="C305" s="350">
        <v>0.15</v>
      </c>
      <c r="D305" s="350">
        <v>0.15</v>
      </c>
      <c r="E305" s="350">
        <v>0.15</v>
      </c>
      <c r="F305" s="350">
        <v>0.111</v>
      </c>
      <c r="G305" s="351">
        <v>0.15</v>
      </c>
    </row>
    <row r="306" spans="1:7">
      <c r="A306" s="360" t="s">
        <v>318</v>
      </c>
      <c r="B306" s="349" t="s">
        <v>2890</v>
      </c>
      <c r="C306" s="350">
        <v>0.15</v>
      </c>
      <c r="D306" s="350">
        <v>0.15</v>
      </c>
      <c r="E306" s="350">
        <v>0.15</v>
      </c>
      <c r="F306" s="350">
        <v>0.126</v>
      </c>
      <c r="G306" s="351">
        <v>0.15</v>
      </c>
    </row>
    <row r="307" spans="1:7">
      <c r="A307" s="360" t="s">
        <v>318</v>
      </c>
      <c r="B307" s="349" t="s">
        <v>2891</v>
      </c>
      <c r="C307" s="350">
        <v>0.15</v>
      </c>
      <c r="D307" s="350">
        <v>0.15</v>
      </c>
      <c r="E307" s="350">
        <v>0.15</v>
      </c>
      <c r="F307" s="350">
        <v>0.12</v>
      </c>
      <c r="G307" s="351">
        <v>0.15</v>
      </c>
    </row>
    <row r="308" spans="1:7">
      <c r="A308" s="360" t="s">
        <v>318</v>
      </c>
      <c r="B308" s="349" t="s">
        <v>2892</v>
      </c>
      <c r="C308" s="350">
        <v>0.15</v>
      </c>
      <c r="D308" s="350">
        <v>0.15</v>
      </c>
      <c r="E308" s="350">
        <v>0.15</v>
      </c>
      <c r="F308" s="350">
        <v>0.13</v>
      </c>
      <c r="G308" s="351">
        <v>0.15</v>
      </c>
    </row>
    <row r="309" spans="1:7">
      <c r="A309" s="360" t="s">
        <v>318</v>
      </c>
      <c r="B309" s="349" t="s">
        <v>2893</v>
      </c>
      <c r="C309" s="350">
        <v>0.15</v>
      </c>
      <c r="D309" s="350">
        <v>0.15</v>
      </c>
      <c r="E309" s="350">
        <v>0.15</v>
      </c>
      <c r="F309" s="350">
        <v>0.14099999999999999</v>
      </c>
      <c r="G309" s="351">
        <v>0.15</v>
      </c>
    </row>
    <row r="310" spans="1:7">
      <c r="A310" s="360" t="s">
        <v>318</v>
      </c>
      <c r="B310" s="349" t="s">
        <v>2894</v>
      </c>
      <c r="C310" s="350">
        <v>0.15</v>
      </c>
      <c r="D310" s="350">
        <v>0.15</v>
      </c>
      <c r="E310" s="350">
        <v>0.15</v>
      </c>
      <c r="F310" s="350">
        <v>0.15</v>
      </c>
      <c r="G310" s="351">
        <v>0.15</v>
      </c>
    </row>
    <row r="311" spans="1:7">
      <c r="A311" s="360" t="s">
        <v>318</v>
      </c>
      <c r="B311" s="349" t="s">
        <v>2895</v>
      </c>
      <c r="C311" s="350">
        <v>0.13200000000000001</v>
      </c>
      <c r="D311" s="350">
        <v>0.13300000000000001</v>
      </c>
      <c r="E311" s="350">
        <v>0.14499999999999999</v>
      </c>
      <c r="F311" s="350">
        <v>0.14199999999999999</v>
      </c>
      <c r="G311" s="351">
        <v>0.14000000000000001</v>
      </c>
    </row>
    <row r="312" spans="1:7">
      <c r="A312" s="360" t="s">
        <v>318</v>
      </c>
      <c r="B312" s="349" t="s">
        <v>2896</v>
      </c>
      <c r="C312" s="350">
        <v>0.13800000000000001</v>
      </c>
      <c r="D312" s="350">
        <v>0.14000000000000001</v>
      </c>
      <c r="E312" s="350">
        <v>0.14599999999999999</v>
      </c>
      <c r="F312" s="350">
        <v>0.14899999999999999</v>
      </c>
      <c r="G312" s="351">
        <v>0.14199999999999999</v>
      </c>
    </row>
    <row r="313" spans="1:7">
      <c r="A313" s="360" t="s">
        <v>318</v>
      </c>
      <c r="B313" s="349" t="s">
        <v>2897</v>
      </c>
      <c r="C313" s="350">
        <v>0.125</v>
      </c>
      <c r="D313" s="350">
        <v>0.127</v>
      </c>
      <c r="E313" s="350">
        <v>0.14399999999999999</v>
      </c>
      <c r="F313" s="350">
        <v>0.115</v>
      </c>
      <c r="G313" s="351">
        <v>0.13600000000000001</v>
      </c>
    </row>
    <row r="314" spans="1:7">
      <c r="A314" s="360" t="s">
        <v>318</v>
      </c>
      <c r="B314" s="349" t="s">
        <v>2898</v>
      </c>
      <c r="C314" s="366"/>
      <c r="D314" s="366"/>
      <c r="E314" s="366"/>
      <c r="F314" s="350">
        <v>0.05</v>
      </c>
      <c r="G314" s="367"/>
    </row>
    <row r="315" spans="1:7">
      <c r="A315" s="360" t="s">
        <v>318</v>
      </c>
      <c r="B315" s="349" t="s">
        <v>2899</v>
      </c>
      <c r="C315" s="366"/>
      <c r="D315" s="366"/>
      <c r="E315" s="366"/>
      <c r="F315" s="350">
        <v>0.05</v>
      </c>
      <c r="G315" s="367"/>
    </row>
    <row r="316" spans="1:7">
      <c r="A316" s="360" t="s">
        <v>318</v>
      </c>
      <c r="B316" s="349" t="s">
        <v>2900</v>
      </c>
      <c r="C316" s="361"/>
      <c r="D316" s="361"/>
      <c r="E316" s="361"/>
      <c r="F316" s="350">
        <v>0.05</v>
      </c>
      <c r="G316" s="367"/>
    </row>
    <row r="317" spans="1:7">
      <c r="A317" s="360" t="s">
        <v>318</v>
      </c>
      <c r="B317" s="349" t="s">
        <v>2901</v>
      </c>
      <c r="C317" s="361"/>
      <c r="D317" s="361"/>
      <c r="E317" s="361"/>
      <c r="F317" s="350">
        <v>0.05</v>
      </c>
      <c r="G317" s="367"/>
    </row>
    <row r="318" spans="1:7">
      <c r="A318" s="360" t="s">
        <v>318</v>
      </c>
      <c r="B318" s="349" t="s">
        <v>2902</v>
      </c>
      <c r="C318" s="361"/>
      <c r="D318" s="361"/>
      <c r="E318" s="361"/>
      <c r="F318" s="350">
        <v>0.05</v>
      </c>
      <c r="G318" s="367"/>
    </row>
    <row r="319" spans="1:7">
      <c r="A319" s="360" t="s">
        <v>318</v>
      </c>
      <c r="B319" s="349" t="s">
        <v>2903</v>
      </c>
      <c r="C319" s="361"/>
      <c r="D319" s="361"/>
      <c r="E319" s="361"/>
      <c r="F319" s="350">
        <v>0.05</v>
      </c>
      <c r="G319" s="367"/>
    </row>
    <row r="320" spans="1:7">
      <c r="A320" s="360" t="s">
        <v>318</v>
      </c>
      <c r="B320" s="349" t="s">
        <v>2904</v>
      </c>
      <c r="C320" s="361"/>
      <c r="D320" s="361"/>
      <c r="E320" s="361"/>
      <c r="F320" s="350">
        <v>0.05</v>
      </c>
      <c r="G320" s="367"/>
    </row>
    <row r="321" spans="1:7">
      <c r="A321" s="360" t="s">
        <v>318</v>
      </c>
      <c r="B321" s="349" t="s">
        <v>2905</v>
      </c>
      <c r="C321" s="361"/>
      <c r="D321" s="361"/>
      <c r="E321" s="361"/>
      <c r="F321" s="350">
        <v>0.05</v>
      </c>
      <c r="G321" s="367"/>
    </row>
    <row r="322" spans="1:7">
      <c r="A322" s="360" t="s">
        <v>318</v>
      </c>
      <c r="B322" s="349" t="s">
        <v>2906</v>
      </c>
      <c r="C322" s="361"/>
      <c r="D322" s="361"/>
      <c r="E322" s="361"/>
      <c r="F322" s="350">
        <v>0.05</v>
      </c>
      <c r="G322" s="367"/>
    </row>
    <row r="323" spans="1:7">
      <c r="A323" s="360" t="s">
        <v>318</v>
      </c>
      <c r="B323" s="349" t="s">
        <v>2907</v>
      </c>
      <c r="C323" s="361"/>
      <c r="D323" s="361"/>
      <c r="E323" s="361"/>
      <c r="F323" s="350">
        <v>0.05</v>
      </c>
      <c r="G323" s="367"/>
    </row>
    <row r="324" spans="1:7">
      <c r="A324" s="360" t="s">
        <v>318</v>
      </c>
      <c r="B324" s="349" t="s">
        <v>2908</v>
      </c>
      <c r="C324" s="361"/>
      <c r="D324" s="361"/>
      <c r="E324" s="361"/>
      <c r="F324" s="350">
        <v>0.05</v>
      </c>
      <c r="G324" s="367"/>
    </row>
    <row r="325" spans="1:7">
      <c r="A325" s="360" t="s">
        <v>318</v>
      </c>
      <c r="B325" s="349" t="s">
        <v>2909</v>
      </c>
      <c r="C325" s="361"/>
      <c r="D325" s="361"/>
      <c r="E325" s="361"/>
      <c r="F325" s="350">
        <v>0.05</v>
      </c>
      <c r="G325" s="367"/>
    </row>
    <row r="326" spans="1:7">
      <c r="A326" s="363" t="s">
        <v>318</v>
      </c>
      <c r="B326" s="353" t="s">
        <v>2910</v>
      </c>
      <c r="C326" s="355"/>
      <c r="D326" s="355"/>
      <c r="E326" s="355"/>
      <c r="F326" s="354">
        <v>0.05</v>
      </c>
      <c r="G326" s="368"/>
    </row>
    <row r="327" spans="1:7">
      <c r="A327" s="359" t="s">
        <v>324</v>
      </c>
      <c r="B327" s="345" t="s">
        <v>2911</v>
      </c>
      <c r="C327" s="346">
        <v>0.15</v>
      </c>
      <c r="D327" s="346">
        <v>0.15</v>
      </c>
      <c r="E327" s="346">
        <v>0.15</v>
      </c>
      <c r="F327" s="346">
        <v>0.15</v>
      </c>
      <c r="G327" s="347">
        <v>0.15</v>
      </c>
    </row>
    <row r="328" spans="1:7">
      <c r="A328" s="360" t="s">
        <v>324</v>
      </c>
      <c r="B328" s="349" t="s">
        <v>2912</v>
      </c>
      <c r="C328" s="350">
        <v>0.15</v>
      </c>
      <c r="D328" s="350">
        <v>0.15</v>
      </c>
      <c r="E328" s="350">
        <v>0.15</v>
      </c>
      <c r="F328" s="350">
        <v>0.126</v>
      </c>
      <c r="G328" s="351">
        <v>0.15</v>
      </c>
    </row>
    <row r="329" spans="1:7">
      <c r="A329" s="360" t="s">
        <v>324</v>
      </c>
      <c r="B329" s="349" t="s">
        <v>2913</v>
      </c>
      <c r="C329" s="350">
        <v>0.15</v>
      </c>
      <c r="D329" s="350">
        <v>0.15</v>
      </c>
      <c r="E329" s="350">
        <v>0.15</v>
      </c>
      <c r="F329" s="350">
        <v>0.15</v>
      </c>
      <c r="G329" s="351">
        <v>0.15</v>
      </c>
    </row>
    <row r="330" spans="1:7">
      <c r="A330" s="360" t="s">
        <v>324</v>
      </c>
      <c r="B330" s="349" t="s">
        <v>2914</v>
      </c>
      <c r="C330" s="350">
        <v>0.15</v>
      </c>
      <c r="D330" s="350">
        <v>0.15</v>
      </c>
      <c r="E330" s="350">
        <v>0.15</v>
      </c>
      <c r="F330" s="350">
        <v>0.15</v>
      </c>
      <c r="G330" s="351">
        <v>0.15</v>
      </c>
    </row>
    <row r="331" spans="1:7">
      <c r="A331" s="360" t="s">
        <v>324</v>
      </c>
      <c r="B331" s="349" t="s">
        <v>2915</v>
      </c>
      <c r="C331" s="350">
        <v>0.15</v>
      </c>
      <c r="D331" s="350">
        <v>0.15</v>
      </c>
      <c r="E331" s="350">
        <v>0.15</v>
      </c>
      <c r="F331" s="350">
        <v>0.15</v>
      </c>
      <c r="G331" s="351">
        <v>0.15</v>
      </c>
    </row>
    <row r="332" spans="1:7">
      <c r="A332" s="360" t="s">
        <v>324</v>
      </c>
      <c r="B332" s="349" t="s">
        <v>2916</v>
      </c>
      <c r="C332" s="350">
        <v>0.15</v>
      </c>
      <c r="D332" s="350">
        <v>0.15</v>
      </c>
      <c r="E332" s="350">
        <v>0.15</v>
      </c>
      <c r="F332" s="350">
        <v>0.15</v>
      </c>
      <c r="G332" s="351">
        <v>0.15</v>
      </c>
    </row>
    <row r="333" spans="1:7">
      <c r="A333" s="360" t="s">
        <v>324</v>
      </c>
      <c r="B333" s="349" t="s">
        <v>2917</v>
      </c>
      <c r="C333" s="350">
        <v>0.14899999999999999</v>
      </c>
      <c r="D333" s="350">
        <v>0.14899999999999999</v>
      </c>
      <c r="E333" s="350">
        <v>0.15</v>
      </c>
      <c r="F333" s="350">
        <v>0.11600000000000001</v>
      </c>
      <c r="G333" s="351">
        <v>0.15</v>
      </c>
    </row>
    <row r="334" spans="1:7">
      <c r="A334" s="360" t="s">
        <v>324</v>
      </c>
      <c r="B334" s="349" t="s">
        <v>2918</v>
      </c>
      <c r="C334" s="350">
        <v>0.15</v>
      </c>
      <c r="D334" s="350">
        <v>0.15</v>
      </c>
      <c r="E334" s="350">
        <v>0.15</v>
      </c>
      <c r="F334" s="350">
        <v>0.13</v>
      </c>
      <c r="G334" s="351">
        <v>0.15</v>
      </c>
    </row>
    <row r="335" spans="1:7">
      <c r="A335" s="360" t="s">
        <v>324</v>
      </c>
      <c r="B335" s="349" t="s">
        <v>2919</v>
      </c>
      <c r="C335" s="350">
        <v>0.15</v>
      </c>
      <c r="D335" s="350">
        <v>0.15</v>
      </c>
      <c r="E335" s="350">
        <v>0.15</v>
      </c>
      <c r="F335" s="350">
        <v>0.14399999999999999</v>
      </c>
      <c r="G335" s="351">
        <v>0.15</v>
      </c>
    </row>
    <row r="336" spans="1:7">
      <c r="A336" s="360" t="s">
        <v>324</v>
      </c>
      <c r="B336" s="349" t="s">
        <v>2920</v>
      </c>
      <c r="C336" s="350">
        <v>0.15</v>
      </c>
      <c r="D336" s="350">
        <v>0.15</v>
      </c>
      <c r="E336" s="350">
        <v>0.15</v>
      </c>
      <c r="F336" s="350">
        <v>0.14199999999999999</v>
      </c>
      <c r="G336" s="351">
        <v>0.15</v>
      </c>
    </row>
    <row r="337" spans="1:7">
      <c r="A337" s="360" t="s">
        <v>324</v>
      </c>
      <c r="B337" s="349" t="s">
        <v>2921</v>
      </c>
      <c r="C337" s="350">
        <v>0.15</v>
      </c>
      <c r="D337" s="350">
        <v>0.15</v>
      </c>
      <c r="E337" s="350">
        <v>0.15</v>
      </c>
      <c r="F337" s="350">
        <v>0.14499999999999999</v>
      </c>
      <c r="G337" s="351">
        <v>0.15</v>
      </c>
    </row>
    <row r="338" spans="1:7">
      <c r="A338" s="360" t="s">
        <v>324</v>
      </c>
      <c r="B338" s="349" t="s">
        <v>2922</v>
      </c>
      <c r="C338" s="350">
        <v>0.15</v>
      </c>
      <c r="D338" s="350">
        <v>0.15</v>
      </c>
      <c r="E338" s="350">
        <v>0.15</v>
      </c>
      <c r="F338" s="350">
        <v>0.15</v>
      </c>
      <c r="G338" s="351">
        <v>0.15</v>
      </c>
    </row>
    <row r="339" spans="1:7">
      <c r="A339" s="360" t="s">
        <v>324</v>
      </c>
      <c r="B339" s="349" t="s">
        <v>2923</v>
      </c>
      <c r="C339" s="350">
        <v>0.15</v>
      </c>
      <c r="D339" s="350">
        <v>0.15</v>
      </c>
      <c r="E339" s="350">
        <v>0.15</v>
      </c>
      <c r="F339" s="350">
        <v>0.14699999999999999</v>
      </c>
      <c r="G339" s="351">
        <v>0.15</v>
      </c>
    </row>
    <row r="340" spans="1:7">
      <c r="A340" s="360" t="s">
        <v>324</v>
      </c>
      <c r="B340" s="349" t="s">
        <v>2924</v>
      </c>
      <c r="C340" s="350">
        <v>0.14599999999999999</v>
      </c>
      <c r="D340" s="350">
        <v>0.14599999999999999</v>
      </c>
      <c r="E340" s="350">
        <v>0.15</v>
      </c>
      <c r="F340" s="350">
        <v>0.14099999999999999</v>
      </c>
      <c r="G340" s="351">
        <v>0.14699999999999999</v>
      </c>
    </row>
    <row r="341" spans="1:7">
      <c r="A341" s="360" t="s">
        <v>324</v>
      </c>
      <c r="B341" s="349" t="s">
        <v>2925</v>
      </c>
      <c r="C341" s="350">
        <v>0.126</v>
      </c>
      <c r="D341" s="350">
        <v>0.124</v>
      </c>
      <c r="E341" s="350">
        <v>0.14099999999999999</v>
      </c>
      <c r="F341" s="350">
        <v>0.14399999999999999</v>
      </c>
      <c r="G341" s="351">
        <v>0.13</v>
      </c>
    </row>
    <row r="342" spans="1:7">
      <c r="A342" s="360" t="s">
        <v>324</v>
      </c>
      <c r="B342" s="349" t="s">
        <v>2926</v>
      </c>
      <c r="C342" s="350">
        <v>0.15</v>
      </c>
      <c r="D342" s="350">
        <v>0.15</v>
      </c>
      <c r="E342" s="350">
        <v>0.15</v>
      </c>
      <c r="F342" s="350">
        <v>0.14399999999999999</v>
      </c>
      <c r="G342" s="351">
        <v>0.15</v>
      </c>
    </row>
    <row r="343" spans="1:7">
      <c r="A343" s="360" t="s">
        <v>324</v>
      </c>
      <c r="B343" s="349" t="s">
        <v>2927</v>
      </c>
      <c r="C343" s="350">
        <v>0.15</v>
      </c>
      <c r="D343" s="350">
        <v>0.15</v>
      </c>
      <c r="E343" s="350">
        <v>0.15</v>
      </c>
      <c r="F343" s="350">
        <v>0.128</v>
      </c>
      <c r="G343" s="351">
        <v>0.15</v>
      </c>
    </row>
    <row r="344" spans="1:7">
      <c r="A344" s="360" t="s">
        <v>324</v>
      </c>
      <c r="B344" s="349" t="s">
        <v>2928</v>
      </c>
      <c r="C344" s="350">
        <v>0.15</v>
      </c>
      <c r="D344" s="350">
        <v>0.15</v>
      </c>
      <c r="E344" s="350">
        <v>0.15</v>
      </c>
      <c r="F344" s="350">
        <v>0.14799999999999999</v>
      </c>
      <c r="G344" s="351">
        <v>0.15</v>
      </c>
    </row>
    <row r="345" spans="1:7">
      <c r="A345" s="360" t="s">
        <v>324</v>
      </c>
      <c r="B345" s="349" t="s">
        <v>2929</v>
      </c>
      <c r="C345" s="350">
        <v>0.15</v>
      </c>
      <c r="D345" s="350">
        <v>0.15</v>
      </c>
      <c r="E345" s="350">
        <v>0.15</v>
      </c>
      <c r="F345" s="350">
        <v>0.13800000000000001</v>
      </c>
      <c r="G345" s="351">
        <v>0.15</v>
      </c>
    </row>
    <row r="346" spans="1:7">
      <c r="A346" s="360" t="s">
        <v>324</v>
      </c>
      <c r="B346" s="349" t="s">
        <v>2930</v>
      </c>
      <c r="C346" s="350">
        <v>0.15</v>
      </c>
      <c r="D346" s="350">
        <v>0.15</v>
      </c>
      <c r="E346" s="350">
        <v>0.15</v>
      </c>
      <c r="F346" s="350">
        <v>0.14399999999999999</v>
      </c>
      <c r="G346" s="351">
        <v>0.15</v>
      </c>
    </row>
    <row r="347" spans="1:7">
      <c r="A347" s="360" t="s">
        <v>324</v>
      </c>
      <c r="B347" s="349" t="s">
        <v>2931</v>
      </c>
      <c r="C347" s="350">
        <v>0.15</v>
      </c>
      <c r="D347" s="350">
        <v>0.15</v>
      </c>
      <c r="E347" s="350">
        <v>0.15</v>
      </c>
      <c r="F347" s="350">
        <v>0.14599999999999999</v>
      </c>
      <c r="G347" s="351">
        <v>0.15</v>
      </c>
    </row>
    <row r="348" spans="1:7">
      <c r="A348" s="360" t="s">
        <v>324</v>
      </c>
      <c r="B348" s="349" t="s">
        <v>2932</v>
      </c>
      <c r="C348" s="350">
        <v>0.15</v>
      </c>
      <c r="D348" s="350">
        <v>0.15</v>
      </c>
      <c r="E348" s="350">
        <v>0.15</v>
      </c>
      <c r="F348" s="350">
        <v>0.14399999999999999</v>
      </c>
      <c r="G348" s="351">
        <v>0.15</v>
      </c>
    </row>
    <row r="349" spans="1:7">
      <c r="A349" s="360" t="s">
        <v>324</v>
      </c>
      <c r="B349" s="349" t="s">
        <v>2933</v>
      </c>
      <c r="C349" s="350">
        <v>0.15</v>
      </c>
      <c r="D349" s="350">
        <v>0.15</v>
      </c>
      <c r="E349" s="350">
        <v>0.15</v>
      </c>
      <c r="F349" s="350">
        <v>0.15</v>
      </c>
      <c r="G349" s="351">
        <v>0.15</v>
      </c>
    </row>
    <row r="350" spans="1:7">
      <c r="A350" s="360" t="s">
        <v>324</v>
      </c>
      <c r="B350" s="349" t="s">
        <v>2934</v>
      </c>
      <c r="C350" s="350">
        <v>0.15</v>
      </c>
      <c r="D350" s="350">
        <v>0.15</v>
      </c>
      <c r="E350" s="350">
        <v>0.15</v>
      </c>
      <c r="F350" s="350">
        <v>0.14699999999999999</v>
      </c>
      <c r="G350" s="351">
        <v>0.15</v>
      </c>
    </row>
    <row r="351" spans="1:7">
      <c r="A351" s="360" t="s">
        <v>324</v>
      </c>
      <c r="B351" s="349" t="s">
        <v>2935</v>
      </c>
      <c r="C351" s="350">
        <v>0.15</v>
      </c>
      <c r="D351" s="350">
        <v>0.15</v>
      </c>
      <c r="E351" s="350">
        <v>0.15</v>
      </c>
      <c r="F351" s="350">
        <v>0.13</v>
      </c>
      <c r="G351" s="351">
        <v>0.15</v>
      </c>
    </row>
    <row r="352" spans="1:7">
      <c r="A352" s="360" t="s">
        <v>324</v>
      </c>
      <c r="B352" s="349" t="s">
        <v>2936</v>
      </c>
      <c r="C352" s="350">
        <v>0.15</v>
      </c>
      <c r="D352" s="350">
        <v>0.15</v>
      </c>
      <c r="E352" s="350">
        <v>0.15</v>
      </c>
      <c r="F352" s="350">
        <v>0.14599999999999999</v>
      </c>
      <c r="G352" s="351">
        <v>0.15</v>
      </c>
    </row>
    <row r="353" spans="1:7">
      <c r="A353" s="360" t="s">
        <v>324</v>
      </c>
      <c r="B353" s="349" t="s">
        <v>2937</v>
      </c>
      <c r="C353" s="350">
        <v>0.15</v>
      </c>
      <c r="D353" s="350">
        <v>0.15</v>
      </c>
      <c r="E353" s="350">
        <v>0.15</v>
      </c>
      <c r="F353" s="350">
        <v>0.14499999999999999</v>
      </c>
      <c r="G353" s="351">
        <v>0.15</v>
      </c>
    </row>
    <row r="354" spans="1:7">
      <c r="A354" s="360" t="s">
        <v>324</v>
      </c>
      <c r="B354" s="349" t="s">
        <v>2938</v>
      </c>
      <c r="C354" s="350">
        <v>0.15</v>
      </c>
      <c r="D354" s="350">
        <v>0.15</v>
      </c>
      <c r="E354" s="350">
        <v>0.15</v>
      </c>
      <c r="F354" s="350">
        <v>0.14099999999999999</v>
      </c>
      <c r="G354" s="351">
        <v>0.15</v>
      </c>
    </row>
    <row r="355" spans="1:7">
      <c r="A355" s="360" t="s">
        <v>324</v>
      </c>
      <c r="B355" s="349" t="s">
        <v>2939</v>
      </c>
      <c r="C355" s="350">
        <v>0.15</v>
      </c>
      <c r="D355" s="350">
        <v>0.15</v>
      </c>
      <c r="E355" s="350">
        <v>0.15</v>
      </c>
      <c r="F355" s="350">
        <v>0.15</v>
      </c>
      <c r="G355" s="351">
        <v>0.15</v>
      </c>
    </row>
    <row r="356" spans="1:7">
      <c r="A356" s="360" t="s">
        <v>324</v>
      </c>
      <c r="B356" s="349" t="s">
        <v>2940</v>
      </c>
      <c r="C356" s="350">
        <v>0.15</v>
      </c>
      <c r="D356" s="350">
        <v>0.15</v>
      </c>
      <c r="E356" s="350">
        <v>0.15</v>
      </c>
      <c r="F356" s="350">
        <v>0.15</v>
      </c>
      <c r="G356" s="351">
        <v>0.15</v>
      </c>
    </row>
    <row r="357" spans="1:7">
      <c r="A357" s="363" t="s">
        <v>324</v>
      </c>
      <c r="B357" s="353" t="s">
        <v>2941</v>
      </c>
      <c r="C357" s="354">
        <v>0.126</v>
      </c>
      <c r="D357" s="354">
        <v>0.127</v>
      </c>
      <c r="E357" s="354">
        <v>0.14299999999999999</v>
      </c>
      <c r="F357" s="354">
        <v>0.125</v>
      </c>
      <c r="G357" s="356">
        <v>0.129</v>
      </c>
    </row>
    <row r="358" spans="1:7">
      <c r="A358" s="359" t="s">
        <v>330</v>
      </c>
      <c r="B358" s="345" t="s">
        <v>2942</v>
      </c>
      <c r="C358" s="346">
        <v>0.15</v>
      </c>
      <c r="D358" s="346">
        <v>0.15</v>
      </c>
      <c r="E358" s="346">
        <v>0.15</v>
      </c>
      <c r="F358" s="346">
        <v>0.15</v>
      </c>
      <c r="G358" s="347">
        <v>0.15</v>
      </c>
    </row>
    <row r="359" spans="1:7">
      <c r="A359" s="360" t="s">
        <v>330</v>
      </c>
      <c r="B359" s="349" t="s">
        <v>2943</v>
      </c>
      <c r="C359" s="350">
        <v>0.1</v>
      </c>
      <c r="D359" s="350">
        <v>0.1</v>
      </c>
      <c r="E359" s="350">
        <v>0.1</v>
      </c>
      <c r="F359" s="350">
        <v>0.1</v>
      </c>
      <c r="G359" s="351">
        <v>0.1</v>
      </c>
    </row>
    <row r="360" spans="1:7">
      <c r="A360" s="360" t="s">
        <v>330</v>
      </c>
      <c r="B360" s="349" t="s">
        <v>2944</v>
      </c>
      <c r="C360" s="350">
        <v>0.15</v>
      </c>
      <c r="D360" s="350">
        <v>0.15</v>
      </c>
      <c r="E360" s="350">
        <v>0.15</v>
      </c>
      <c r="F360" s="350">
        <v>0.14899999999999999</v>
      </c>
      <c r="G360" s="351">
        <v>0.15</v>
      </c>
    </row>
    <row r="361" spans="1:7">
      <c r="A361" s="360" t="s">
        <v>330</v>
      </c>
      <c r="B361" s="349" t="s">
        <v>2945</v>
      </c>
      <c r="C361" s="350">
        <v>0.15</v>
      </c>
      <c r="D361" s="350">
        <v>0.15</v>
      </c>
      <c r="E361" s="350">
        <v>0.15</v>
      </c>
      <c r="F361" s="350">
        <v>0.115</v>
      </c>
      <c r="G361" s="351">
        <v>0.15</v>
      </c>
    </row>
    <row r="362" spans="1:7">
      <c r="A362" s="360" t="s">
        <v>330</v>
      </c>
      <c r="B362" s="349" t="s">
        <v>2946</v>
      </c>
      <c r="C362" s="350">
        <v>0.15</v>
      </c>
      <c r="D362" s="350">
        <v>0.15</v>
      </c>
      <c r="E362" s="350">
        <v>0.15</v>
      </c>
      <c r="F362" s="350">
        <v>0.106</v>
      </c>
      <c r="G362" s="351">
        <v>0.15</v>
      </c>
    </row>
    <row r="363" spans="1:7">
      <c r="A363" s="360" t="s">
        <v>330</v>
      </c>
      <c r="B363" s="349" t="s">
        <v>2947</v>
      </c>
      <c r="C363" s="350">
        <v>0.15</v>
      </c>
      <c r="D363" s="350">
        <v>0.15</v>
      </c>
      <c r="E363" s="350">
        <v>0.15</v>
      </c>
      <c r="F363" s="350">
        <v>0.14699999999999999</v>
      </c>
      <c r="G363" s="351">
        <v>0.15</v>
      </c>
    </row>
    <row r="364" spans="1:7">
      <c r="A364" s="360" t="s">
        <v>330</v>
      </c>
      <c r="B364" s="349" t="s">
        <v>2948</v>
      </c>
      <c r="C364" s="350">
        <v>0.15</v>
      </c>
      <c r="D364" s="350">
        <v>0.15</v>
      </c>
      <c r="E364" s="350">
        <v>0.15</v>
      </c>
      <c r="F364" s="350">
        <v>0.14799999999999999</v>
      </c>
      <c r="G364" s="351">
        <v>0.15</v>
      </c>
    </row>
    <row r="365" spans="1:7">
      <c r="A365" s="360" t="s">
        <v>330</v>
      </c>
      <c r="B365" s="349" t="s">
        <v>2949</v>
      </c>
      <c r="C365" s="350">
        <v>0.15</v>
      </c>
      <c r="D365" s="350">
        <v>0.15</v>
      </c>
      <c r="E365" s="350">
        <v>0.15</v>
      </c>
      <c r="F365" s="350">
        <v>0.15</v>
      </c>
      <c r="G365" s="351">
        <v>0.15</v>
      </c>
    </row>
    <row r="366" spans="1:7">
      <c r="A366" s="360" t="s">
        <v>330</v>
      </c>
      <c r="B366" s="349" t="s">
        <v>2950</v>
      </c>
      <c r="C366" s="350">
        <v>0.15</v>
      </c>
      <c r="D366" s="350">
        <v>0.15</v>
      </c>
      <c r="E366" s="350">
        <v>0.15</v>
      </c>
      <c r="F366" s="350">
        <v>0.15</v>
      </c>
      <c r="G366" s="351">
        <v>0.15</v>
      </c>
    </row>
    <row r="367" spans="1:7">
      <c r="A367" s="360" t="s">
        <v>330</v>
      </c>
      <c r="B367" s="349" t="s">
        <v>2951</v>
      </c>
      <c r="C367" s="350">
        <v>0.15</v>
      </c>
      <c r="D367" s="350">
        <v>0.15</v>
      </c>
      <c r="E367" s="350">
        <v>0.15</v>
      </c>
      <c r="F367" s="350">
        <v>0.14699999999999999</v>
      </c>
      <c r="G367" s="351">
        <v>0.15</v>
      </c>
    </row>
    <row r="368" spans="1:7">
      <c r="A368" s="360" t="s">
        <v>330</v>
      </c>
      <c r="B368" s="349" t="s">
        <v>2952</v>
      </c>
      <c r="C368" s="350">
        <v>0.15</v>
      </c>
      <c r="D368" s="350">
        <v>0.15</v>
      </c>
      <c r="E368" s="350">
        <v>0.15</v>
      </c>
      <c r="F368" s="350">
        <v>0.13600000000000001</v>
      </c>
      <c r="G368" s="351">
        <v>0.15</v>
      </c>
    </row>
    <row r="369" spans="1:7">
      <c r="A369" s="360" t="s">
        <v>330</v>
      </c>
      <c r="B369" s="349" t="s">
        <v>2953</v>
      </c>
      <c r="C369" s="350">
        <v>0.15</v>
      </c>
      <c r="D369" s="350">
        <v>0.15</v>
      </c>
      <c r="E369" s="350">
        <v>0.15</v>
      </c>
      <c r="F369" s="350">
        <v>0.14399999999999999</v>
      </c>
      <c r="G369" s="351">
        <v>0.15</v>
      </c>
    </row>
    <row r="370" spans="1:7">
      <c r="A370" s="360" t="s">
        <v>330</v>
      </c>
      <c r="B370" s="349" t="s">
        <v>2954</v>
      </c>
      <c r="C370" s="350">
        <v>0.15</v>
      </c>
      <c r="D370" s="350">
        <v>0.15</v>
      </c>
      <c r="E370" s="350">
        <v>0.15</v>
      </c>
      <c r="F370" s="350">
        <v>0.14599999999999999</v>
      </c>
      <c r="G370" s="351">
        <v>0.15</v>
      </c>
    </row>
    <row r="371" spans="1:7">
      <c r="A371" s="360" t="s">
        <v>330</v>
      </c>
      <c r="B371" s="349" t="s">
        <v>2955</v>
      </c>
      <c r="C371" s="350">
        <v>0.15</v>
      </c>
      <c r="D371" s="350">
        <v>0.15</v>
      </c>
      <c r="E371" s="350">
        <v>0.15</v>
      </c>
      <c r="F371" s="350">
        <v>0.12</v>
      </c>
      <c r="G371" s="351">
        <v>0.15</v>
      </c>
    </row>
    <row r="372" spans="1:7">
      <c r="A372" s="360" t="s">
        <v>330</v>
      </c>
      <c r="B372" s="349" t="s">
        <v>2956</v>
      </c>
      <c r="C372" s="350">
        <v>0.15</v>
      </c>
      <c r="D372" s="350">
        <v>0.15</v>
      </c>
      <c r="E372" s="350">
        <v>0.15</v>
      </c>
      <c r="F372" s="350">
        <v>0.14299999999999999</v>
      </c>
      <c r="G372" s="351">
        <v>0.15</v>
      </c>
    </row>
    <row r="373" spans="1:7">
      <c r="A373" s="360" t="s">
        <v>330</v>
      </c>
      <c r="B373" s="349" t="s">
        <v>2957</v>
      </c>
      <c r="C373" s="350">
        <v>0.15</v>
      </c>
      <c r="D373" s="350">
        <v>0.15</v>
      </c>
      <c r="E373" s="350">
        <v>0.15</v>
      </c>
      <c r="F373" s="350">
        <v>0.14599999999999999</v>
      </c>
      <c r="G373" s="351">
        <v>0.15</v>
      </c>
    </row>
    <row r="374" spans="1:7">
      <c r="A374" s="360" t="s">
        <v>330</v>
      </c>
      <c r="B374" s="349" t="s">
        <v>2958</v>
      </c>
      <c r="C374" s="350">
        <v>0.15</v>
      </c>
      <c r="D374" s="350">
        <v>0.15</v>
      </c>
      <c r="E374" s="350">
        <v>0.15</v>
      </c>
      <c r="F374" s="350">
        <v>0.14399999999999999</v>
      </c>
      <c r="G374" s="351">
        <v>0.15</v>
      </c>
    </row>
    <row r="375" spans="1:7">
      <c r="A375" s="360" t="s">
        <v>330</v>
      </c>
      <c r="B375" s="349" t="s">
        <v>2959</v>
      </c>
      <c r="C375" s="350">
        <v>0.15</v>
      </c>
      <c r="D375" s="350">
        <v>0.15</v>
      </c>
      <c r="E375" s="350">
        <v>0.15</v>
      </c>
      <c r="F375" s="350">
        <v>0.13</v>
      </c>
      <c r="G375" s="351">
        <v>0.15</v>
      </c>
    </row>
    <row r="376" spans="1:7">
      <c r="A376" s="360" t="s">
        <v>330</v>
      </c>
      <c r="B376" s="349" t="s">
        <v>2960</v>
      </c>
      <c r="C376" s="350">
        <v>0.15</v>
      </c>
      <c r="D376" s="350">
        <v>0.15</v>
      </c>
      <c r="E376" s="350">
        <v>0.15</v>
      </c>
      <c r="F376" s="350">
        <v>0.14199999999999999</v>
      </c>
      <c r="G376" s="351">
        <v>0.15</v>
      </c>
    </row>
    <row r="377" spans="1:7">
      <c r="A377" s="363" t="s">
        <v>330</v>
      </c>
      <c r="B377" s="353" t="s">
        <v>2961</v>
      </c>
      <c r="C377" s="354">
        <v>0.15</v>
      </c>
      <c r="D377" s="354">
        <v>0.15</v>
      </c>
      <c r="E377" s="354">
        <v>0.15</v>
      </c>
      <c r="F377" s="354">
        <v>0.14000000000000001</v>
      </c>
      <c r="G377" s="356">
        <v>0.15</v>
      </c>
    </row>
    <row r="378" spans="1:7">
      <c r="A378" s="359" t="s">
        <v>336</v>
      </c>
      <c r="B378" s="345" t="s">
        <v>2962</v>
      </c>
      <c r="C378" s="346">
        <v>0.15</v>
      </c>
      <c r="D378" s="346">
        <v>0.15</v>
      </c>
      <c r="E378" s="346">
        <v>0.15</v>
      </c>
      <c r="F378" s="346">
        <v>0.107</v>
      </c>
      <c r="G378" s="347">
        <v>0.15</v>
      </c>
    </row>
    <row r="379" spans="1:7">
      <c r="A379" s="360" t="s">
        <v>336</v>
      </c>
      <c r="B379" s="349" t="s">
        <v>2963</v>
      </c>
      <c r="C379" s="350">
        <v>0.15</v>
      </c>
      <c r="D379" s="350">
        <v>0.15</v>
      </c>
      <c r="E379" s="350">
        <v>0.15</v>
      </c>
      <c r="F379" s="350">
        <v>0.115</v>
      </c>
      <c r="G379" s="351">
        <v>0.14899999999999999</v>
      </c>
    </row>
    <row r="380" spans="1:7">
      <c r="A380" s="360" t="s">
        <v>336</v>
      </c>
      <c r="B380" s="349" t="s">
        <v>2964</v>
      </c>
      <c r="C380" s="350">
        <v>0.15</v>
      </c>
      <c r="D380" s="350">
        <v>0.15</v>
      </c>
      <c r="E380" s="350">
        <v>0.15</v>
      </c>
      <c r="F380" s="350">
        <v>0.1</v>
      </c>
      <c r="G380" s="351">
        <v>0.14799999999999999</v>
      </c>
    </row>
    <row r="381" spans="1:7">
      <c r="A381" s="360" t="s">
        <v>336</v>
      </c>
      <c r="B381" s="349" t="s">
        <v>2965</v>
      </c>
      <c r="C381" s="350">
        <v>0.15</v>
      </c>
      <c r="D381" s="350">
        <v>0.15</v>
      </c>
      <c r="E381" s="350">
        <v>0.15</v>
      </c>
      <c r="F381" s="350">
        <v>0.126</v>
      </c>
      <c r="G381" s="351">
        <v>0.15</v>
      </c>
    </row>
    <row r="382" spans="1:7">
      <c r="A382" s="360" t="s">
        <v>336</v>
      </c>
      <c r="B382" s="349" t="s">
        <v>2966</v>
      </c>
      <c r="C382" s="350">
        <v>0.15</v>
      </c>
      <c r="D382" s="350">
        <v>0.15</v>
      </c>
      <c r="E382" s="350">
        <v>0.15</v>
      </c>
      <c r="F382" s="350">
        <v>0.15</v>
      </c>
      <c r="G382" s="351">
        <v>0.15</v>
      </c>
    </row>
    <row r="383" spans="1:7">
      <c r="A383" s="360" t="s">
        <v>336</v>
      </c>
      <c r="B383" s="349" t="s">
        <v>2967</v>
      </c>
      <c r="C383" s="350">
        <v>0.15</v>
      </c>
      <c r="D383" s="350">
        <v>0.15</v>
      </c>
      <c r="E383" s="350">
        <v>0.15</v>
      </c>
      <c r="F383" s="350">
        <v>0.14699999999999999</v>
      </c>
      <c r="G383" s="351">
        <v>0.15</v>
      </c>
    </row>
    <row r="384" spans="1:7">
      <c r="A384" s="370" t="s">
        <v>336</v>
      </c>
      <c r="B384" s="371" t="s">
        <v>2968</v>
      </c>
      <c r="C384" s="372">
        <v>0.15</v>
      </c>
      <c r="D384" s="372">
        <v>0.15</v>
      </c>
      <c r="E384" s="372">
        <v>0.15</v>
      </c>
      <c r="F384" s="372">
        <v>0.15</v>
      </c>
      <c r="G384" s="373">
        <v>0.15</v>
      </c>
    </row>
  </sheetData>
  <sheetProtection password="CEE9" sheet="1" objects="1" scenarios="1"/>
  <mergeCells count="1">
    <mergeCell ref="A1: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20" t="s">
        <v>2969</v>
      </c>
      <c r="B1" s="3820"/>
      <c r="C1" s="3820"/>
      <c r="D1" s="3820"/>
      <c r="E1" s="3820"/>
      <c r="F1" s="3821"/>
    </row>
    <row r="2" spans="1:6">
      <c r="A2" s="330" t="s">
        <v>2970</v>
      </c>
      <c r="B2" s="331"/>
      <c r="C2" s="331"/>
      <c r="D2" s="331"/>
      <c r="E2" s="331"/>
      <c r="F2" s="331"/>
    </row>
    <row r="3" spans="1:6">
      <c r="A3" s="330" t="s">
        <v>2971</v>
      </c>
      <c r="B3" s="331"/>
      <c r="C3" s="331"/>
      <c r="D3" s="331"/>
      <c r="E3" s="331"/>
      <c r="F3" s="332" t="s">
        <v>2972</v>
      </c>
    </row>
    <row r="4" spans="1:6">
      <c r="A4" s="333" t="s">
        <v>442</v>
      </c>
      <c r="B4" s="333" t="s">
        <v>229</v>
      </c>
      <c r="C4" s="333" t="s">
        <v>230</v>
      </c>
      <c r="D4" s="333" t="s">
        <v>2973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45911</v>
      </c>
      <c r="B1" s="248" t="s">
        <v>2974</v>
      </c>
      <c r="C1" s="249"/>
      <c r="D1" s="249"/>
      <c r="E1" s="249"/>
      <c r="F1" s="249"/>
      <c r="G1" s="249"/>
      <c r="H1" s="249"/>
      <c r="I1" s="249"/>
      <c r="J1" s="275"/>
      <c r="K1" s="249" t="s">
        <v>2975</v>
      </c>
      <c r="L1" s="249"/>
      <c r="M1" s="249"/>
      <c r="N1" s="249"/>
      <c r="O1" s="249"/>
      <c r="P1" s="249"/>
      <c r="Q1" s="275"/>
      <c r="R1" s="3822" t="s">
        <v>2976</v>
      </c>
      <c r="S1" s="3823"/>
      <c r="T1" s="3823"/>
      <c r="U1" s="3823"/>
      <c r="V1" s="3823"/>
      <c r="W1" s="3823"/>
      <c r="X1" s="275"/>
      <c r="Y1" s="3822" t="s">
        <v>2977</v>
      </c>
      <c r="Z1" s="3823"/>
      <c r="AA1" s="3823"/>
      <c r="AB1" s="3823"/>
      <c r="AC1" s="3823"/>
      <c r="AD1" s="3823"/>
    </row>
    <row r="2" spans="1:44" s="239" customFormat="1">
      <c r="B2" s="250"/>
      <c r="C2" s="251"/>
      <c r="D2" s="252" t="s">
        <v>2978</v>
      </c>
      <c r="E2" s="253" t="s">
        <v>229</v>
      </c>
      <c r="F2" s="253" t="s">
        <v>230</v>
      </c>
      <c r="G2" s="253" t="s">
        <v>232</v>
      </c>
      <c r="H2" s="253" t="s">
        <v>233</v>
      </c>
      <c r="I2" s="253" t="s">
        <v>231</v>
      </c>
      <c r="J2" s="276"/>
      <c r="K2" s="252" t="s">
        <v>2978</v>
      </c>
      <c r="L2" s="253" t="s">
        <v>229</v>
      </c>
      <c r="M2" s="253" t="s">
        <v>230</v>
      </c>
      <c r="N2" s="253" t="s">
        <v>232</v>
      </c>
      <c r="O2" s="253" t="s">
        <v>233</v>
      </c>
      <c r="P2" s="253" t="s">
        <v>231</v>
      </c>
      <c r="Q2" s="276"/>
      <c r="R2" s="252" t="s">
        <v>2978</v>
      </c>
      <c r="S2" s="253" t="s">
        <v>229</v>
      </c>
      <c r="T2" s="253" t="s">
        <v>230</v>
      </c>
      <c r="U2" s="253" t="s">
        <v>232</v>
      </c>
      <c r="V2" s="253" t="s">
        <v>233</v>
      </c>
      <c r="W2" s="253" t="s">
        <v>231</v>
      </c>
      <c r="X2" s="276"/>
      <c r="Y2" s="252" t="s">
        <v>2978</v>
      </c>
      <c r="Z2" s="253" t="s">
        <v>229</v>
      </c>
      <c r="AA2" s="253" t="s">
        <v>230</v>
      </c>
      <c r="AB2" s="253" t="s">
        <v>232</v>
      </c>
      <c r="AC2" s="253" t="s">
        <v>233</v>
      </c>
      <c r="AD2" s="253" t="s">
        <v>231</v>
      </c>
      <c r="AF2" t="s">
        <v>2978</v>
      </c>
      <c r="AG2" t="s">
        <v>229</v>
      </c>
      <c r="AH2" t="s">
        <v>230</v>
      </c>
      <c r="AI2" t="s">
        <v>232</v>
      </c>
      <c r="AJ2" t="s">
        <v>233</v>
      </c>
      <c r="AK2" t="s">
        <v>231</v>
      </c>
      <c r="AM2" t="s">
        <v>2978</v>
      </c>
      <c r="AN2" t="s">
        <v>229</v>
      </c>
      <c r="AO2" t="s">
        <v>230</v>
      </c>
      <c r="AP2" t="s">
        <v>232</v>
      </c>
      <c r="AQ2" t="s">
        <v>233</v>
      </c>
      <c r="AR2" t="s">
        <v>231</v>
      </c>
    </row>
    <row r="3" spans="1:44" s="240" customFormat="1" ht="12.75">
      <c r="A3" s="254" t="s">
        <v>2979</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2980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2981</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2982</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2983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2984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2985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2986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2987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2988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2989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2990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2991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2992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2993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2994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2995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2996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2997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2998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2999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3000</v>
      </c>
    </row>
    <row r="27" spans="1:44" s="245" customFormat="1">
      <c r="I27" s="294" t="s">
        <v>1931</v>
      </c>
    </row>
    <row r="28" spans="1:44" s="245" customFormat="1"/>
    <row r="29" spans="1:44" s="246" customFormat="1" ht="12.75">
      <c r="B29" s="248" t="s">
        <v>3001</v>
      </c>
      <c r="C29" s="249"/>
      <c r="D29" s="249"/>
      <c r="E29" s="249"/>
      <c r="F29" s="249"/>
      <c r="G29" s="249"/>
      <c r="H29" s="249"/>
      <c r="I29" s="249"/>
      <c r="J29" s="275"/>
      <c r="K29" s="249" t="s">
        <v>2975</v>
      </c>
      <c r="L29" s="249"/>
      <c r="M29" s="249"/>
      <c r="N29" s="249"/>
      <c r="O29" s="249"/>
      <c r="P29" s="249"/>
      <c r="Q29" s="275"/>
      <c r="R29" s="3822" t="s">
        <v>2976</v>
      </c>
      <c r="S29" s="3823"/>
      <c r="T29" s="3823"/>
      <c r="U29" s="3823"/>
      <c r="V29" s="3823"/>
      <c r="W29" s="3823"/>
      <c r="X29" s="275"/>
      <c r="Y29" s="3822" t="s">
        <v>2977</v>
      </c>
      <c r="Z29" s="3823"/>
      <c r="AA29" s="3823"/>
      <c r="AB29" s="3823"/>
      <c r="AC29" s="3823"/>
      <c r="AD29" s="3823"/>
    </row>
    <row r="30" spans="1:44" s="239" customFormat="1">
      <c r="B30" s="250"/>
      <c r="C30" s="251"/>
      <c r="D30" s="252" t="s">
        <v>2978</v>
      </c>
      <c r="E30" s="253" t="s">
        <v>229</v>
      </c>
      <c r="F30" s="253" t="s">
        <v>230</v>
      </c>
      <c r="G30" s="253" t="s">
        <v>232</v>
      </c>
      <c r="H30" s="253"/>
      <c r="I30" s="253" t="s">
        <v>231</v>
      </c>
      <c r="J30" s="276"/>
      <c r="K30" s="252" t="s">
        <v>2978</v>
      </c>
      <c r="L30" s="253" t="s">
        <v>229</v>
      </c>
      <c r="M30" s="253" t="s">
        <v>230</v>
      </c>
      <c r="N30" s="253" t="s">
        <v>232</v>
      </c>
      <c r="O30" s="253"/>
      <c r="P30" s="253" t="s">
        <v>231</v>
      </c>
      <c r="Q30" s="276"/>
      <c r="R30" s="252" t="s">
        <v>2978</v>
      </c>
      <c r="S30" s="253" t="s">
        <v>229</v>
      </c>
      <c r="T30" s="253" t="s">
        <v>230</v>
      </c>
      <c r="U30" s="253" t="s">
        <v>232</v>
      </c>
      <c r="V30" s="253"/>
      <c r="W30" s="253" t="s">
        <v>231</v>
      </c>
      <c r="X30" s="276"/>
      <c r="Y30" s="252" t="s">
        <v>2978</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2979</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2980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2981</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2982</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2983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2984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2985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2986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2987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2988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2989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2990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2991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2992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2993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2994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2995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2996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2997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2998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2999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3002</v>
      </c>
    </row>
  </sheetData>
  <sheetProtection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079" customWidth="1"/>
    <col min="2" max="9" width="12.125" style="1079" customWidth="1"/>
    <col min="10" max="16384" width="9" style="1079"/>
  </cols>
  <sheetData>
    <row r="1" spans="1:9" ht="18">
      <c r="A1" s="3502" t="str">
        <f>IF(项目基本情况!B9="房地产市场价值","估价结果一览表","结果表-2")</f>
        <v>结果表-2</v>
      </c>
      <c r="B1" s="3502"/>
      <c r="C1" s="3502"/>
      <c r="D1" s="3502"/>
      <c r="E1" s="3502"/>
      <c r="F1" s="3502"/>
      <c r="G1" s="3502"/>
      <c r="H1" s="3502"/>
      <c r="I1" s="3502"/>
    </row>
    <row r="2" spans="1:9" ht="30" customHeight="1">
      <c r="A2" s="3503" t="s">
        <v>107</v>
      </c>
      <c r="B2" s="3503" t="s">
        <v>108</v>
      </c>
      <c r="C2" s="3503" t="s">
        <v>109</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504"/>
      <c r="B3" s="3504"/>
      <c r="C3" s="3504"/>
      <c r="D3" s="3427" t="s">
        <v>110</v>
      </c>
      <c r="E3" s="3427" t="s">
        <v>111</v>
      </c>
      <c r="F3" s="3427" t="s">
        <v>110</v>
      </c>
      <c r="G3" s="3427" t="s">
        <v>111</v>
      </c>
      <c r="H3" s="3427" t="s">
        <v>110</v>
      </c>
      <c r="I3" s="3427" t="s">
        <v>111</v>
      </c>
    </row>
    <row r="4" spans="1:9" ht="15">
      <c r="A4" s="3428" t="str">
        <f>项目基本情况!S2</f>
        <v>北京市房地产</v>
      </c>
      <c r="B4" s="3427">
        <f>项目基本情况!C17</f>
        <v>30.6</v>
      </c>
      <c r="C4" s="3427">
        <f>项目基本情况!C18</f>
        <v>0</v>
      </c>
      <c r="D4" s="3427" t="e">
        <f ca="1">结果表!D118</f>
        <v>#REF!</v>
      </c>
      <c r="E4" s="3427" t="e">
        <f ca="1">结果表!E118</f>
        <v>#REF!</v>
      </c>
      <c r="F4" s="3427" t="e">
        <f ca="1">结果表!F118</f>
        <v>#REF!</v>
      </c>
      <c r="G4" s="3427" t="e">
        <f ca="1">结果表!G118</f>
        <v>#REF!</v>
      </c>
      <c r="H4" s="3427" t="e">
        <f ca="1">结果表!H118</f>
        <v>#REF!</v>
      </c>
      <c r="I4" s="3427" t="e">
        <f ca="1">结果表!I118</f>
        <v>#REF!</v>
      </c>
    </row>
    <row r="5" spans="1:9" ht="30" customHeight="1">
      <c r="A5" s="3504" t="s">
        <v>112</v>
      </c>
      <c r="B5" s="3504"/>
      <c r="C5" s="3504"/>
      <c r="D5" s="3504" t="e">
        <f ca="1">结果表!D119</f>
        <v>#REF!</v>
      </c>
      <c r="E5" s="3504"/>
      <c r="F5" s="3504" t="e">
        <f ca="1">结果表!F119</f>
        <v>#REF!</v>
      </c>
      <c r="G5" s="3504"/>
      <c r="H5" s="3504" t="e">
        <f ca="1">结果表!H119</f>
        <v>#REF!</v>
      </c>
      <c r="I5" s="3504"/>
    </row>
    <row r="6" spans="1:9" ht="15.75">
      <c r="A6" s="3505" t="str">
        <f>结果表!A120</f>
        <v>估价师知悉的法定优先受偿款</v>
      </c>
      <c r="B6" s="3505"/>
      <c r="C6" s="3505"/>
      <c r="D6" s="3505">
        <f>结果表!D120</f>
        <v>0</v>
      </c>
      <c r="E6" s="3505"/>
      <c r="F6" s="3505"/>
      <c r="G6" s="3505"/>
      <c r="H6" s="3505"/>
      <c r="I6" s="3505"/>
    </row>
    <row r="7" spans="1:9" ht="15">
      <c r="A7" s="3504" t="s">
        <v>112</v>
      </c>
      <c r="B7" s="3504"/>
      <c r="C7" s="3504"/>
      <c r="D7" s="3506" t="str">
        <f>结果表!D121</f>
        <v>零元整</v>
      </c>
      <c r="E7" s="3507"/>
      <c r="F7" s="3507"/>
      <c r="G7" s="3507"/>
      <c r="H7" s="3507"/>
      <c r="I7" s="3508"/>
    </row>
    <row r="8" spans="1:9" ht="15.75">
      <c r="A8" s="3505" t="str">
        <f>结果表!A122</f>
        <v>房地产抵押价值</v>
      </c>
      <c r="B8" s="3505"/>
      <c r="C8" s="3505"/>
      <c r="D8" s="3505" t="e">
        <f ca="1">结果表!D122</f>
        <v>#REF!</v>
      </c>
      <c r="E8" s="3505"/>
      <c r="F8" s="3505"/>
      <c r="G8" s="3505"/>
      <c r="H8" s="3505"/>
      <c r="I8" s="3505"/>
    </row>
    <row r="9" spans="1:9" ht="15">
      <c r="A9" s="3504" t="s">
        <v>112</v>
      </c>
      <c r="B9" s="3504"/>
      <c r="C9" s="3504"/>
      <c r="D9" s="3504" t="e">
        <f ca="1">结果表!D123</f>
        <v>#REF!</v>
      </c>
      <c r="E9" s="3504"/>
      <c r="F9" s="3504"/>
      <c r="G9" s="3504"/>
      <c r="H9" s="3504"/>
      <c r="I9" s="3504"/>
    </row>
    <row r="10" spans="1:9" ht="15.75">
      <c r="A10" s="3505" t="str">
        <f>结果表!A124</f>
        <v/>
      </c>
      <c r="B10" s="3505"/>
      <c r="C10" s="3505"/>
      <c r="D10" s="3505" t="str">
        <f>结果表!D124</f>
        <v>——</v>
      </c>
      <c r="E10" s="3505"/>
      <c r="F10" s="3505"/>
      <c r="G10" s="3505"/>
      <c r="H10" s="3505"/>
      <c r="I10" s="3505"/>
    </row>
    <row r="11" spans="1:9" ht="15">
      <c r="A11" s="3504" t="s">
        <v>112</v>
      </c>
      <c r="B11" s="3504"/>
      <c r="C11" s="3504"/>
      <c r="D11" s="3504" t="e">
        <f>结果表!D125</f>
        <v>#VALUE!</v>
      </c>
      <c r="E11" s="3504"/>
      <c r="F11" s="3504"/>
      <c r="G11" s="3504"/>
      <c r="H11" s="3504"/>
      <c r="I11" s="3504"/>
    </row>
    <row r="12" spans="1:9" ht="15.75">
      <c r="A12" s="3505" t="str">
        <f>结果表!A126</f>
        <v/>
      </c>
      <c r="B12" s="3505"/>
      <c r="C12" s="3505"/>
      <c r="D12" s="3505" t="str">
        <f>结果表!D126</f>
        <v>——</v>
      </c>
      <c r="E12" s="3505"/>
      <c r="F12" s="3505"/>
      <c r="G12" s="3505"/>
      <c r="H12" s="3505"/>
      <c r="I12" s="3505"/>
    </row>
    <row r="13" spans="1:9" ht="15">
      <c r="A13" s="3509" t="s">
        <v>112</v>
      </c>
      <c r="B13" s="3509"/>
      <c r="C13" s="3509"/>
      <c r="D13" s="3509" t="e">
        <f>结果表!D127</f>
        <v>#VALUE!</v>
      </c>
      <c r="E13" s="3509"/>
      <c r="F13" s="3509"/>
      <c r="G13" s="3509"/>
      <c r="H13" s="3509"/>
      <c r="I13" s="3509"/>
    </row>
    <row r="14" spans="1:9">
      <c r="A14" s="3510" t="s">
        <v>113</v>
      </c>
      <c r="B14" s="3510"/>
      <c r="C14" s="3510"/>
      <c r="D14" s="3510"/>
      <c r="E14" s="3510"/>
      <c r="F14" s="3510"/>
      <c r="G14" s="3510"/>
      <c r="H14" s="3510"/>
      <c r="I14" s="3510"/>
    </row>
    <row r="16" spans="1:9" ht="18.75">
      <c r="A16" s="3429"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24" t="s">
        <v>3003</v>
      </c>
      <c r="C1" s="3824"/>
      <c r="D1" s="3824"/>
      <c r="E1" s="3824"/>
      <c r="F1" s="3824"/>
      <c r="G1" s="3825" t="s">
        <v>3004</v>
      </c>
      <c r="H1" s="3825"/>
      <c r="I1" s="3825"/>
      <c r="J1" s="3825"/>
      <c r="K1" s="3825"/>
      <c r="L1" s="3825"/>
      <c r="N1" s="3825" t="s">
        <v>2975</v>
      </c>
      <c r="O1" s="3825"/>
      <c r="P1" s="3825"/>
      <c r="Q1" s="3825"/>
      <c r="S1" s="3825" t="s">
        <v>3005</v>
      </c>
      <c r="T1" s="3825"/>
      <c r="U1" s="3825"/>
      <c r="V1" s="3825"/>
      <c r="X1" s="3826" t="s">
        <v>2976</v>
      </c>
      <c r="Y1" s="3825"/>
      <c r="Z1" s="3825"/>
      <c r="AA1" s="3825"/>
      <c r="AB1" s="3825"/>
      <c r="AD1" s="3826" t="s">
        <v>2977</v>
      </c>
      <c r="AE1" s="3825"/>
      <c r="AF1" s="3825"/>
      <c r="AG1" s="3825"/>
      <c r="AH1" s="3825"/>
    </row>
    <row r="2" spans="1:34" s="106" customFormat="1" ht="13.5">
      <c r="B2" s="116" t="s">
        <v>471</v>
      </c>
      <c r="C2" s="116" t="s">
        <v>3006</v>
      </c>
      <c r="D2" s="117" t="s">
        <v>230</v>
      </c>
      <c r="E2" s="117" t="s">
        <v>232</v>
      </c>
      <c r="F2" s="116" t="s">
        <v>3007</v>
      </c>
      <c r="G2" s="118"/>
      <c r="I2" s="116" t="s">
        <v>471</v>
      </c>
      <c r="J2" s="117" t="s">
        <v>2303</v>
      </c>
      <c r="K2" s="117" t="s">
        <v>232</v>
      </c>
      <c r="L2" s="116" t="s">
        <v>3007</v>
      </c>
      <c r="N2" s="116" t="s">
        <v>471</v>
      </c>
      <c r="O2" s="117" t="s">
        <v>2303</v>
      </c>
      <c r="P2" s="117" t="s">
        <v>232</v>
      </c>
      <c r="Q2" s="116" t="s">
        <v>3007</v>
      </c>
      <c r="S2" s="116" t="s">
        <v>471</v>
      </c>
      <c r="T2" s="117" t="s">
        <v>2303</v>
      </c>
      <c r="U2" s="117" t="s">
        <v>232</v>
      </c>
      <c r="V2" s="116" t="s">
        <v>3007</v>
      </c>
      <c r="X2" s="116" t="s">
        <v>471</v>
      </c>
      <c r="Y2" s="116" t="s">
        <v>3006</v>
      </c>
      <c r="Z2" s="117" t="s">
        <v>230</v>
      </c>
      <c r="AA2" s="117" t="s">
        <v>232</v>
      </c>
      <c r="AB2" s="116" t="s">
        <v>3007</v>
      </c>
      <c r="AD2" s="116" t="s">
        <v>471</v>
      </c>
      <c r="AE2" s="116" t="s">
        <v>3006</v>
      </c>
      <c r="AF2" s="117" t="s">
        <v>230</v>
      </c>
      <c r="AG2" s="117" t="s">
        <v>232</v>
      </c>
      <c r="AH2" s="116" t="s">
        <v>3007</v>
      </c>
    </row>
    <row r="3" spans="1:34" s="107" customFormat="1" ht="14.25">
      <c r="A3" s="119" t="s">
        <v>2979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2992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2993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3008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2994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2995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2996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2997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2998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2999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3009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3010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3011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3012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3013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3014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3015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3016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3017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27">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3018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27"/>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3019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27"/>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3020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2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3021</v>
      </c>
      <c r="B25" s="139">
        <v>439</v>
      </c>
      <c r="C25" s="139">
        <v>327</v>
      </c>
      <c r="D25" s="139">
        <f t="shared" si="217"/>
        <v>327</v>
      </c>
      <c r="E25" s="139">
        <v>627</v>
      </c>
      <c r="F25" s="140">
        <v>283</v>
      </c>
      <c r="G25" s="382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3022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27"/>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3023</v>
      </c>
      <c r="B27" s="129">
        <f t="shared" si="232"/>
        <v>419.31181600000002</v>
      </c>
      <c r="C27" s="129">
        <f t="shared" si="233"/>
        <v>313.95436799999999</v>
      </c>
      <c r="D27" s="129">
        <f t="shared" si="234"/>
        <v>313.95436799999999</v>
      </c>
      <c r="E27" s="129">
        <f t="shared" si="235"/>
        <v>596.63028431999999</v>
      </c>
      <c r="F27" s="129">
        <f t="shared" si="236"/>
        <v>274.74220703999998</v>
      </c>
      <c r="G27" s="3827"/>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3024</v>
      </c>
      <c r="B28" s="129">
        <f t="shared" si="232"/>
        <v>405.524</v>
      </c>
      <c r="C28" s="129">
        <f t="shared" si="233"/>
        <v>307.79840000000002</v>
      </c>
      <c r="D28" s="129">
        <f t="shared" si="234"/>
        <v>307.79840000000002</v>
      </c>
      <c r="E28" s="129">
        <f t="shared" si="235"/>
        <v>574.67759999999998</v>
      </c>
      <c r="F28" s="129">
        <f t="shared" si="236"/>
        <v>270.20280000000002</v>
      </c>
      <c r="G28" s="382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3025</v>
      </c>
      <c r="B29" s="139">
        <v>392</v>
      </c>
      <c r="C29" s="139">
        <v>302</v>
      </c>
      <c r="D29" s="139">
        <f t="shared" si="234"/>
        <v>302</v>
      </c>
      <c r="E29" s="139">
        <v>553</v>
      </c>
      <c r="F29" s="140">
        <v>266</v>
      </c>
      <c r="G29" s="382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3026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27"/>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3027</v>
      </c>
      <c r="B31" s="129">
        <f t="shared" si="245"/>
        <v>360.06949782209398</v>
      </c>
      <c r="C31" s="129">
        <f t="shared" si="245"/>
        <v>289.84672674747799</v>
      </c>
      <c r="D31" s="129">
        <f t="shared" si="246"/>
        <v>289.84672674747799</v>
      </c>
      <c r="E31" s="129">
        <f t="shared" si="247"/>
        <v>501.06543001181501</v>
      </c>
      <c r="F31" s="129">
        <f t="shared" si="247"/>
        <v>256.82882500745001</v>
      </c>
      <c r="G31" s="3827"/>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3028</v>
      </c>
      <c r="B32" s="129">
        <f t="shared" si="245"/>
        <v>346.720748986128</v>
      </c>
      <c r="C32" s="129">
        <f t="shared" si="245"/>
        <v>284.30282172386302</v>
      </c>
      <c r="D32" s="129">
        <f t="shared" si="246"/>
        <v>284.30282172386302</v>
      </c>
      <c r="E32" s="129">
        <f t="shared" si="247"/>
        <v>479.58023546306902</v>
      </c>
      <c r="F32" s="129">
        <f t="shared" si="247"/>
        <v>253.25788877571199</v>
      </c>
      <c r="G32" s="383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3029</v>
      </c>
      <c r="B33" s="139">
        <v>333</v>
      </c>
      <c r="C33" s="139">
        <v>277</v>
      </c>
      <c r="D33" s="139">
        <f t="shared" si="246"/>
        <v>277</v>
      </c>
      <c r="E33" s="139">
        <v>459</v>
      </c>
      <c r="F33" s="140">
        <v>249</v>
      </c>
      <c r="G33" s="383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3030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27"/>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3031</v>
      </c>
      <c r="B35" s="129">
        <f t="shared" si="249"/>
        <v>322.34053690220799</v>
      </c>
      <c r="C35" s="129">
        <f t="shared" si="249"/>
        <v>271.461607704225</v>
      </c>
      <c r="D35" s="129">
        <f t="shared" si="246"/>
        <v>271.461607704225</v>
      </c>
      <c r="E35" s="129">
        <f t="shared" si="250"/>
        <v>442.69434542172502</v>
      </c>
      <c r="F35" s="129">
        <f t="shared" si="250"/>
        <v>241.34030753190899</v>
      </c>
      <c r="G35" s="3827"/>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3032</v>
      </c>
      <c r="B36" s="129">
        <f t="shared" si="249"/>
        <v>319.87748030386803</v>
      </c>
      <c r="C36" s="129">
        <f t="shared" si="249"/>
        <v>269.60135833173598</v>
      </c>
      <c r="D36" s="129">
        <f t="shared" si="246"/>
        <v>269.60135833173598</v>
      </c>
      <c r="E36" s="129">
        <f t="shared" si="250"/>
        <v>439.18089823583801</v>
      </c>
      <c r="F36" s="129">
        <f t="shared" si="250"/>
        <v>239.23503918706299</v>
      </c>
      <c r="G36" s="383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3033</v>
      </c>
      <c r="B37" s="143">
        <v>318</v>
      </c>
      <c r="C37" s="143">
        <v>268</v>
      </c>
      <c r="D37" s="143">
        <f t="shared" si="246"/>
        <v>268</v>
      </c>
      <c r="E37" s="143">
        <v>437</v>
      </c>
      <c r="F37" s="144">
        <v>237</v>
      </c>
      <c r="G37" s="383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3034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27"/>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3035</v>
      </c>
      <c r="B39" s="129">
        <f t="shared" si="251"/>
        <v>314.721411723865</v>
      </c>
      <c r="C39" s="129">
        <f t="shared" si="251"/>
        <v>263.03901319069001</v>
      </c>
      <c r="D39" s="129">
        <f t="shared" si="246"/>
        <v>263.03901319069001</v>
      </c>
      <c r="E39" s="129">
        <f t="shared" si="252"/>
        <v>433.65745506782798</v>
      </c>
      <c r="F39" s="129">
        <f t="shared" si="252"/>
        <v>233.23005080045701</v>
      </c>
      <c r="G39" s="3827"/>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3036</v>
      </c>
      <c r="B40" s="147">
        <f t="shared" si="251"/>
        <v>307.34512863658699</v>
      </c>
      <c r="C40" s="147">
        <f t="shared" si="251"/>
        <v>257.80556031626998</v>
      </c>
      <c r="D40" s="147">
        <f t="shared" si="246"/>
        <v>257.80556031626998</v>
      </c>
      <c r="E40" s="147">
        <f t="shared" si="252"/>
        <v>422.70928459677202</v>
      </c>
      <c r="F40" s="147">
        <f t="shared" si="252"/>
        <v>229.738032703366</v>
      </c>
      <c r="G40" s="383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3037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3038</v>
      </c>
      <c r="B41" s="139">
        <v>299</v>
      </c>
      <c r="C41" s="139">
        <v>252</v>
      </c>
      <c r="D41" s="139">
        <f t="shared" si="246"/>
        <v>252</v>
      </c>
      <c r="E41" s="139">
        <v>409</v>
      </c>
      <c r="F41" s="140">
        <v>227</v>
      </c>
      <c r="G41" s="383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3039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3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3040</v>
      </c>
      <c r="B43" s="129">
        <f t="shared" si="255"/>
        <v>288.264905382878</v>
      </c>
      <c r="C43" s="129">
        <f t="shared" si="255"/>
        <v>243.64564425013299</v>
      </c>
      <c r="D43" s="129">
        <f t="shared" si="246"/>
        <v>243.64564425013299</v>
      </c>
      <c r="E43" s="129">
        <f t="shared" si="256"/>
        <v>393.31080825986498</v>
      </c>
      <c r="F43" s="129">
        <f t="shared" si="256"/>
        <v>223.079037905512</v>
      </c>
      <c r="G43" s="383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3041</v>
      </c>
      <c r="B44" s="129">
        <f t="shared" si="255"/>
        <v>282.50186729015797</v>
      </c>
      <c r="C44" s="129">
        <f t="shared" si="255"/>
        <v>238.097961741555</v>
      </c>
      <c r="D44" s="129">
        <f t="shared" si="246"/>
        <v>238.097961741555</v>
      </c>
      <c r="E44" s="129">
        <f t="shared" si="256"/>
        <v>385.33438646014099</v>
      </c>
      <c r="F44" s="129">
        <f t="shared" si="256"/>
        <v>221.550340555677</v>
      </c>
      <c r="G44" s="383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3042</v>
      </c>
      <c r="B45" s="150">
        <v>278</v>
      </c>
      <c r="C45" s="150">
        <v>234</v>
      </c>
      <c r="D45" s="150">
        <f t="shared" si="246"/>
        <v>234</v>
      </c>
      <c r="E45" s="150">
        <v>379</v>
      </c>
      <c r="F45" s="151">
        <v>220</v>
      </c>
      <c r="G45" s="383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3043</v>
      </c>
      <c r="B46" s="129">
        <f>B45/(1+N45)</f>
        <v>275.49301357645402</v>
      </c>
      <c r="C46" s="129">
        <f>C45/(1+O45)</f>
        <v>232.41954707985701</v>
      </c>
      <c r="D46" s="129">
        <f t="shared" si="246"/>
        <v>232.41954707985701</v>
      </c>
      <c r="E46" s="129">
        <f t="shared" ref="E46:F48" si="257">E45/(1+P45)</f>
        <v>375.32184591008098</v>
      </c>
      <c r="F46" s="129">
        <f t="shared" si="257"/>
        <v>218.03766105054501</v>
      </c>
      <c r="G46" s="3827"/>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3044</v>
      </c>
      <c r="B47" s="129">
        <f>B46/(1+N46)</f>
        <v>275.24529281292303</v>
      </c>
      <c r="C47" s="129">
        <f>C46/(1+O46)</f>
        <v>231.74747938962699</v>
      </c>
      <c r="D47" s="129">
        <f t="shared" si="246"/>
        <v>231.74747938962699</v>
      </c>
      <c r="E47" s="129">
        <f t="shared" si="257"/>
        <v>375.35938184826603</v>
      </c>
      <c r="F47" s="129">
        <f t="shared" si="257"/>
        <v>216.78033510692501</v>
      </c>
      <c r="G47" s="3827"/>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3045</v>
      </c>
      <c r="B48" s="129">
        <f>B47/(1+N47)</f>
        <v>275.19025476196998</v>
      </c>
      <c r="C48" s="152">
        <v>232</v>
      </c>
      <c r="D48" s="152">
        <f t="shared" si="246"/>
        <v>232</v>
      </c>
      <c r="E48" s="129">
        <f t="shared" si="257"/>
        <v>375.65990977608698</v>
      </c>
      <c r="F48" s="129">
        <f t="shared" si="257"/>
        <v>214.12518283971301</v>
      </c>
      <c r="G48" s="383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3046</v>
      </c>
      <c r="B49" s="139">
        <v>275</v>
      </c>
      <c r="C49" s="139">
        <v>232</v>
      </c>
      <c r="D49" s="139">
        <f t="shared" si="246"/>
        <v>232</v>
      </c>
      <c r="E49" s="139">
        <v>376</v>
      </c>
      <c r="F49" s="140">
        <v>213</v>
      </c>
      <c r="G49" s="383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3047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27">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3048</v>
      </c>
      <c r="B51" s="129">
        <f t="shared" si="258"/>
        <v>275.19335084830601</v>
      </c>
      <c r="C51" s="129">
        <f t="shared" si="258"/>
        <v>230.18088050139701</v>
      </c>
      <c r="D51" s="129">
        <f t="shared" si="246"/>
        <v>230.18088050139701</v>
      </c>
      <c r="E51" s="129">
        <f t="shared" si="259"/>
        <v>377.58482925212297</v>
      </c>
      <c r="F51" s="129">
        <f t="shared" si="259"/>
        <v>210.906879978479</v>
      </c>
      <c r="G51" s="3827">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3049</v>
      </c>
      <c r="B52" s="129">
        <f t="shared" si="258"/>
        <v>276.29854502841999</v>
      </c>
      <c r="C52" s="129">
        <f t="shared" si="258"/>
        <v>229.79023709833001</v>
      </c>
      <c r="D52" s="129">
        <f t="shared" si="246"/>
        <v>229.79023709833001</v>
      </c>
      <c r="E52" s="129">
        <f t="shared" si="259"/>
        <v>379.78759731655902</v>
      </c>
      <c r="F52" s="129">
        <f t="shared" si="259"/>
        <v>211.32953905659201</v>
      </c>
      <c r="G52" s="383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3050</v>
      </c>
      <c r="B53" s="139">
        <v>269</v>
      </c>
      <c r="C53" s="139">
        <v>221</v>
      </c>
      <c r="D53" s="139">
        <f t="shared" si="246"/>
        <v>221</v>
      </c>
      <c r="E53" s="139">
        <v>373</v>
      </c>
      <c r="F53" s="140">
        <v>196</v>
      </c>
      <c r="G53" s="383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3051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27">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3052</v>
      </c>
      <c r="B55" s="129">
        <f t="shared" si="260"/>
        <v>242.95398227588399</v>
      </c>
      <c r="C55" s="129">
        <f t="shared" si="260"/>
        <v>199.591370536141</v>
      </c>
      <c r="D55" s="129">
        <f t="shared" si="246"/>
        <v>199.591370536141</v>
      </c>
      <c r="E55" s="129">
        <f t="shared" si="261"/>
        <v>335.92189522342102</v>
      </c>
      <c r="F55" s="129">
        <f t="shared" si="261"/>
        <v>183.101399911095</v>
      </c>
      <c r="G55" s="3827">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3053</v>
      </c>
      <c r="B56" s="129">
        <f t="shared" si="260"/>
        <v>232.06990378821601</v>
      </c>
      <c r="C56" s="129">
        <f t="shared" si="260"/>
        <v>192.74878854286899</v>
      </c>
      <c r="D56" s="129">
        <f t="shared" si="246"/>
        <v>192.74878854286899</v>
      </c>
      <c r="E56" s="129">
        <f t="shared" si="261"/>
        <v>319.71247284993001</v>
      </c>
      <c r="F56" s="129">
        <f t="shared" si="261"/>
        <v>175.670536228624</v>
      </c>
      <c r="G56" s="383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3054</v>
      </c>
      <c r="B57" s="139">
        <v>220</v>
      </c>
      <c r="C57" s="139">
        <v>187</v>
      </c>
      <c r="D57" s="139">
        <f t="shared" si="246"/>
        <v>187</v>
      </c>
      <c r="E57" s="139">
        <v>301</v>
      </c>
      <c r="F57" s="140">
        <v>168</v>
      </c>
      <c r="G57" s="383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3055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27">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3056</v>
      </c>
      <c r="B59" s="129">
        <f t="shared" si="262"/>
        <v>210.630522469011</v>
      </c>
      <c r="C59" s="129">
        <f t="shared" si="262"/>
        <v>181.695678122472</v>
      </c>
      <c r="D59" s="129">
        <f t="shared" si="246"/>
        <v>181.695678122472</v>
      </c>
      <c r="E59" s="129">
        <f t="shared" si="263"/>
        <v>286.13517466736698</v>
      </c>
      <c r="F59" s="129">
        <f t="shared" si="263"/>
        <v>165.47535084591101</v>
      </c>
      <c r="G59" s="3827">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3057</v>
      </c>
      <c r="B60" s="129">
        <f t="shared" si="262"/>
        <v>208.834545378754</v>
      </c>
      <c r="C60" s="129">
        <f t="shared" si="262"/>
        <v>183.77230517090399</v>
      </c>
      <c r="D60" s="129">
        <f t="shared" si="246"/>
        <v>183.77230517090399</v>
      </c>
      <c r="E60" s="129">
        <f t="shared" si="263"/>
        <v>281.10342338870902</v>
      </c>
      <c r="F60" s="129">
        <f t="shared" si="263"/>
        <v>168.97309388942301</v>
      </c>
      <c r="G60" s="383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3058</v>
      </c>
      <c r="B61" s="150">
        <v>214</v>
      </c>
      <c r="C61" s="150">
        <v>188</v>
      </c>
      <c r="D61" s="150">
        <f t="shared" si="246"/>
        <v>188</v>
      </c>
      <c r="E61" s="150">
        <v>289</v>
      </c>
      <c r="F61" s="151">
        <v>166</v>
      </c>
      <c r="G61" s="383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3059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27">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3060</v>
      </c>
      <c r="B63" s="129">
        <f t="shared" si="264"/>
        <v>206.31694671589099</v>
      </c>
      <c r="C63" s="129">
        <f t="shared" si="264"/>
        <v>183.61041121036101</v>
      </c>
      <c r="D63" s="129">
        <f t="shared" si="246"/>
        <v>183.61041121036101</v>
      </c>
      <c r="E63" s="129">
        <f t="shared" si="265"/>
        <v>276.66850301795603</v>
      </c>
      <c r="F63" s="129">
        <f t="shared" si="265"/>
        <v>165.136093827861</v>
      </c>
      <c r="G63" s="3827">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3061</v>
      </c>
      <c r="B64" s="153">
        <f t="shared" si="264"/>
        <v>196.62341248059801</v>
      </c>
      <c r="C64" s="153">
        <f t="shared" si="264"/>
        <v>170.99125648199001</v>
      </c>
      <c r="D64" s="153">
        <f t="shared" si="246"/>
        <v>170.99125648199001</v>
      </c>
      <c r="E64" s="153">
        <f t="shared" si="265"/>
        <v>266.07857570490103</v>
      </c>
      <c r="F64" s="153">
        <f t="shared" si="265"/>
        <v>154.53499328828499</v>
      </c>
      <c r="G64" s="383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3062</v>
      </c>
      <c r="B65" s="139">
        <v>188</v>
      </c>
      <c r="C65" s="139">
        <v>165</v>
      </c>
      <c r="D65" s="139">
        <f t="shared" si="246"/>
        <v>165</v>
      </c>
      <c r="E65" s="139">
        <v>254</v>
      </c>
      <c r="F65" s="140">
        <v>148</v>
      </c>
      <c r="G65" s="383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3063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27">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3064</v>
      </c>
      <c r="B67" s="129">
        <f t="shared" si="268"/>
        <v>168.820177487156</v>
      </c>
      <c r="C67" s="129">
        <f t="shared" si="268"/>
        <v>148.06267029972801</v>
      </c>
      <c r="D67" s="129">
        <f t="shared" si="246"/>
        <v>148.06267029972801</v>
      </c>
      <c r="E67" s="129">
        <f t="shared" si="269"/>
        <v>216.46288379323701</v>
      </c>
      <c r="F67" s="129">
        <f t="shared" si="269"/>
        <v>134.23529411764699</v>
      </c>
      <c r="G67" s="3827">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3065</v>
      </c>
      <c r="B68" s="129">
        <f t="shared" si="268"/>
        <v>163.849135917795</v>
      </c>
      <c r="C68" s="129">
        <f t="shared" si="268"/>
        <v>145.028337874659</v>
      </c>
      <c r="D68" s="129">
        <f t="shared" si="246"/>
        <v>145.028337874659</v>
      </c>
      <c r="E68" s="129">
        <f t="shared" si="269"/>
        <v>204.95180722891601</v>
      </c>
      <c r="F68" s="129">
        <f t="shared" si="269"/>
        <v>125.959203036053</v>
      </c>
      <c r="G68" s="383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3066</v>
      </c>
      <c r="B69" s="143">
        <v>159</v>
      </c>
      <c r="C69" s="143">
        <v>141</v>
      </c>
      <c r="D69" s="143">
        <f t="shared" si="246"/>
        <v>141</v>
      </c>
      <c r="E69" s="143">
        <v>195</v>
      </c>
      <c r="F69" s="144">
        <v>122</v>
      </c>
      <c r="G69" s="383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3067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27">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3068</v>
      </c>
      <c r="B71" s="129">
        <f t="shared" si="272"/>
        <v>146.57412060301499</v>
      </c>
      <c r="C71" s="129">
        <f t="shared" si="272"/>
        <v>136.468319559229</v>
      </c>
      <c r="D71" s="129">
        <f t="shared" si="246"/>
        <v>136.468319559229</v>
      </c>
      <c r="E71" s="129">
        <f t="shared" si="273"/>
        <v>166.73864894795099</v>
      </c>
      <c r="F71" s="129">
        <f t="shared" si="273"/>
        <v>115.058823529412</v>
      </c>
      <c r="G71" s="3827">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3069</v>
      </c>
      <c r="B72" s="129">
        <f t="shared" si="272"/>
        <v>144.04145728643201</v>
      </c>
      <c r="C72" s="129">
        <f t="shared" si="272"/>
        <v>136.123966942149</v>
      </c>
      <c r="D72" s="129">
        <f t="shared" si="246"/>
        <v>136.123966942149</v>
      </c>
      <c r="E72" s="129">
        <f t="shared" si="273"/>
        <v>158.32225913621301</v>
      </c>
      <c r="F72" s="129">
        <f t="shared" si="273"/>
        <v>114.04278074866301</v>
      </c>
      <c r="G72" s="383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3070</v>
      </c>
      <c r="B73" s="143">
        <v>138</v>
      </c>
      <c r="C73" s="143">
        <v>131</v>
      </c>
      <c r="D73" s="143">
        <f t="shared" si="246"/>
        <v>131</v>
      </c>
      <c r="E73" s="143">
        <v>155</v>
      </c>
      <c r="F73" s="144">
        <v>114</v>
      </c>
      <c r="G73" s="383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3071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27">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3072</v>
      </c>
      <c r="B75" s="129">
        <f t="shared" si="276"/>
        <v>124.290322580645</v>
      </c>
      <c r="C75" s="129">
        <f t="shared" si="276"/>
        <v>123.896860986547</v>
      </c>
      <c r="D75" s="129">
        <f t="shared" si="246"/>
        <v>123.896860986547</v>
      </c>
      <c r="E75" s="129">
        <f t="shared" si="277"/>
        <v>138.005076142132</v>
      </c>
      <c r="F75" s="129">
        <f t="shared" si="277"/>
        <v>107.96106557377</v>
      </c>
      <c r="G75" s="3827">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3073</v>
      </c>
      <c r="B76" s="129">
        <f t="shared" si="276"/>
        <v>122.57204301075301</v>
      </c>
      <c r="C76" s="129">
        <f t="shared" si="276"/>
        <v>123.493273542601</v>
      </c>
      <c r="D76" s="129">
        <f t="shared" si="246"/>
        <v>123.493273542601</v>
      </c>
      <c r="E76" s="129">
        <f t="shared" si="277"/>
        <v>129.82233502538099</v>
      </c>
      <c r="F76" s="129">
        <f t="shared" si="277"/>
        <v>107.39446721311501</v>
      </c>
      <c r="G76" s="383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3074</v>
      </c>
      <c r="B77" s="150">
        <v>121</v>
      </c>
      <c r="C77" s="150">
        <v>122</v>
      </c>
      <c r="D77" s="150">
        <f t="shared" si="246"/>
        <v>122</v>
      </c>
      <c r="E77" s="150">
        <v>124</v>
      </c>
      <c r="F77" s="151">
        <v>107</v>
      </c>
      <c r="G77" s="383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3075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27">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3076</v>
      </c>
      <c r="B79" s="129">
        <f t="shared" si="280"/>
        <v>116.99099099099099</v>
      </c>
      <c r="C79" s="129">
        <f t="shared" si="280"/>
        <v>118.848484848485</v>
      </c>
      <c r="D79" s="129">
        <f t="shared" si="246"/>
        <v>118.848484848485</v>
      </c>
      <c r="E79" s="129">
        <f t="shared" si="281"/>
        <v>117.60960960961</v>
      </c>
      <c r="F79" s="129">
        <f t="shared" si="281"/>
        <v>104</v>
      </c>
      <c r="G79" s="3827">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3077</v>
      </c>
      <c r="B80" s="153">
        <f t="shared" si="280"/>
        <v>112.486486486486</v>
      </c>
      <c r="C80" s="153">
        <f t="shared" si="280"/>
        <v>115.212121212121</v>
      </c>
      <c r="D80" s="153">
        <f t="shared" si="246"/>
        <v>115.212121212121</v>
      </c>
      <c r="E80" s="153">
        <f t="shared" si="281"/>
        <v>110.402402402402</v>
      </c>
      <c r="F80" s="153">
        <f t="shared" si="281"/>
        <v>104</v>
      </c>
      <c r="G80" s="383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3078</v>
      </c>
      <c r="B81" s="203">
        <v>111</v>
      </c>
      <c r="C81" s="203">
        <v>114</v>
      </c>
      <c r="D81" s="203">
        <f t="shared" si="246"/>
        <v>114</v>
      </c>
      <c r="E81" s="203">
        <v>108</v>
      </c>
      <c r="F81" s="204">
        <v>104</v>
      </c>
      <c r="G81" s="3831">
        <v>2003</v>
      </c>
      <c r="H81" s="202">
        <v>4</v>
      </c>
      <c r="I81" s="222"/>
      <c r="J81" s="222"/>
      <c r="K81" s="222"/>
      <c r="L81" s="222"/>
      <c r="N81" s="223"/>
      <c r="O81" s="222"/>
      <c r="P81" s="222"/>
      <c r="Q81" s="222"/>
      <c r="S81" s="223"/>
      <c r="T81" s="222"/>
      <c r="U81" s="222"/>
      <c r="V81" s="222"/>
      <c r="X81" s="228"/>
      <c r="Y81" s="228"/>
      <c r="Z81" s="228"/>
    </row>
    <row r="82" spans="1:26">
      <c r="A82" s="128" t="s">
        <v>3079</v>
      </c>
      <c r="B82" s="205">
        <f t="shared" ref="B82:C84" si="282">B83+(B$81-B$85)/4</f>
        <v>109.75</v>
      </c>
      <c r="C82" s="205">
        <f t="shared" si="282"/>
        <v>112.25</v>
      </c>
      <c r="D82" s="205">
        <f t="shared" si="246"/>
        <v>112.25</v>
      </c>
      <c r="E82" s="205">
        <f t="shared" ref="E82:F84" si="283">E83+(E$81-E$85)/4</f>
        <v>107.25</v>
      </c>
      <c r="F82" s="205">
        <f t="shared" si="283"/>
        <v>103.5</v>
      </c>
      <c r="G82" s="3827">
        <v>2003</v>
      </c>
      <c r="H82" s="142">
        <v>3</v>
      </c>
      <c r="I82" s="222"/>
      <c r="J82" s="222"/>
      <c r="K82" s="222"/>
      <c r="L82" s="222"/>
      <c r="X82" s="228"/>
      <c r="Y82" s="228"/>
      <c r="Z82" s="228"/>
    </row>
    <row r="83" spans="1:26">
      <c r="A83" s="128" t="s">
        <v>3080</v>
      </c>
      <c r="B83" s="205">
        <f t="shared" si="282"/>
        <v>108.5</v>
      </c>
      <c r="C83" s="205">
        <f t="shared" si="282"/>
        <v>110.5</v>
      </c>
      <c r="D83" s="205">
        <f t="shared" si="246"/>
        <v>110.5</v>
      </c>
      <c r="E83" s="205">
        <f t="shared" si="283"/>
        <v>106.5</v>
      </c>
      <c r="F83" s="205">
        <f t="shared" si="283"/>
        <v>103</v>
      </c>
      <c r="G83" s="3827">
        <v>2003</v>
      </c>
      <c r="H83" s="138">
        <v>2</v>
      </c>
      <c r="I83" s="222"/>
      <c r="J83" s="222"/>
      <c r="K83" s="222"/>
      <c r="L83" s="222"/>
      <c r="X83" s="228"/>
      <c r="Y83" s="228"/>
      <c r="Z83" s="228"/>
    </row>
    <row r="84" spans="1:26">
      <c r="A84" s="128" t="s">
        <v>3081</v>
      </c>
      <c r="B84" s="205">
        <f t="shared" si="282"/>
        <v>107.25</v>
      </c>
      <c r="C84" s="205">
        <f t="shared" si="282"/>
        <v>108.75</v>
      </c>
      <c r="D84" s="205">
        <f t="shared" si="246"/>
        <v>108.75</v>
      </c>
      <c r="E84" s="205">
        <f t="shared" si="283"/>
        <v>105.75</v>
      </c>
      <c r="F84" s="205">
        <f t="shared" si="283"/>
        <v>102.5</v>
      </c>
      <c r="G84" s="3830">
        <v>2003</v>
      </c>
      <c r="H84" s="206">
        <v>1</v>
      </c>
      <c r="I84" s="222"/>
      <c r="J84" s="222"/>
      <c r="K84" s="222"/>
      <c r="L84" s="222"/>
      <c r="S84" s="159"/>
      <c r="T84" s="160"/>
      <c r="U84" s="160"/>
      <c r="X84" s="228"/>
      <c r="Y84" s="228"/>
      <c r="Z84" s="228"/>
    </row>
    <row r="85" spans="1:26">
      <c r="A85" s="128" t="s">
        <v>3082</v>
      </c>
      <c r="B85" s="207">
        <v>106</v>
      </c>
      <c r="C85" s="207">
        <v>107</v>
      </c>
      <c r="D85" s="207">
        <f t="shared" si="246"/>
        <v>107</v>
      </c>
      <c r="E85" s="207">
        <v>105</v>
      </c>
      <c r="F85" s="208">
        <v>102</v>
      </c>
      <c r="G85" s="3831">
        <v>2002</v>
      </c>
      <c r="H85" s="141">
        <v>4</v>
      </c>
      <c r="I85" s="222"/>
      <c r="J85" s="222"/>
      <c r="K85" s="222"/>
      <c r="L85" s="222"/>
      <c r="N85" s="223"/>
      <c r="O85" s="222"/>
      <c r="P85" s="222"/>
      <c r="Q85" s="222"/>
      <c r="S85" s="223"/>
      <c r="T85" s="222"/>
      <c r="U85" s="222"/>
      <c r="V85" s="222"/>
      <c r="X85" s="228"/>
      <c r="Y85" s="228"/>
      <c r="Z85" s="228"/>
    </row>
    <row r="86" spans="1:26">
      <c r="A86" s="128" t="s">
        <v>3083</v>
      </c>
      <c r="B86" s="205">
        <f t="shared" ref="B86:C88" si="284">B87+(B$85-B$89)/4</f>
        <v>105</v>
      </c>
      <c r="C86" s="205">
        <f t="shared" si="284"/>
        <v>106</v>
      </c>
      <c r="D86" s="205">
        <f t="shared" si="246"/>
        <v>106</v>
      </c>
      <c r="E86" s="205">
        <f t="shared" ref="E86:F88" si="285">E87+(E$85-E$89)/4</f>
        <v>104.5</v>
      </c>
      <c r="F86" s="205">
        <f t="shared" si="285"/>
        <v>101.5</v>
      </c>
      <c r="G86" s="3827">
        <v>2002</v>
      </c>
      <c r="H86" s="142">
        <v>3</v>
      </c>
      <c r="I86" s="222"/>
      <c r="J86" s="222"/>
      <c r="K86" s="222"/>
      <c r="L86" s="222"/>
      <c r="X86" s="228"/>
      <c r="Y86" s="228"/>
      <c r="Z86" s="228"/>
    </row>
    <row r="87" spans="1:26">
      <c r="A87" s="128" t="s">
        <v>3084</v>
      </c>
      <c r="B87" s="205">
        <f t="shared" si="284"/>
        <v>104</v>
      </c>
      <c r="C87" s="205">
        <f t="shared" si="284"/>
        <v>105</v>
      </c>
      <c r="D87" s="205">
        <f t="shared" si="246"/>
        <v>105</v>
      </c>
      <c r="E87" s="205">
        <f t="shared" si="285"/>
        <v>104</v>
      </c>
      <c r="F87" s="205">
        <f t="shared" si="285"/>
        <v>101</v>
      </c>
      <c r="G87" s="3827">
        <v>2002</v>
      </c>
      <c r="H87" s="138">
        <v>2</v>
      </c>
      <c r="I87" s="222"/>
      <c r="J87" s="222"/>
      <c r="K87" s="222"/>
      <c r="L87" s="222"/>
      <c r="X87" s="228"/>
      <c r="Y87" s="228"/>
      <c r="Z87" s="228"/>
    </row>
    <row r="88" spans="1:26" s="111" customFormat="1">
      <c r="A88" s="146" t="s">
        <v>3085</v>
      </c>
      <c r="B88" s="190">
        <f t="shared" si="284"/>
        <v>103</v>
      </c>
      <c r="C88" s="190">
        <f t="shared" si="284"/>
        <v>104</v>
      </c>
      <c r="D88" s="190">
        <f t="shared" si="246"/>
        <v>104</v>
      </c>
      <c r="E88" s="190">
        <f t="shared" si="285"/>
        <v>103.5</v>
      </c>
      <c r="F88" s="190">
        <f t="shared" si="285"/>
        <v>100.5</v>
      </c>
      <c r="G88" s="383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3086</v>
      </c>
      <c r="G91" s="214"/>
      <c r="N91" s="214"/>
      <c r="S91" s="214"/>
    </row>
    <row r="92" spans="1:26" s="113" customFormat="1">
      <c r="A92" s="113" t="s">
        <v>3087</v>
      </c>
      <c r="G92" s="214"/>
      <c r="N92" s="214"/>
      <c r="S92" s="214"/>
    </row>
    <row r="93" spans="1:26" s="113" customFormat="1">
      <c r="A93" s="113" t="s">
        <v>3088</v>
      </c>
      <c r="G93" s="214"/>
      <c r="I93" s="226"/>
      <c r="J93" s="226"/>
      <c r="K93" s="226"/>
      <c r="L93" s="226"/>
      <c r="N93" s="227"/>
      <c r="O93" s="226"/>
      <c r="P93" s="226"/>
      <c r="Q93" s="226"/>
      <c r="S93" s="227"/>
      <c r="T93" s="226"/>
      <c r="U93" s="226"/>
      <c r="V93" s="226"/>
    </row>
    <row r="94" spans="1:26" s="113" customFormat="1">
      <c r="A94" s="113" t="s">
        <v>3089</v>
      </c>
      <c r="G94" s="214"/>
      <c r="N94" s="214"/>
      <c r="S94" s="214"/>
    </row>
    <row r="102" spans="7:22">
      <c r="G102" s="114"/>
      <c r="S102" s="231" t="s">
        <v>3090</v>
      </c>
      <c r="T102" s="232" t="s">
        <v>3091</v>
      </c>
      <c r="U102" s="232" t="s">
        <v>3092</v>
      </c>
      <c r="V102" s="232" t="s">
        <v>3093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35" t="s">
        <v>3094</v>
      </c>
      <c r="B1" s="3835"/>
      <c r="C1" s="3835"/>
      <c r="D1" s="3835"/>
      <c r="E1" s="3835"/>
      <c r="F1" s="3835"/>
      <c r="G1" s="3836"/>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3095</v>
      </c>
      <c r="B2" s="77"/>
      <c r="C2" s="77"/>
      <c r="D2" s="77"/>
      <c r="E2" s="77"/>
      <c r="F2" s="77"/>
      <c r="G2" s="78" t="s">
        <v>3096</v>
      </c>
      <c r="I2" s="85" t="s">
        <v>2590</v>
      </c>
      <c r="J2" s="85" t="s">
        <v>2595</v>
      </c>
      <c r="K2" s="85" t="s">
        <v>2615</v>
      </c>
      <c r="L2" s="85" t="s">
        <v>2640</v>
      </c>
      <c r="M2" s="85" t="s">
        <v>2672</v>
      </c>
      <c r="N2" s="85" t="s">
        <v>2712</v>
      </c>
      <c r="O2" s="85" t="s">
        <v>2775</v>
      </c>
      <c r="P2" s="85" t="s">
        <v>2819</v>
      </c>
      <c r="Q2" s="85" t="s">
        <v>2862</v>
      </c>
      <c r="R2" s="85" t="s">
        <v>2911</v>
      </c>
      <c r="S2" s="85" t="s">
        <v>2942</v>
      </c>
      <c r="T2" s="85" t="s">
        <v>2962</v>
      </c>
    </row>
    <row r="3" spans="1:20" s="74" customFormat="1">
      <c r="A3" s="3837" t="s">
        <v>2588</v>
      </c>
      <c r="B3" s="79"/>
      <c r="C3" s="80" t="s">
        <v>229</v>
      </c>
      <c r="D3" s="80" t="s">
        <v>230</v>
      </c>
      <c r="E3" s="80" t="s">
        <v>232</v>
      </c>
      <c r="F3" s="80" t="s">
        <v>233</v>
      </c>
      <c r="G3" s="80" t="s">
        <v>231</v>
      </c>
      <c r="H3" s="81"/>
      <c r="I3" s="86" t="s">
        <v>2591</v>
      </c>
      <c r="J3" s="87" t="s">
        <v>2596</v>
      </c>
      <c r="K3" s="87" t="s">
        <v>2616</v>
      </c>
      <c r="L3" s="86" t="s">
        <v>2641</v>
      </c>
      <c r="M3" s="86" t="s">
        <v>2673</v>
      </c>
      <c r="N3" s="86" t="s">
        <v>2713</v>
      </c>
      <c r="O3" s="86" t="s">
        <v>2776</v>
      </c>
      <c r="P3" s="86" t="s">
        <v>2820</v>
      </c>
      <c r="Q3" s="86" t="s">
        <v>2863</v>
      </c>
      <c r="R3" s="86" t="s">
        <v>2912</v>
      </c>
      <c r="S3" s="86" t="s">
        <v>2943</v>
      </c>
      <c r="T3" s="86" t="s">
        <v>2963</v>
      </c>
    </row>
    <row r="4" spans="1:20" s="74" customFormat="1">
      <c r="A4" s="3838"/>
      <c r="B4" s="82" t="s">
        <v>2589</v>
      </c>
      <c r="C4" s="82" t="s">
        <v>3097</v>
      </c>
      <c r="D4" s="82" t="s">
        <v>3097</v>
      </c>
      <c r="E4" s="82" t="s">
        <v>3097</v>
      </c>
      <c r="F4" s="83" t="s">
        <v>3097</v>
      </c>
      <c r="G4" s="83" t="s">
        <v>3097</v>
      </c>
      <c r="H4" s="81"/>
      <c r="I4" s="87" t="s">
        <v>2592</v>
      </c>
      <c r="J4" s="87" t="s">
        <v>2597</v>
      </c>
      <c r="K4" s="87" t="s">
        <v>2617</v>
      </c>
      <c r="L4" s="86" t="s">
        <v>2642</v>
      </c>
      <c r="M4" s="86" t="s">
        <v>2674</v>
      </c>
      <c r="N4" s="86" t="s">
        <v>2714</v>
      </c>
      <c r="O4" s="86" t="s">
        <v>2777</v>
      </c>
      <c r="P4" s="86" t="s">
        <v>2821</v>
      </c>
      <c r="Q4" s="86" t="s">
        <v>2864</v>
      </c>
      <c r="R4" s="86" t="s">
        <v>2913</v>
      </c>
      <c r="S4" s="86" t="s">
        <v>2944</v>
      </c>
      <c r="T4" s="86" t="s">
        <v>2964</v>
      </c>
    </row>
    <row r="5" spans="1:20">
      <c r="A5" s="84" t="s">
        <v>235</v>
      </c>
      <c r="B5" s="85" t="s">
        <v>2590</v>
      </c>
      <c r="C5" s="85">
        <v>34550</v>
      </c>
      <c r="D5" s="85">
        <v>34470</v>
      </c>
      <c r="E5" s="85">
        <v>34330</v>
      </c>
      <c r="F5" s="85">
        <v>13400</v>
      </c>
      <c r="G5" s="85">
        <v>25450</v>
      </c>
      <c r="H5" s="81"/>
      <c r="I5" s="86" t="s">
        <v>2593</v>
      </c>
      <c r="J5" s="87" t="s">
        <v>2598</v>
      </c>
      <c r="K5" s="87" t="s">
        <v>2618</v>
      </c>
      <c r="L5" s="86" t="s">
        <v>2643</v>
      </c>
      <c r="M5" s="86" t="s">
        <v>2675</v>
      </c>
      <c r="N5" s="86" t="s">
        <v>2715</v>
      </c>
      <c r="O5" s="86" t="s">
        <v>2778</v>
      </c>
      <c r="P5" s="86" t="s">
        <v>2822</v>
      </c>
      <c r="Q5" s="86" t="s">
        <v>2865</v>
      </c>
      <c r="R5" s="86" t="s">
        <v>2914</v>
      </c>
      <c r="S5" s="86" t="s">
        <v>2945</v>
      </c>
      <c r="T5" s="86" t="s">
        <v>2965</v>
      </c>
    </row>
    <row r="6" spans="1:20">
      <c r="A6" s="86" t="s">
        <v>235</v>
      </c>
      <c r="B6" s="86" t="s">
        <v>2591</v>
      </c>
      <c r="C6" s="86">
        <v>36990</v>
      </c>
      <c r="D6" s="86">
        <v>36850</v>
      </c>
      <c r="E6" s="86">
        <v>36700</v>
      </c>
      <c r="F6" s="86">
        <v>14590</v>
      </c>
      <c r="G6" s="86">
        <v>27450</v>
      </c>
      <c r="H6" s="81"/>
      <c r="I6" s="89" t="s">
        <v>2594</v>
      </c>
      <c r="J6" s="87" t="s">
        <v>2599</v>
      </c>
      <c r="K6" s="87" t="s">
        <v>2619</v>
      </c>
      <c r="L6" s="86" t="s">
        <v>2644</v>
      </c>
      <c r="M6" s="86" t="s">
        <v>2676</v>
      </c>
      <c r="N6" s="86" t="s">
        <v>2716</v>
      </c>
      <c r="O6" s="86" t="s">
        <v>2779</v>
      </c>
      <c r="P6" s="86" t="s">
        <v>2823</v>
      </c>
      <c r="Q6" s="86" t="s">
        <v>2866</v>
      </c>
      <c r="R6" s="86" t="s">
        <v>2915</v>
      </c>
      <c r="S6" s="86" t="s">
        <v>2946</v>
      </c>
      <c r="T6" s="86" t="s">
        <v>2966</v>
      </c>
    </row>
    <row r="7" spans="1:20">
      <c r="A7" s="86" t="s">
        <v>235</v>
      </c>
      <c r="B7" s="87" t="s">
        <v>2592</v>
      </c>
      <c r="C7" s="86">
        <v>34850</v>
      </c>
      <c r="D7" s="86">
        <v>34690</v>
      </c>
      <c r="E7" s="86">
        <v>34550</v>
      </c>
      <c r="F7" s="86">
        <v>14360</v>
      </c>
      <c r="G7" s="86">
        <v>25620</v>
      </c>
      <c r="H7" s="81"/>
      <c r="J7" s="87" t="s">
        <v>2600</v>
      </c>
      <c r="K7" s="87" t="s">
        <v>2620</v>
      </c>
      <c r="L7" s="86" t="s">
        <v>2645</v>
      </c>
      <c r="M7" s="86" t="s">
        <v>2677</v>
      </c>
      <c r="N7" s="86" t="s">
        <v>2717</v>
      </c>
      <c r="O7" s="86" t="s">
        <v>2780</v>
      </c>
      <c r="P7" s="86" t="s">
        <v>2824</v>
      </c>
      <c r="Q7" s="86" t="s">
        <v>2867</v>
      </c>
      <c r="R7" s="86" t="s">
        <v>2916</v>
      </c>
      <c r="S7" s="86" t="s">
        <v>2947</v>
      </c>
      <c r="T7" s="86" t="s">
        <v>2967</v>
      </c>
    </row>
    <row r="8" spans="1:20">
      <c r="A8" s="86" t="s">
        <v>235</v>
      </c>
      <c r="B8" s="86" t="s">
        <v>2593</v>
      </c>
      <c r="C8" s="86">
        <v>32630</v>
      </c>
      <c r="D8" s="86">
        <v>32510</v>
      </c>
      <c r="E8" s="86">
        <v>32420</v>
      </c>
      <c r="F8" s="86">
        <v>13300</v>
      </c>
      <c r="G8" s="86">
        <v>24010</v>
      </c>
      <c r="H8" s="81"/>
      <c r="J8" s="87" t="s">
        <v>2601</v>
      </c>
      <c r="K8" s="87" t="s">
        <v>2621</v>
      </c>
      <c r="L8" s="86" t="s">
        <v>2646</v>
      </c>
      <c r="M8" s="86" t="s">
        <v>2678</v>
      </c>
      <c r="N8" s="86" t="s">
        <v>2718</v>
      </c>
      <c r="O8" s="86" t="s">
        <v>2781</v>
      </c>
      <c r="P8" s="86" t="s">
        <v>2825</v>
      </c>
      <c r="Q8" s="86" t="s">
        <v>2868</v>
      </c>
      <c r="R8" s="86" t="s">
        <v>2917</v>
      </c>
      <c r="S8" s="86" t="s">
        <v>2948</v>
      </c>
      <c r="T8" s="90" t="s">
        <v>2968</v>
      </c>
    </row>
    <row r="9" spans="1:20">
      <c r="A9" s="88" t="s">
        <v>235</v>
      </c>
      <c r="B9" s="89" t="s">
        <v>2594</v>
      </c>
      <c r="C9" s="90">
        <v>36370</v>
      </c>
      <c r="D9" s="90">
        <v>36210</v>
      </c>
      <c r="E9" s="90">
        <v>36050</v>
      </c>
      <c r="F9" s="90"/>
      <c r="G9" s="90">
        <v>26740</v>
      </c>
      <c r="H9" s="81"/>
      <c r="J9" s="87" t="s">
        <v>2602</v>
      </c>
      <c r="K9" s="87" t="s">
        <v>2622</v>
      </c>
      <c r="L9" s="86" t="s">
        <v>2647</v>
      </c>
      <c r="M9" s="86" t="s">
        <v>2679</v>
      </c>
      <c r="N9" s="86" t="s">
        <v>2719</v>
      </c>
      <c r="O9" s="86" t="s">
        <v>2782</v>
      </c>
      <c r="P9" s="86" t="s">
        <v>2826</v>
      </c>
      <c r="Q9" s="86" t="s">
        <v>2869</v>
      </c>
      <c r="R9" s="86" t="s">
        <v>2918</v>
      </c>
      <c r="S9" s="86" t="s">
        <v>2949</v>
      </c>
    </row>
    <row r="10" spans="1:20">
      <c r="A10" s="84" t="s">
        <v>251</v>
      </c>
      <c r="B10" s="85" t="s">
        <v>2595</v>
      </c>
      <c r="C10" s="86">
        <v>32350</v>
      </c>
      <c r="D10" s="86">
        <v>31430</v>
      </c>
      <c r="E10" s="86">
        <v>31320</v>
      </c>
      <c r="F10" s="86">
        <v>10850</v>
      </c>
      <c r="G10" s="86">
        <v>22860</v>
      </c>
      <c r="H10" s="81"/>
      <c r="J10" s="87" t="s">
        <v>2603</v>
      </c>
      <c r="K10" s="87" t="s">
        <v>2623</v>
      </c>
      <c r="L10" s="86" t="s">
        <v>2648</v>
      </c>
      <c r="M10" s="86" t="s">
        <v>2680</v>
      </c>
      <c r="N10" s="86" t="s">
        <v>2720</v>
      </c>
      <c r="O10" s="86" t="s">
        <v>2783</v>
      </c>
      <c r="P10" s="86" t="s">
        <v>2827</v>
      </c>
      <c r="Q10" s="86" t="s">
        <v>2870</v>
      </c>
      <c r="R10" s="86" t="s">
        <v>2919</v>
      </c>
      <c r="S10" s="86" t="s">
        <v>2950</v>
      </c>
    </row>
    <row r="11" spans="1:20">
      <c r="A11" s="86" t="s">
        <v>251</v>
      </c>
      <c r="B11" s="87" t="s">
        <v>2596</v>
      </c>
      <c r="C11" s="86">
        <v>31590</v>
      </c>
      <c r="D11" s="86">
        <v>29490</v>
      </c>
      <c r="E11" s="86">
        <v>28700</v>
      </c>
      <c r="F11" s="86">
        <v>10410</v>
      </c>
      <c r="G11" s="86">
        <v>21460</v>
      </c>
      <c r="H11" s="81"/>
      <c r="J11" s="87" t="s">
        <v>2604</v>
      </c>
      <c r="K11" s="87" t="s">
        <v>2624</v>
      </c>
      <c r="L11" s="86" t="s">
        <v>2649</v>
      </c>
      <c r="M11" s="86" t="s">
        <v>2681</v>
      </c>
      <c r="N11" s="86" t="s">
        <v>2721</v>
      </c>
      <c r="O11" s="86" t="s">
        <v>2784</v>
      </c>
      <c r="P11" s="86" t="s">
        <v>2828</v>
      </c>
      <c r="Q11" s="86" t="s">
        <v>2871</v>
      </c>
      <c r="R11" s="86" t="s">
        <v>2920</v>
      </c>
      <c r="S11" s="86" t="s">
        <v>2951</v>
      </c>
    </row>
    <row r="12" spans="1:20">
      <c r="A12" s="86" t="s">
        <v>251</v>
      </c>
      <c r="B12" s="87" t="s">
        <v>2597</v>
      </c>
      <c r="C12" s="86">
        <v>29640</v>
      </c>
      <c r="D12" s="86">
        <v>27550</v>
      </c>
      <c r="E12" s="86">
        <v>28010</v>
      </c>
      <c r="F12" s="86">
        <v>8730</v>
      </c>
      <c r="G12" s="86">
        <v>20050</v>
      </c>
      <c r="H12" s="81"/>
      <c r="J12" s="87" t="s">
        <v>2605</v>
      </c>
      <c r="K12" s="87" t="s">
        <v>2625</v>
      </c>
      <c r="L12" s="86" t="s">
        <v>2650</v>
      </c>
      <c r="M12" s="86" t="s">
        <v>2682</v>
      </c>
      <c r="N12" s="86" t="s">
        <v>2722</v>
      </c>
      <c r="O12" s="86" t="s">
        <v>2785</v>
      </c>
      <c r="P12" s="86" t="s">
        <v>2829</v>
      </c>
      <c r="Q12" s="86" t="s">
        <v>2872</v>
      </c>
      <c r="R12" s="86" t="s">
        <v>2921</v>
      </c>
      <c r="S12" s="86" t="s">
        <v>2952</v>
      </c>
    </row>
    <row r="13" spans="1:20">
      <c r="A13" s="86" t="s">
        <v>251</v>
      </c>
      <c r="B13" s="87" t="s">
        <v>2598</v>
      </c>
      <c r="C13" s="86">
        <v>29680</v>
      </c>
      <c r="D13" s="86">
        <v>27660</v>
      </c>
      <c r="E13" s="86">
        <v>28210</v>
      </c>
      <c r="F13" s="86">
        <v>9590</v>
      </c>
      <c r="G13" s="86">
        <v>20120</v>
      </c>
      <c r="H13" s="81"/>
      <c r="J13" s="87" t="s">
        <v>2606</v>
      </c>
      <c r="K13" s="87" t="s">
        <v>2626</v>
      </c>
      <c r="L13" s="86" t="s">
        <v>2651</v>
      </c>
      <c r="M13" s="86" t="s">
        <v>2683</v>
      </c>
      <c r="N13" s="86" t="s">
        <v>2723</v>
      </c>
      <c r="O13" s="86" t="s">
        <v>2786</v>
      </c>
      <c r="P13" s="86" t="s">
        <v>2830</v>
      </c>
      <c r="Q13" s="86" t="s">
        <v>2873</v>
      </c>
      <c r="R13" s="86" t="s">
        <v>2922</v>
      </c>
      <c r="S13" s="86" t="s">
        <v>2953</v>
      </c>
    </row>
    <row r="14" spans="1:20">
      <c r="A14" s="86" t="s">
        <v>251</v>
      </c>
      <c r="B14" s="87" t="s">
        <v>2599</v>
      </c>
      <c r="C14" s="86">
        <v>30520</v>
      </c>
      <c r="D14" s="86">
        <v>29510</v>
      </c>
      <c r="E14" s="86">
        <v>29400</v>
      </c>
      <c r="F14" s="86">
        <v>9630</v>
      </c>
      <c r="G14" s="86">
        <v>21480</v>
      </c>
      <c r="H14" s="81"/>
      <c r="J14" s="87" t="s">
        <v>2607</v>
      </c>
      <c r="K14" s="87" t="s">
        <v>2627</v>
      </c>
      <c r="L14" s="86" t="s">
        <v>2652</v>
      </c>
      <c r="M14" s="86" t="s">
        <v>2684</v>
      </c>
      <c r="N14" s="86" t="s">
        <v>2724</v>
      </c>
      <c r="O14" s="86" t="s">
        <v>2787</v>
      </c>
      <c r="P14" s="86" t="s">
        <v>2831</v>
      </c>
      <c r="Q14" s="86" t="s">
        <v>2874</v>
      </c>
      <c r="R14" s="86" t="s">
        <v>2923</v>
      </c>
      <c r="S14" s="86" t="s">
        <v>2954</v>
      </c>
    </row>
    <row r="15" spans="1:20">
      <c r="A15" s="86" t="s">
        <v>251</v>
      </c>
      <c r="B15" s="87" t="s">
        <v>2600</v>
      </c>
      <c r="C15" s="86">
        <v>29090</v>
      </c>
      <c r="D15" s="86">
        <v>27590</v>
      </c>
      <c r="E15" s="86">
        <v>28120</v>
      </c>
      <c r="F15" s="86">
        <v>9110</v>
      </c>
      <c r="G15" s="86">
        <v>20070</v>
      </c>
      <c r="H15" s="81"/>
      <c r="J15" s="87" t="s">
        <v>2608</v>
      </c>
      <c r="K15" s="87" t="s">
        <v>2628</v>
      </c>
      <c r="L15" s="86" t="s">
        <v>2653</v>
      </c>
      <c r="M15" s="86" t="s">
        <v>2685</v>
      </c>
      <c r="N15" s="86" t="s">
        <v>2725</v>
      </c>
      <c r="O15" s="86" t="s">
        <v>2788</v>
      </c>
      <c r="P15" s="86" t="s">
        <v>2832</v>
      </c>
      <c r="Q15" s="86" t="s">
        <v>2875</v>
      </c>
      <c r="R15" s="86" t="s">
        <v>2924</v>
      </c>
      <c r="S15" s="86" t="s">
        <v>2955</v>
      </c>
    </row>
    <row r="16" spans="1:20">
      <c r="A16" s="86" t="s">
        <v>251</v>
      </c>
      <c r="B16" s="87" t="s">
        <v>2601</v>
      </c>
      <c r="C16" s="86">
        <v>26790</v>
      </c>
      <c r="D16" s="86">
        <v>30370</v>
      </c>
      <c r="E16" s="86">
        <v>30240</v>
      </c>
      <c r="F16" s="86">
        <v>11590</v>
      </c>
      <c r="G16" s="86">
        <v>22090</v>
      </c>
      <c r="H16" s="81"/>
      <c r="J16" s="87" t="s">
        <v>2609</v>
      </c>
      <c r="K16" s="87" t="s">
        <v>2629</v>
      </c>
      <c r="L16" s="86" t="s">
        <v>2654</v>
      </c>
      <c r="M16" s="86" t="s">
        <v>2686</v>
      </c>
      <c r="N16" s="86" t="s">
        <v>2726</v>
      </c>
      <c r="O16" s="86" t="s">
        <v>2789</v>
      </c>
      <c r="P16" s="86" t="s">
        <v>2833</v>
      </c>
      <c r="Q16" s="86" t="s">
        <v>2876</v>
      </c>
      <c r="R16" s="86" t="s">
        <v>2925</v>
      </c>
      <c r="S16" s="86" t="s">
        <v>2956</v>
      </c>
    </row>
    <row r="17" spans="1:19" ht="14.25" customHeight="1">
      <c r="A17" s="86" t="s">
        <v>251</v>
      </c>
      <c r="B17" s="87" t="s">
        <v>2602</v>
      </c>
      <c r="C17" s="86">
        <v>29180</v>
      </c>
      <c r="D17" s="86">
        <v>27620</v>
      </c>
      <c r="E17" s="86">
        <v>28180</v>
      </c>
      <c r="F17" s="86">
        <v>10790</v>
      </c>
      <c r="G17" s="86">
        <v>20090</v>
      </c>
      <c r="H17" s="81"/>
      <c r="J17" s="87" t="s">
        <v>2610</v>
      </c>
      <c r="K17" s="87" t="s">
        <v>2630</v>
      </c>
      <c r="L17" s="86" t="s">
        <v>2655</v>
      </c>
      <c r="M17" s="86" t="s">
        <v>2687</v>
      </c>
      <c r="N17" s="86" t="s">
        <v>2727</v>
      </c>
      <c r="O17" s="86" t="s">
        <v>2790</v>
      </c>
      <c r="P17" s="86" t="s">
        <v>2834</v>
      </c>
      <c r="Q17" s="86" t="s">
        <v>2877</v>
      </c>
      <c r="R17" s="86" t="s">
        <v>2926</v>
      </c>
      <c r="S17" s="86" t="s">
        <v>2957</v>
      </c>
    </row>
    <row r="18" spans="1:19" ht="14.25" customHeight="1">
      <c r="A18" s="86" t="s">
        <v>251</v>
      </c>
      <c r="B18" s="87" t="s">
        <v>2603</v>
      </c>
      <c r="C18" s="86">
        <v>26840</v>
      </c>
      <c r="D18" s="86">
        <v>28930</v>
      </c>
      <c r="E18" s="86">
        <v>28820</v>
      </c>
      <c r="F18" s="86"/>
      <c r="G18" s="86">
        <v>21050</v>
      </c>
      <c r="H18" s="81"/>
      <c r="J18" s="87" t="s">
        <v>2611</v>
      </c>
      <c r="K18" s="87" t="s">
        <v>2631</v>
      </c>
      <c r="L18" s="86" t="s">
        <v>2656</v>
      </c>
      <c r="M18" s="86" t="s">
        <v>2688</v>
      </c>
      <c r="N18" s="86" t="s">
        <v>2728</v>
      </c>
      <c r="O18" s="86" t="s">
        <v>2791</v>
      </c>
      <c r="P18" s="86" t="s">
        <v>2835</v>
      </c>
      <c r="Q18" s="86" t="s">
        <v>2878</v>
      </c>
      <c r="R18" s="86" t="s">
        <v>2927</v>
      </c>
      <c r="S18" s="86" t="s">
        <v>2958</v>
      </c>
    </row>
    <row r="19" spans="1:19" ht="14.25" customHeight="1">
      <c r="A19" s="86" t="s">
        <v>251</v>
      </c>
      <c r="B19" s="87" t="s">
        <v>2604</v>
      </c>
      <c r="C19" s="86">
        <v>27750</v>
      </c>
      <c r="D19" s="86">
        <v>26680</v>
      </c>
      <c r="E19" s="86">
        <v>26590</v>
      </c>
      <c r="F19" s="86"/>
      <c r="G19" s="86">
        <v>19420</v>
      </c>
      <c r="H19" s="81"/>
      <c r="J19" s="87" t="s">
        <v>2612</v>
      </c>
      <c r="K19" s="87" t="s">
        <v>2632</v>
      </c>
      <c r="L19" s="86" t="s">
        <v>2657</v>
      </c>
      <c r="M19" s="86" t="s">
        <v>2689</v>
      </c>
      <c r="N19" s="86" t="s">
        <v>2729</v>
      </c>
      <c r="O19" s="86" t="s">
        <v>2792</v>
      </c>
      <c r="P19" s="86" t="s">
        <v>2836</v>
      </c>
      <c r="Q19" s="86" t="s">
        <v>2879</v>
      </c>
      <c r="R19" s="86" t="s">
        <v>2928</v>
      </c>
      <c r="S19" s="86" t="s">
        <v>2959</v>
      </c>
    </row>
    <row r="20" spans="1:19" ht="14.25" customHeight="1">
      <c r="A20" s="86" t="s">
        <v>251</v>
      </c>
      <c r="B20" s="87" t="s">
        <v>2605</v>
      </c>
      <c r="C20" s="86">
        <v>27050</v>
      </c>
      <c r="D20" s="86">
        <v>29010</v>
      </c>
      <c r="E20" s="86">
        <v>28910</v>
      </c>
      <c r="F20" s="86"/>
      <c r="G20" s="86">
        <v>21110</v>
      </c>
      <c r="J20" s="87" t="s">
        <v>2613</v>
      </c>
      <c r="K20" s="87" t="s">
        <v>2633</v>
      </c>
      <c r="L20" s="86" t="s">
        <v>2658</v>
      </c>
      <c r="M20" s="86" t="s">
        <v>2690</v>
      </c>
      <c r="N20" s="86" t="s">
        <v>2730</v>
      </c>
      <c r="O20" s="86" t="s">
        <v>2793</v>
      </c>
      <c r="P20" s="86" t="s">
        <v>2837</v>
      </c>
      <c r="Q20" s="86" t="s">
        <v>2880</v>
      </c>
      <c r="R20" s="86" t="s">
        <v>2929</v>
      </c>
      <c r="S20" s="86" t="s">
        <v>2960</v>
      </c>
    </row>
    <row r="21" spans="1:19" ht="14.25" customHeight="1">
      <c r="A21" s="86" t="s">
        <v>251</v>
      </c>
      <c r="B21" s="87" t="s">
        <v>2606</v>
      </c>
      <c r="C21" s="86">
        <v>32370</v>
      </c>
      <c r="D21" s="86">
        <v>26730</v>
      </c>
      <c r="E21" s="86">
        <v>26640</v>
      </c>
      <c r="F21" s="86"/>
      <c r="G21" s="86">
        <v>19440</v>
      </c>
      <c r="J21" s="90" t="s">
        <v>2614</v>
      </c>
      <c r="K21" s="87" t="s">
        <v>2634</v>
      </c>
      <c r="L21" s="86" t="s">
        <v>2659</v>
      </c>
      <c r="M21" s="86" t="s">
        <v>2691</v>
      </c>
      <c r="N21" s="86" t="s">
        <v>2731</v>
      </c>
      <c r="O21" s="86" t="s">
        <v>2794</v>
      </c>
      <c r="P21" s="86" t="s">
        <v>2838</v>
      </c>
      <c r="Q21" s="86" t="s">
        <v>2881</v>
      </c>
      <c r="R21" s="86" t="s">
        <v>2930</v>
      </c>
      <c r="S21" s="90" t="s">
        <v>2961</v>
      </c>
    </row>
    <row r="22" spans="1:19" ht="14.25" customHeight="1">
      <c r="A22" s="86" t="s">
        <v>251</v>
      </c>
      <c r="B22" s="87" t="s">
        <v>2607</v>
      </c>
      <c r="C22" s="86">
        <v>29830</v>
      </c>
      <c r="D22" s="86">
        <v>27600</v>
      </c>
      <c r="E22" s="86">
        <v>28150</v>
      </c>
      <c r="F22" s="86"/>
      <c r="G22" s="86">
        <v>20080</v>
      </c>
      <c r="K22" s="87" t="s">
        <v>2635</v>
      </c>
      <c r="L22" s="86" t="s">
        <v>2660</v>
      </c>
      <c r="M22" s="86" t="s">
        <v>2692</v>
      </c>
      <c r="N22" s="86" t="s">
        <v>2732</v>
      </c>
      <c r="O22" s="86" t="s">
        <v>2795</v>
      </c>
      <c r="P22" s="86" t="s">
        <v>2839</v>
      </c>
      <c r="Q22" s="86" t="s">
        <v>2882</v>
      </c>
      <c r="R22" s="86" t="s">
        <v>2931</v>
      </c>
    </row>
    <row r="23" spans="1:19" ht="14.25" customHeight="1">
      <c r="A23" s="86" t="s">
        <v>251</v>
      </c>
      <c r="B23" s="87" t="s">
        <v>2608</v>
      </c>
      <c r="C23" s="86">
        <v>27800</v>
      </c>
      <c r="D23" s="86">
        <v>26900</v>
      </c>
      <c r="E23" s="86">
        <v>27170</v>
      </c>
      <c r="F23" s="86"/>
      <c r="G23" s="86">
        <v>19570</v>
      </c>
      <c r="K23" s="87" t="s">
        <v>2636</v>
      </c>
      <c r="L23" s="86" t="s">
        <v>2661</v>
      </c>
      <c r="M23" s="86" t="s">
        <v>2693</v>
      </c>
      <c r="N23" s="86" t="s">
        <v>2733</v>
      </c>
      <c r="O23" s="86" t="s">
        <v>2796</v>
      </c>
      <c r="P23" s="86" t="s">
        <v>2840</v>
      </c>
      <c r="Q23" s="86" t="s">
        <v>2883</v>
      </c>
      <c r="R23" s="86" t="s">
        <v>2932</v>
      </c>
    </row>
    <row r="24" spans="1:19" ht="14.25" customHeight="1">
      <c r="A24" s="86" t="s">
        <v>251</v>
      </c>
      <c r="B24" s="87" t="s">
        <v>2609</v>
      </c>
      <c r="C24" s="86">
        <v>27930</v>
      </c>
      <c r="D24" s="86">
        <v>32260</v>
      </c>
      <c r="E24" s="86">
        <v>32120</v>
      </c>
      <c r="F24" s="86"/>
      <c r="G24" s="86">
        <v>23470</v>
      </c>
      <c r="K24" s="87" t="s">
        <v>2637</v>
      </c>
      <c r="L24" s="86" t="s">
        <v>2662</v>
      </c>
      <c r="M24" s="86" t="s">
        <v>2694</v>
      </c>
      <c r="N24" s="86" t="s">
        <v>2734</v>
      </c>
      <c r="O24" s="86" t="s">
        <v>2797</v>
      </c>
      <c r="P24" s="86" t="s">
        <v>2841</v>
      </c>
      <c r="Q24" s="100" t="s">
        <v>547</v>
      </c>
      <c r="R24" s="86" t="s">
        <v>2933</v>
      </c>
    </row>
    <row r="25" spans="1:19" ht="14.25" customHeight="1">
      <c r="A25" s="86" t="s">
        <v>251</v>
      </c>
      <c r="B25" s="87" t="s">
        <v>2610</v>
      </c>
      <c r="C25" s="86">
        <v>32230</v>
      </c>
      <c r="D25" s="86">
        <v>29640</v>
      </c>
      <c r="E25" s="86">
        <v>29510</v>
      </c>
      <c r="F25" s="86"/>
      <c r="G25" s="86">
        <v>21560</v>
      </c>
      <c r="K25" s="87" t="s">
        <v>2638</v>
      </c>
      <c r="L25" s="86" t="s">
        <v>2663</v>
      </c>
      <c r="M25" s="86" t="s">
        <v>2695</v>
      </c>
      <c r="N25" s="86" t="s">
        <v>2735</v>
      </c>
      <c r="O25" s="86" t="s">
        <v>2798</v>
      </c>
      <c r="P25" s="86" t="s">
        <v>2842</v>
      </c>
      <c r="Q25" s="100" t="s">
        <v>2884</v>
      </c>
      <c r="R25" s="86" t="s">
        <v>2934</v>
      </c>
    </row>
    <row r="26" spans="1:19" ht="14.25" customHeight="1">
      <c r="A26" s="86" t="s">
        <v>251</v>
      </c>
      <c r="B26" s="87" t="s">
        <v>2611</v>
      </c>
      <c r="C26" s="86">
        <v>31690</v>
      </c>
      <c r="D26" s="86">
        <v>27650</v>
      </c>
      <c r="E26" s="86">
        <v>28200</v>
      </c>
      <c r="F26" s="86"/>
      <c r="G26" s="86">
        <v>20110</v>
      </c>
      <c r="K26" s="89" t="s">
        <v>2639</v>
      </c>
      <c r="L26" s="86" t="s">
        <v>2664</v>
      </c>
      <c r="M26" s="86" t="s">
        <v>2696</v>
      </c>
      <c r="N26" s="86" t="s">
        <v>2736</v>
      </c>
      <c r="O26" s="86" t="s">
        <v>2799</v>
      </c>
      <c r="P26" s="86" t="s">
        <v>2843</v>
      </c>
      <c r="Q26" s="100" t="s">
        <v>2885</v>
      </c>
      <c r="R26" s="86" t="s">
        <v>2935</v>
      </c>
    </row>
    <row r="27" spans="1:19" ht="14.25" customHeight="1">
      <c r="A27" s="86" t="s">
        <v>251</v>
      </c>
      <c r="B27" s="87" t="s">
        <v>2612</v>
      </c>
      <c r="C27" s="86">
        <v>29610</v>
      </c>
      <c r="D27" s="86">
        <v>27770</v>
      </c>
      <c r="E27" s="86">
        <v>28300</v>
      </c>
      <c r="F27" s="86"/>
      <c r="G27" s="86">
        <v>20210</v>
      </c>
      <c r="L27" s="86" t="s">
        <v>2665</v>
      </c>
      <c r="M27" s="86" t="s">
        <v>2697</v>
      </c>
      <c r="N27" s="86" t="s">
        <v>2737</v>
      </c>
      <c r="O27" s="86" t="s">
        <v>2800</v>
      </c>
      <c r="P27" s="86" t="s">
        <v>2844</v>
      </c>
      <c r="Q27" s="86" t="s">
        <v>2886</v>
      </c>
      <c r="R27" s="86" t="s">
        <v>2936</v>
      </c>
    </row>
    <row r="28" spans="1:19" ht="14.25" customHeight="1">
      <c r="A28" s="86" t="s">
        <v>251</v>
      </c>
      <c r="B28" s="87" t="s">
        <v>2613</v>
      </c>
      <c r="C28" s="86"/>
      <c r="D28" s="86">
        <v>31520</v>
      </c>
      <c r="E28" s="86">
        <v>31410</v>
      </c>
      <c r="F28" s="86"/>
      <c r="G28" s="86">
        <v>22940</v>
      </c>
      <c r="L28" s="86" t="s">
        <v>2666</v>
      </c>
      <c r="M28" s="86" t="s">
        <v>2698</v>
      </c>
      <c r="N28" s="86" t="s">
        <v>2738</v>
      </c>
      <c r="O28" s="86" t="s">
        <v>2801</v>
      </c>
      <c r="P28" s="86" t="s">
        <v>2845</v>
      </c>
      <c r="Q28" s="86" t="s">
        <v>2887</v>
      </c>
      <c r="R28" s="86" t="s">
        <v>2937</v>
      </c>
    </row>
    <row r="29" spans="1:19" ht="14.25" customHeight="1">
      <c r="A29" s="88" t="s">
        <v>251</v>
      </c>
      <c r="B29" s="91" t="s">
        <v>2614</v>
      </c>
      <c r="C29" s="92"/>
      <c r="D29" s="92">
        <v>29460</v>
      </c>
      <c r="E29" s="92">
        <v>28640</v>
      </c>
      <c r="F29" s="92"/>
      <c r="G29" s="92">
        <v>21430</v>
      </c>
      <c r="L29" s="86" t="s">
        <v>2667</v>
      </c>
      <c r="M29" s="86" t="s">
        <v>2699</v>
      </c>
      <c r="N29" s="86" t="s">
        <v>2739</v>
      </c>
      <c r="O29" s="86" t="s">
        <v>2802</v>
      </c>
      <c r="P29" s="86" t="s">
        <v>2846</v>
      </c>
      <c r="Q29" s="86" t="s">
        <v>2888</v>
      </c>
      <c r="R29" s="86" t="s">
        <v>2938</v>
      </c>
    </row>
    <row r="30" spans="1:19" ht="14.25" customHeight="1">
      <c r="A30" s="84" t="s">
        <v>264</v>
      </c>
      <c r="B30" s="85" t="s">
        <v>2615</v>
      </c>
      <c r="C30" s="85">
        <v>26890</v>
      </c>
      <c r="D30" s="85">
        <v>26770</v>
      </c>
      <c r="E30" s="85">
        <v>25700</v>
      </c>
      <c r="F30" s="85">
        <v>8180</v>
      </c>
      <c r="G30" s="93">
        <v>18740</v>
      </c>
      <c r="L30" s="86" t="s">
        <v>2668</v>
      </c>
      <c r="M30" s="86" t="s">
        <v>2700</v>
      </c>
      <c r="N30" s="86" t="s">
        <v>2740</v>
      </c>
      <c r="O30" s="86" t="s">
        <v>2803</v>
      </c>
      <c r="P30" s="86" t="s">
        <v>2847</v>
      </c>
      <c r="Q30" s="86" t="s">
        <v>2889</v>
      </c>
      <c r="R30" s="86" t="s">
        <v>2939</v>
      </c>
    </row>
    <row r="31" spans="1:19" ht="14.25" customHeight="1">
      <c r="A31" s="86" t="s">
        <v>264</v>
      </c>
      <c r="B31" s="87" t="s">
        <v>2616</v>
      </c>
      <c r="C31" s="86">
        <v>24550</v>
      </c>
      <c r="D31" s="86">
        <v>23990</v>
      </c>
      <c r="E31" s="86">
        <v>22930</v>
      </c>
      <c r="F31" s="86">
        <v>7470</v>
      </c>
      <c r="G31" s="94">
        <v>16790</v>
      </c>
      <c r="L31" s="86" t="s">
        <v>2669</v>
      </c>
      <c r="M31" s="86" t="s">
        <v>2701</v>
      </c>
      <c r="N31" s="86" t="s">
        <v>2741</v>
      </c>
      <c r="O31" s="86" t="s">
        <v>2804</v>
      </c>
      <c r="P31" s="86" t="s">
        <v>2848</v>
      </c>
      <c r="Q31" s="86" t="s">
        <v>2890</v>
      </c>
      <c r="R31" s="86" t="s">
        <v>2940</v>
      </c>
    </row>
    <row r="32" spans="1:19" ht="14.25" customHeight="1">
      <c r="A32" s="86" t="s">
        <v>264</v>
      </c>
      <c r="B32" s="87" t="s">
        <v>2617</v>
      </c>
      <c r="C32" s="86">
        <v>27210</v>
      </c>
      <c r="D32" s="86">
        <v>23240</v>
      </c>
      <c r="E32" s="86">
        <v>23260</v>
      </c>
      <c r="F32" s="86">
        <v>7130</v>
      </c>
      <c r="G32" s="94">
        <v>16270</v>
      </c>
      <c r="L32" s="86" t="s">
        <v>2670</v>
      </c>
      <c r="M32" s="86" t="s">
        <v>2702</v>
      </c>
      <c r="N32" s="86" t="s">
        <v>2742</v>
      </c>
      <c r="O32" s="86" t="s">
        <v>2805</v>
      </c>
      <c r="P32" s="86" t="s">
        <v>2849</v>
      </c>
      <c r="Q32" s="86" t="s">
        <v>2891</v>
      </c>
      <c r="R32" s="90" t="s">
        <v>2941</v>
      </c>
    </row>
    <row r="33" spans="1:17" ht="14.25" customHeight="1">
      <c r="A33" s="86" t="s">
        <v>264</v>
      </c>
      <c r="B33" s="87" t="s">
        <v>2618</v>
      </c>
      <c r="C33" s="86">
        <v>27300</v>
      </c>
      <c r="D33" s="86">
        <v>22980</v>
      </c>
      <c r="E33" s="86">
        <v>24260</v>
      </c>
      <c r="F33" s="86">
        <v>5860</v>
      </c>
      <c r="G33" s="94">
        <v>16090</v>
      </c>
      <c r="L33" s="90" t="s">
        <v>2671</v>
      </c>
      <c r="M33" s="86" t="s">
        <v>2703</v>
      </c>
      <c r="N33" s="86" t="s">
        <v>2743</v>
      </c>
      <c r="O33" s="86" t="s">
        <v>2806</v>
      </c>
      <c r="P33" s="86" t="s">
        <v>2850</v>
      </c>
      <c r="Q33" s="86" t="s">
        <v>2892</v>
      </c>
    </row>
    <row r="34" spans="1:17" ht="14.25" customHeight="1">
      <c r="A34" s="86" t="s">
        <v>264</v>
      </c>
      <c r="B34" s="87" t="s">
        <v>2619</v>
      </c>
      <c r="C34" s="86">
        <v>23090</v>
      </c>
      <c r="D34" s="86">
        <v>23390</v>
      </c>
      <c r="E34" s="86">
        <v>23510</v>
      </c>
      <c r="F34" s="86">
        <v>6700</v>
      </c>
      <c r="G34" s="94">
        <v>16370</v>
      </c>
      <c r="M34" s="86" t="s">
        <v>2704</v>
      </c>
      <c r="N34" s="86" t="s">
        <v>2744</v>
      </c>
      <c r="O34" s="86" t="s">
        <v>2807</v>
      </c>
      <c r="P34" s="86" t="s">
        <v>2851</v>
      </c>
      <c r="Q34" s="86" t="s">
        <v>2893</v>
      </c>
    </row>
    <row r="35" spans="1:17" ht="14.25" customHeight="1">
      <c r="A35" s="86" t="s">
        <v>264</v>
      </c>
      <c r="B35" s="87" t="s">
        <v>2620</v>
      </c>
      <c r="C35" s="86">
        <v>27270</v>
      </c>
      <c r="D35" s="86">
        <v>24270</v>
      </c>
      <c r="E35" s="86">
        <v>24950</v>
      </c>
      <c r="F35" s="86">
        <v>6600</v>
      </c>
      <c r="G35" s="94">
        <v>16990</v>
      </c>
      <c r="M35" s="86" t="s">
        <v>2705</v>
      </c>
      <c r="N35" s="86" t="s">
        <v>2745</v>
      </c>
      <c r="O35" s="86" t="s">
        <v>2808</v>
      </c>
      <c r="P35" s="86" t="s">
        <v>2852</v>
      </c>
      <c r="Q35" s="86" t="s">
        <v>2894</v>
      </c>
    </row>
    <row r="36" spans="1:17" ht="14.25" customHeight="1">
      <c r="A36" s="86" t="s">
        <v>264</v>
      </c>
      <c r="B36" s="87" t="s">
        <v>2621</v>
      </c>
      <c r="C36" s="86">
        <v>23490</v>
      </c>
      <c r="D36" s="86">
        <v>23020</v>
      </c>
      <c r="E36" s="86">
        <v>25230</v>
      </c>
      <c r="F36" s="86">
        <v>6780</v>
      </c>
      <c r="G36" s="94">
        <v>16120</v>
      </c>
      <c r="M36" s="86" t="s">
        <v>2706</v>
      </c>
      <c r="N36" s="86" t="s">
        <v>2746</v>
      </c>
      <c r="O36" s="86" t="s">
        <v>2809</v>
      </c>
      <c r="P36" s="86" t="s">
        <v>2853</v>
      </c>
      <c r="Q36" s="86" t="s">
        <v>2895</v>
      </c>
    </row>
    <row r="37" spans="1:17" ht="14.25" customHeight="1">
      <c r="A37" s="86" t="s">
        <v>264</v>
      </c>
      <c r="B37" s="87" t="s">
        <v>2622</v>
      </c>
      <c r="C37" s="86">
        <v>24380</v>
      </c>
      <c r="D37" s="86">
        <v>22240</v>
      </c>
      <c r="E37" s="86">
        <v>25980</v>
      </c>
      <c r="F37" s="86">
        <v>8160</v>
      </c>
      <c r="G37" s="94">
        <v>15570</v>
      </c>
      <c r="M37" s="86" t="s">
        <v>2707</v>
      </c>
      <c r="N37" s="86" t="s">
        <v>2747</v>
      </c>
      <c r="O37" s="86" t="s">
        <v>2810</v>
      </c>
      <c r="P37" s="86" t="s">
        <v>2854</v>
      </c>
      <c r="Q37" s="86" t="s">
        <v>2896</v>
      </c>
    </row>
    <row r="38" spans="1:17" ht="14.25" customHeight="1">
      <c r="A38" s="86" t="s">
        <v>264</v>
      </c>
      <c r="B38" s="87" t="s">
        <v>2623</v>
      </c>
      <c r="C38" s="86">
        <v>23120</v>
      </c>
      <c r="D38" s="86">
        <v>24630</v>
      </c>
      <c r="E38" s="86">
        <v>25030</v>
      </c>
      <c r="F38" s="86">
        <v>7710</v>
      </c>
      <c r="G38" s="94">
        <v>17240</v>
      </c>
      <c r="M38" s="86" t="s">
        <v>2708</v>
      </c>
      <c r="N38" s="86" t="s">
        <v>2748</v>
      </c>
      <c r="O38" s="86" t="s">
        <v>2811</v>
      </c>
      <c r="P38" s="86" t="s">
        <v>2855</v>
      </c>
      <c r="Q38" s="86" t="s">
        <v>2897</v>
      </c>
    </row>
    <row r="39" spans="1:17" ht="14.25" customHeight="1">
      <c r="A39" s="86" t="s">
        <v>264</v>
      </c>
      <c r="B39" s="87" t="s">
        <v>2624</v>
      </c>
      <c r="C39" s="86">
        <v>22330</v>
      </c>
      <c r="D39" s="86">
        <v>21140</v>
      </c>
      <c r="E39" s="86">
        <v>23970</v>
      </c>
      <c r="F39" s="86">
        <v>7940</v>
      </c>
      <c r="G39" s="94">
        <v>14790</v>
      </c>
      <c r="M39" s="86" t="s">
        <v>2709</v>
      </c>
      <c r="N39" s="86" t="s">
        <v>2749</v>
      </c>
      <c r="O39" s="86" t="s">
        <v>3098</v>
      </c>
      <c r="P39" s="86" t="s">
        <v>2856</v>
      </c>
      <c r="Q39" s="86" t="s">
        <v>2898</v>
      </c>
    </row>
    <row r="40" spans="1:17" ht="14.25" customHeight="1">
      <c r="A40" s="86" t="s">
        <v>264</v>
      </c>
      <c r="B40" s="87" t="s">
        <v>2625</v>
      </c>
      <c r="C40" s="86">
        <v>24740</v>
      </c>
      <c r="D40" s="86">
        <v>24690</v>
      </c>
      <c r="E40" s="86">
        <v>22610</v>
      </c>
      <c r="F40" s="86"/>
      <c r="G40" s="94">
        <v>17280</v>
      </c>
      <c r="M40" s="86" t="s">
        <v>2710</v>
      </c>
      <c r="N40" s="86" t="s">
        <v>2750</v>
      </c>
      <c r="O40" s="86" t="s">
        <v>3099</v>
      </c>
      <c r="P40" s="86" t="s">
        <v>2857</v>
      </c>
      <c r="Q40" s="86" t="s">
        <v>2899</v>
      </c>
    </row>
    <row r="41" spans="1:17" ht="14.25" customHeight="1">
      <c r="A41" s="86" t="s">
        <v>264</v>
      </c>
      <c r="B41" s="87" t="s">
        <v>2626</v>
      </c>
      <c r="C41" s="86">
        <v>21220</v>
      </c>
      <c r="D41" s="86">
        <v>21120</v>
      </c>
      <c r="E41" s="86">
        <v>22590</v>
      </c>
      <c r="F41" s="86"/>
      <c r="G41" s="94">
        <v>14780</v>
      </c>
      <c r="M41" s="90" t="s">
        <v>2711</v>
      </c>
      <c r="N41" s="86" t="s">
        <v>2751</v>
      </c>
      <c r="O41" s="86" t="s">
        <v>3100</v>
      </c>
      <c r="P41" s="86" t="s">
        <v>2858</v>
      </c>
      <c r="Q41" s="86" t="s">
        <v>2900</v>
      </c>
    </row>
    <row r="42" spans="1:17" ht="14.25" customHeight="1">
      <c r="A42" s="86" t="s">
        <v>264</v>
      </c>
      <c r="B42" s="87" t="s">
        <v>2627</v>
      </c>
      <c r="C42" s="86">
        <v>24800</v>
      </c>
      <c r="D42" s="86">
        <v>22280</v>
      </c>
      <c r="E42" s="86">
        <v>24350</v>
      </c>
      <c r="F42" s="86"/>
      <c r="G42" s="94">
        <v>15590</v>
      </c>
      <c r="N42" s="86" t="s">
        <v>2752</v>
      </c>
      <c r="O42" s="86" t="s">
        <v>2815</v>
      </c>
      <c r="P42" s="86" t="s">
        <v>2859</v>
      </c>
      <c r="Q42" s="86" t="s">
        <v>2901</v>
      </c>
    </row>
    <row r="43" spans="1:17" ht="14.25" customHeight="1">
      <c r="A43" s="86" t="s">
        <v>264</v>
      </c>
      <c r="B43" s="87" t="s">
        <v>2628</v>
      </c>
      <c r="C43" s="86">
        <v>21210</v>
      </c>
      <c r="D43" s="86">
        <v>21160</v>
      </c>
      <c r="E43" s="86">
        <v>22650</v>
      </c>
      <c r="F43" s="86"/>
      <c r="G43" s="94">
        <v>14800</v>
      </c>
      <c r="N43" s="86" t="s">
        <v>2753</v>
      </c>
      <c r="O43" s="86" t="s">
        <v>2816</v>
      </c>
      <c r="P43" s="86" t="s">
        <v>2860</v>
      </c>
      <c r="Q43" s="86" t="s">
        <v>2902</v>
      </c>
    </row>
    <row r="44" spans="1:17" ht="14.25" customHeight="1">
      <c r="A44" s="86" t="s">
        <v>264</v>
      </c>
      <c r="B44" s="87" t="s">
        <v>2629</v>
      </c>
      <c r="C44" s="86">
        <v>22370</v>
      </c>
      <c r="D44" s="86">
        <v>23140</v>
      </c>
      <c r="E44" s="86">
        <v>25090</v>
      </c>
      <c r="F44" s="86"/>
      <c r="G44" s="94">
        <v>16190</v>
      </c>
      <c r="N44" s="86" t="s">
        <v>2754</v>
      </c>
      <c r="O44" s="86" t="s">
        <v>3101</v>
      </c>
      <c r="P44" s="90" t="s">
        <v>2861</v>
      </c>
      <c r="Q44" s="86" t="s">
        <v>2903</v>
      </c>
    </row>
    <row r="45" spans="1:17" ht="14.25" customHeight="1">
      <c r="A45" s="86" t="s">
        <v>264</v>
      </c>
      <c r="B45" s="87" t="s">
        <v>2630</v>
      </c>
      <c r="C45" s="86">
        <v>21240</v>
      </c>
      <c r="D45" s="86">
        <v>27050</v>
      </c>
      <c r="E45" s="86">
        <v>28000</v>
      </c>
      <c r="F45" s="86"/>
      <c r="G45" s="94">
        <v>18940</v>
      </c>
      <c r="N45" s="86" t="s">
        <v>2755</v>
      </c>
      <c r="O45" s="90" t="s">
        <v>2818</v>
      </c>
      <c r="Q45" s="86" t="s">
        <v>2904</v>
      </c>
    </row>
    <row r="46" spans="1:17" ht="14.25" customHeight="1">
      <c r="A46" s="86" t="s">
        <v>264</v>
      </c>
      <c r="B46" s="87" t="s">
        <v>2631</v>
      </c>
      <c r="C46" s="86">
        <v>23240</v>
      </c>
      <c r="D46" s="86">
        <v>23000</v>
      </c>
      <c r="E46" s="86">
        <v>24980</v>
      </c>
      <c r="F46" s="86"/>
      <c r="G46" s="94">
        <v>16100</v>
      </c>
      <c r="N46" s="86" t="s">
        <v>2756</v>
      </c>
      <c r="Q46" s="86" t="s">
        <v>2905</v>
      </c>
    </row>
    <row r="47" spans="1:17" ht="14.25" customHeight="1">
      <c r="A47" s="86" t="s">
        <v>264</v>
      </c>
      <c r="B47" s="87" t="s">
        <v>2632</v>
      </c>
      <c r="C47" s="86">
        <v>27150</v>
      </c>
      <c r="D47" s="86">
        <v>23310</v>
      </c>
      <c r="E47" s="86">
        <v>25150</v>
      </c>
      <c r="F47" s="86"/>
      <c r="G47" s="94">
        <v>16310</v>
      </c>
      <c r="N47" s="86" t="s">
        <v>2757</v>
      </c>
      <c r="Q47" s="86" t="s">
        <v>2906</v>
      </c>
    </row>
    <row r="48" spans="1:17" ht="14.25" customHeight="1">
      <c r="A48" s="86" t="s">
        <v>264</v>
      </c>
      <c r="B48" s="87" t="s">
        <v>2633</v>
      </c>
      <c r="C48" s="86">
        <v>23100</v>
      </c>
      <c r="D48" s="86">
        <v>21110</v>
      </c>
      <c r="E48" s="86">
        <v>23080</v>
      </c>
      <c r="F48" s="86"/>
      <c r="G48" s="94">
        <v>14780</v>
      </c>
      <c r="N48" s="86" t="s">
        <v>2758</v>
      </c>
      <c r="Q48" s="86" t="s">
        <v>2907</v>
      </c>
    </row>
    <row r="49" spans="1:17" ht="14.25" customHeight="1">
      <c r="A49" s="86" t="s">
        <v>264</v>
      </c>
      <c r="B49" s="87" t="s">
        <v>2634</v>
      </c>
      <c r="C49" s="86">
        <v>23400</v>
      </c>
      <c r="D49" s="86">
        <v>22920</v>
      </c>
      <c r="E49" s="86">
        <v>24900</v>
      </c>
      <c r="F49" s="86"/>
      <c r="G49" s="94">
        <v>16040</v>
      </c>
      <c r="N49" s="86" t="s">
        <v>2759</v>
      </c>
      <c r="Q49" s="86" t="s">
        <v>2908</v>
      </c>
    </row>
    <row r="50" spans="1:17" ht="14.25" customHeight="1">
      <c r="A50" s="86" t="s">
        <v>264</v>
      </c>
      <c r="B50" s="87" t="s">
        <v>2635</v>
      </c>
      <c r="C50" s="86">
        <v>21200</v>
      </c>
      <c r="D50" s="86">
        <v>26540</v>
      </c>
      <c r="E50" s="86">
        <v>23200</v>
      </c>
      <c r="F50" s="86"/>
      <c r="G50" s="94">
        <v>18580</v>
      </c>
      <c r="N50" s="86" t="s">
        <v>2760</v>
      </c>
      <c r="Q50" s="87" t="s">
        <v>2909</v>
      </c>
    </row>
    <row r="51" spans="1:17" ht="14.25" customHeight="1">
      <c r="A51" s="86" t="s">
        <v>264</v>
      </c>
      <c r="B51" s="87" t="s">
        <v>2636</v>
      </c>
      <c r="C51" s="86">
        <v>23000</v>
      </c>
      <c r="D51" s="86">
        <v>23460</v>
      </c>
      <c r="E51" s="86">
        <v>25290</v>
      </c>
      <c r="F51" s="86"/>
      <c r="G51" s="94">
        <v>16420</v>
      </c>
      <c r="N51" s="86" t="s">
        <v>2761</v>
      </c>
      <c r="Q51" s="90" t="s">
        <v>2910</v>
      </c>
    </row>
    <row r="52" spans="1:17" ht="14.25" customHeight="1">
      <c r="A52" s="86" t="s">
        <v>264</v>
      </c>
      <c r="B52" s="87" t="s">
        <v>2637</v>
      </c>
      <c r="C52" s="86">
        <v>26660</v>
      </c>
      <c r="D52" s="86">
        <v>22350</v>
      </c>
      <c r="E52" s="86">
        <v>22920</v>
      </c>
      <c r="F52" s="86"/>
      <c r="G52" s="94">
        <v>15640</v>
      </c>
      <c r="N52" s="86" t="s">
        <v>2762</v>
      </c>
    </row>
    <row r="53" spans="1:17" ht="14.25" customHeight="1">
      <c r="A53" s="86" t="s">
        <v>264</v>
      </c>
      <c r="B53" s="87" t="s">
        <v>2638</v>
      </c>
      <c r="C53" s="86">
        <v>23580</v>
      </c>
      <c r="D53" s="86"/>
      <c r="E53" s="86">
        <v>24280</v>
      </c>
      <c r="F53" s="86"/>
      <c r="G53" s="94"/>
      <c r="N53" s="86" t="s">
        <v>2763</v>
      </c>
    </row>
    <row r="54" spans="1:17" ht="14.25" customHeight="1">
      <c r="A54" s="95" t="s">
        <v>264</v>
      </c>
      <c r="B54" s="89" t="s">
        <v>2639</v>
      </c>
      <c r="C54" s="90">
        <v>22460</v>
      </c>
      <c r="D54" s="90"/>
      <c r="E54" s="90"/>
      <c r="F54" s="90"/>
      <c r="G54" s="96"/>
      <c r="N54" s="86" t="s">
        <v>2764</v>
      </c>
    </row>
    <row r="55" spans="1:17" ht="14.25" customHeight="1">
      <c r="A55" s="84" t="s">
        <v>275</v>
      </c>
      <c r="B55" s="85" t="s">
        <v>2640</v>
      </c>
      <c r="C55" s="86">
        <v>21970</v>
      </c>
      <c r="D55" s="86">
        <v>20370</v>
      </c>
      <c r="E55" s="86">
        <v>20180</v>
      </c>
      <c r="F55" s="86">
        <v>5730</v>
      </c>
      <c r="G55" s="86">
        <v>13820</v>
      </c>
      <c r="N55" s="86" t="s">
        <v>2765</v>
      </c>
    </row>
    <row r="56" spans="1:17" ht="14.25" customHeight="1">
      <c r="A56" s="86" t="s">
        <v>275</v>
      </c>
      <c r="B56" s="86" t="s">
        <v>2641</v>
      </c>
      <c r="C56" s="86">
        <v>20470</v>
      </c>
      <c r="D56" s="86">
        <v>20700</v>
      </c>
      <c r="E56" s="86">
        <v>20380</v>
      </c>
      <c r="F56" s="86">
        <v>4760</v>
      </c>
      <c r="G56" s="86">
        <v>14050</v>
      </c>
      <c r="N56" s="86" t="s">
        <v>2766</v>
      </c>
    </row>
    <row r="57" spans="1:17" ht="14.25" customHeight="1">
      <c r="A57" s="86" t="s">
        <v>275</v>
      </c>
      <c r="B57" s="86" t="s">
        <v>2642</v>
      </c>
      <c r="C57" s="86">
        <v>20790</v>
      </c>
      <c r="D57" s="86">
        <v>21370</v>
      </c>
      <c r="E57" s="86">
        <v>20890</v>
      </c>
      <c r="F57" s="86">
        <v>4910</v>
      </c>
      <c r="G57" s="86">
        <v>14510</v>
      </c>
      <c r="N57" s="86" t="s">
        <v>2767</v>
      </c>
    </row>
    <row r="58" spans="1:17" ht="14.25" customHeight="1">
      <c r="A58" s="86" t="s">
        <v>275</v>
      </c>
      <c r="B58" s="86" t="s">
        <v>2643</v>
      </c>
      <c r="C58" s="86">
        <v>21460</v>
      </c>
      <c r="D58" s="86">
        <v>20920</v>
      </c>
      <c r="E58" s="86">
        <v>23410</v>
      </c>
      <c r="F58" s="86">
        <v>5100</v>
      </c>
      <c r="G58" s="86">
        <v>14200</v>
      </c>
      <c r="N58" s="86" t="s">
        <v>2768</v>
      </c>
    </row>
    <row r="59" spans="1:17" ht="14.25" customHeight="1">
      <c r="A59" s="86" t="s">
        <v>275</v>
      </c>
      <c r="B59" s="86" t="s">
        <v>2644</v>
      </c>
      <c r="C59" s="86">
        <v>21000</v>
      </c>
      <c r="D59" s="86">
        <v>21550</v>
      </c>
      <c r="E59" s="86">
        <v>21150</v>
      </c>
      <c r="F59" s="86">
        <v>5250</v>
      </c>
      <c r="G59" s="86">
        <v>14630</v>
      </c>
      <c r="N59" s="86" t="s">
        <v>2769</v>
      </c>
    </row>
    <row r="60" spans="1:17" ht="14.25" customHeight="1">
      <c r="A60" s="86" t="s">
        <v>275</v>
      </c>
      <c r="B60" s="86" t="s">
        <v>2645</v>
      </c>
      <c r="C60" s="86">
        <v>21640</v>
      </c>
      <c r="D60" s="86">
        <v>21260</v>
      </c>
      <c r="E60" s="86">
        <v>24040</v>
      </c>
      <c r="F60" s="86">
        <v>4470</v>
      </c>
      <c r="G60" s="86">
        <v>14430</v>
      </c>
      <c r="N60" s="86" t="s">
        <v>2770</v>
      </c>
    </row>
    <row r="61" spans="1:17" ht="14.25" customHeight="1">
      <c r="A61" s="86" t="s">
        <v>275</v>
      </c>
      <c r="B61" s="86" t="s">
        <v>2646</v>
      </c>
      <c r="C61" s="86">
        <v>21330</v>
      </c>
      <c r="D61" s="86">
        <v>18640</v>
      </c>
      <c r="E61" s="86">
        <v>21190</v>
      </c>
      <c r="F61" s="86">
        <v>4180</v>
      </c>
      <c r="G61" s="86">
        <v>12650</v>
      </c>
      <c r="N61" s="86" t="s">
        <v>2771</v>
      </c>
    </row>
    <row r="62" spans="1:17" ht="14.25" customHeight="1">
      <c r="A62" s="86" t="s">
        <v>275</v>
      </c>
      <c r="B62" s="86" t="s">
        <v>2647</v>
      </c>
      <c r="C62" s="86">
        <v>18710</v>
      </c>
      <c r="D62" s="86">
        <v>19400</v>
      </c>
      <c r="E62" s="86">
        <v>23750</v>
      </c>
      <c r="F62" s="86">
        <v>4860</v>
      </c>
      <c r="G62" s="86">
        <v>13170</v>
      </c>
      <c r="N62" s="86" t="s">
        <v>2772</v>
      </c>
    </row>
    <row r="63" spans="1:17" ht="14.25" customHeight="1">
      <c r="A63" s="86" t="s">
        <v>275</v>
      </c>
      <c r="B63" s="86" t="s">
        <v>2648</v>
      </c>
      <c r="C63" s="86">
        <v>19480</v>
      </c>
      <c r="D63" s="86">
        <v>16830</v>
      </c>
      <c r="E63" s="86">
        <v>21590</v>
      </c>
      <c r="F63" s="86">
        <v>4560</v>
      </c>
      <c r="G63" s="86">
        <v>11420</v>
      </c>
      <c r="N63" s="86" t="s">
        <v>2773</v>
      </c>
    </row>
    <row r="64" spans="1:17" ht="14.25" customHeight="1">
      <c r="A64" s="86" t="s">
        <v>275</v>
      </c>
      <c r="B64" s="86" t="s">
        <v>2649</v>
      </c>
      <c r="C64" s="86">
        <v>16920</v>
      </c>
      <c r="D64" s="86">
        <v>19190</v>
      </c>
      <c r="E64" s="86">
        <v>22200</v>
      </c>
      <c r="F64" s="86">
        <v>4390</v>
      </c>
      <c r="G64" s="86">
        <v>13030</v>
      </c>
      <c r="N64" s="90" t="s">
        <v>2774</v>
      </c>
    </row>
    <row r="65" spans="1:7" s="75" customFormat="1" ht="14.25" customHeight="1">
      <c r="A65" s="86" t="s">
        <v>275</v>
      </c>
      <c r="B65" s="86" t="s">
        <v>2650</v>
      </c>
      <c r="C65" s="86">
        <v>19290</v>
      </c>
      <c r="D65" s="86">
        <v>17020</v>
      </c>
      <c r="E65" s="86">
        <v>19880</v>
      </c>
      <c r="F65" s="86">
        <v>4070</v>
      </c>
      <c r="G65" s="86">
        <v>11550</v>
      </c>
    </row>
    <row r="66" spans="1:7" s="75" customFormat="1" ht="14.25" customHeight="1">
      <c r="A66" s="86" t="s">
        <v>275</v>
      </c>
      <c r="B66" s="86" t="s">
        <v>2651</v>
      </c>
      <c r="C66" s="86">
        <v>17090</v>
      </c>
      <c r="D66" s="86">
        <v>18340</v>
      </c>
      <c r="E66" s="86">
        <v>21830</v>
      </c>
      <c r="F66" s="86">
        <v>4690</v>
      </c>
      <c r="G66" s="86">
        <v>12450</v>
      </c>
    </row>
    <row r="67" spans="1:7" s="75" customFormat="1" ht="14.25" customHeight="1">
      <c r="A67" s="86" t="s">
        <v>275</v>
      </c>
      <c r="B67" s="86" t="s">
        <v>2652</v>
      </c>
      <c r="C67" s="86">
        <v>18420</v>
      </c>
      <c r="D67" s="86">
        <v>16360</v>
      </c>
      <c r="E67" s="86">
        <v>20020</v>
      </c>
      <c r="F67" s="86">
        <v>5150</v>
      </c>
      <c r="G67" s="86">
        <v>11110</v>
      </c>
    </row>
    <row r="68" spans="1:7" s="75" customFormat="1" ht="14.25" customHeight="1">
      <c r="A68" s="86" t="s">
        <v>275</v>
      </c>
      <c r="B68" s="86" t="s">
        <v>2653</v>
      </c>
      <c r="C68" s="86">
        <v>16450</v>
      </c>
      <c r="D68" s="86">
        <v>18430</v>
      </c>
      <c r="E68" s="86">
        <v>21010</v>
      </c>
      <c r="F68" s="86">
        <v>4720</v>
      </c>
      <c r="G68" s="86">
        <v>12510</v>
      </c>
    </row>
    <row r="69" spans="1:7" s="75" customFormat="1" ht="14.25" customHeight="1">
      <c r="A69" s="86" t="s">
        <v>275</v>
      </c>
      <c r="B69" s="86" t="s">
        <v>2654</v>
      </c>
      <c r="C69" s="86">
        <v>18510</v>
      </c>
      <c r="D69" s="86">
        <v>16300</v>
      </c>
      <c r="E69" s="86">
        <v>18830</v>
      </c>
      <c r="F69" s="86">
        <v>5400</v>
      </c>
      <c r="G69" s="86">
        <v>11070</v>
      </c>
    </row>
    <row r="70" spans="1:7" s="75" customFormat="1" ht="14.25" customHeight="1">
      <c r="A70" s="86" t="s">
        <v>275</v>
      </c>
      <c r="B70" s="86" t="s">
        <v>2655</v>
      </c>
      <c r="C70" s="86">
        <v>16370</v>
      </c>
      <c r="D70" s="86">
        <v>18620</v>
      </c>
      <c r="E70" s="86">
        <v>21100</v>
      </c>
      <c r="F70" s="86">
        <v>5700</v>
      </c>
      <c r="G70" s="86">
        <v>12640</v>
      </c>
    </row>
    <row r="71" spans="1:7" s="75" customFormat="1" ht="14.25" customHeight="1">
      <c r="A71" s="86" t="s">
        <v>275</v>
      </c>
      <c r="B71" s="86" t="s">
        <v>2656</v>
      </c>
      <c r="C71" s="86">
        <v>18700</v>
      </c>
      <c r="D71" s="86">
        <v>16290</v>
      </c>
      <c r="E71" s="86">
        <v>18760</v>
      </c>
      <c r="F71" s="86">
        <v>4780</v>
      </c>
      <c r="G71" s="86">
        <v>11050</v>
      </c>
    </row>
    <row r="72" spans="1:7" s="75" customFormat="1" ht="14.25" customHeight="1">
      <c r="A72" s="86" t="s">
        <v>275</v>
      </c>
      <c r="B72" s="86" t="s">
        <v>2657</v>
      </c>
      <c r="C72" s="86">
        <v>16340</v>
      </c>
      <c r="D72" s="86">
        <v>17520</v>
      </c>
      <c r="E72" s="86">
        <v>21170</v>
      </c>
      <c r="F72" s="86"/>
      <c r="G72" s="86">
        <v>11900</v>
      </c>
    </row>
    <row r="73" spans="1:7" s="75" customFormat="1" ht="14.25" customHeight="1">
      <c r="A73" s="86" t="s">
        <v>275</v>
      </c>
      <c r="B73" s="86" t="s">
        <v>2658</v>
      </c>
      <c r="C73" s="86">
        <v>17610</v>
      </c>
      <c r="D73" s="86">
        <v>18520</v>
      </c>
      <c r="E73" s="86">
        <v>18720</v>
      </c>
      <c r="F73" s="86"/>
      <c r="G73" s="86">
        <v>12570</v>
      </c>
    </row>
    <row r="74" spans="1:7" s="75" customFormat="1" ht="14.25" customHeight="1">
      <c r="A74" s="86" t="s">
        <v>275</v>
      </c>
      <c r="B74" s="86" t="s">
        <v>2659</v>
      </c>
      <c r="C74" s="86">
        <v>18600</v>
      </c>
      <c r="D74" s="86">
        <v>16480</v>
      </c>
      <c r="E74" s="86">
        <v>20100</v>
      </c>
      <c r="F74" s="86"/>
      <c r="G74" s="86">
        <v>11190</v>
      </c>
    </row>
    <row r="75" spans="1:7" s="75" customFormat="1" ht="14.25" customHeight="1">
      <c r="A75" s="86" t="s">
        <v>275</v>
      </c>
      <c r="B75" s="86" t="s">
        <v>2660</v>
      </c>
      <c r="C75" s="86">
        <v>16570</v>
      </c>
      <c r="D75" s="86">
        <v>17530</v>
      </c>
      <c r="E75" s="86">
        <v>21030</v>
      </c>
      <c r="F75" s="86"/>
      <c r="G75" s="86">
        <v>11900</v>
      </c>
    </row>
    <row r="76" spans="1:7" s="75" customFormat="1" ht="14.25" customHeight="1">
      <c r="A76" s="86" t="s">
        <v>275</v>
      </c>
      <c r="B76" s="86" t="s">
        <v>2661</v>
      </c>
      <c r="C76" s="86">
        <v>17610</v>
      </c>
      <c r="D76" s="86">
        <v>20800</v>
      </c>
      <c r="E76" s="86">
        <v>18920</v>
      </c>
      <c r="F76" s="86"/>
      <c r="G76" s="86">
        <v>14120</v>
      </c>
    </row>
    <row r="77" spans="1:7" s="75" customFormat="1" ht="14.25" customHeight="1">
      <c r="A77" s="86" t="s">
        <v>275</v>
      </c>
      <c r="B77" s="86" t="s">
        <v>2662</v>
      </c>
      <c r="C77" s="86">
        <v>20890</v>
      </c>
      <c r="D77" s="86">
        <v>19740</v>
      </c>
      <c r="E77" s="86">
        <v>20110</v>
      </c>
      <c r="F77" s="86"/>
      <c r="G77" s="86">
        <v>13400</v>
      </c>
    </row>
    <row r="78" spans="1:7" s="75" customFormat="1" ht="14.25" customHeight="1">
      <c r="A78" s="86" t="s">
        <v>275</v>
      </c>
      <c r="B78" s="86" t="s">
        <v>2663</v>
      </c>
      <c r="C78" s="86">
        <v>19820</v>
      </c>
      <c r="D78" s="86">
        <v>19780</v>
      </c>
      <c r="E78" s="86">
        <v>18560</v>
      </c>
      <c r="F78" s="86"/>
      <c r="G78" s="86">
        <v>13430</v>
      </c>
    </row>
    <row r="79" spans="1:7" s="75" customFormat="1" ht="14.25" customHeight="1">
      <c r="A79" s="86" t="s">
        <v>275</v>
      </c>
      <c r="B79" s="86" t="s">
        <v>2664</v>
      </c>
      <c r="C79" s="86">
        <v>21660</v>
      </c>
      <c r="D79" s="86">
        <v>18000</v>
      </c>
      <c r="E79" s="86">
        <v>22570</v>
      </c>
      <c r="F79" s="86"/>
      <c r="G79" s="86">
        <v>12220</v>
      </c>
    </row>
    <row r="80" spans="1:7" s="75" customFormat="1" ht="14.25" customHeight="1">
      <c r="A80" s="86" t="s">
        <v>275</v>
      </c>
      <c r="B80" s="86" t="s">
        <v>2665</v>
      </c>
      <c r="C80" s="86">
        <v>19850</v>
      </c>
      <c r="D80" s="86"/>
      <c r="E80" s="86">
        <v>21700</v>
      </c>
      <c r="F80" s="86"/>
      <c r="G80" s="86"/>
    </row>
    <row r="81" spans="1:7" s="75" customFormat="1" ht="14.25" customHeight="1">
      <c r="A81" s="86" t="s">
        <v>275</v>
      </c>
      <c r="B81" s="86" t="s">
        <v>2666</v>
      </c>
      <c r="C81" s="86">
        <v>18080</v>
      </c>
      <c r="D81" s="86"/>
      <c r="E81" s="86">
        <v>20900</v>
      </c>
      <c r="F81" s="86"/>
      <c r="G81" s="86"/>
    </row>
    <row r="82" spans="1:7" s="75" customFormat="1" ht="14.25" customHeight="1">
      <c r="A82" s="86" t="s">
        <v>275</v>
      </c>
      <c r="B82" s="86" t="s">
        <v>2667</v>
      </c>
      <c r="C82" s="86"/>
      <c r="D82" s="86"/>
      <c r="E82" s="86">
        <v>20840</v>
      </c>
      <c r="F82" s="86"/>
      <c r="G82" s="86"/>
    </row>
    <row r="83" spans="1:7" s="75" customFormat="1" ht="14.25" customHeight="1">
      <c r="A83" s="86" t="s">
        <v>275</v>
      </c>
      <c r="B83" s="86" t="s">
        <v>2668</v>
      </c>
      <c r="C83" s="86"/>
      <c r="D83" s="86"/>
      <c r="E83" s="86"/>
      <c r="F83" s="86">
        <v>4770</v>
      </c>
      <c r="G83" s="86"/>
    </row>
    <row r="84" spans="1:7" s="75" customFormat="1" ht="14.25" customHeight="1">
      <c r="A84" s="86" t="s">
        <v>275</v>
      </c>
      <c r="B84" s="86" t="s">
        <v>2669</v>
      </c>
      <c r="C84" s="86"/>
      <c r="D84" s="86"/>
      <c r="E84" s="86"/>
      <c r="F84" s="86">
        <v>4600</v>
      </c>
      <c r="G84" s="86"/>
    </row>
    <row r="85" spans="1:7" s="75" customFormat="1" ht="14.25" customHeight="1">
      <c r="A85" s="86" t="s">
        <v>275</v>
      </c>
      <c r="B85" s="86" t="s">
        <v>2670</v>
      </c>
      <c r="C85" s="86"/>
      <c r="D85" s="86"/>
      <c r="E85" s="86"/>
      <c r="F85" s="86">
        <v>4680</v>
      </c>
      <c r="G85" s="86"/>
    </row>
    <row r="86" spans="1:7" s="75" customFormat="1" ht="14.25" customHeight="1">
      <c r="A86" s="88" t="s">
        <v>275</v>
      </c>
      <c r="B86" s="91" t="s">
        <v>2671</v>
      </c>
      <c r="C86" s="92">
        <v>16610</v>
      </c>
      <c r="D86" s="92">
        <v>16540</v>
      </c>
      <c r="E86" s="92">
        <v>18850</v>
      </c>
      <c r="F86" s="92"/>
      <c r="G86" s="92">
        <v>11220</v>
      </c>
    </row>
    <row r="87" spans="1:7" s="75" customFormat="1" ht="14.25" customHeight="1">
      <c r="A87" s="84" t="s">
        <v>286</v>
      </c>
      <c r="B87" s="85" t="s">
        <v>2672</v>
      </c>
      <c r="C87" s="85">
        <v>15240</v>
      </c>
      <c r="D87" s="85">
        <v>15170</v>
      </c>
      <c r="E87" s="85">
        <v>18260</v>
      </c>
      <c r="F87" s="85">
        <v>3830</v>
      </c>
      <c r="G87" s="93">
        <v>10020</v>
      </c>
    </row>
    <row r="88" spans="1:7" s="75" customFormat="1" ht="14.25" customHeight="1">
      <c r="A88" s="86" t="s">
        <v>286</v>
      </c>
      <c r="B88" s="86" t="s">
        <v>2673</v>
      </c>
      <c r="C88" s="86">
        <v>17310</v>
      </c>
      <c r="D88" s="86">
        <v>17220</v>
      </c>
      <c r="E88" s="86">
        <v>18610</v>
      </c>
      <c r="F88" s="86">
        <v>3990</v>
      </c>
      <c r="G88" s="94">
        <v>11380</v>
      </c>
    </row>
    <row r="89" spans="1:7" s="75" customFormat="1" ht="14.25" customHeight="1">
      <c r="A89" s="86" t="s">
        <v>286</v>
      </c>
      <c r="B89" s="86" t="s">
        <v>2674</v>
      </c>
      <c r="C89" s="86">
        <v>15600</v>
      </c>
      <c r="D89" s="86">
        <v>15550</v>
      </c>
      <c r="E89" s="86">
        <v>19200</v>
      </c>
      <c r="F89" s="86">
        <v>4110</v>
      </c>
      <c r="G89" s="94">
        <v>10270</v>
      </c>
    </row>
    <row r="90" spans="1:7" s="75" customFormat="1" ht="14.25" customHeight="1">
      <c r="A90" s="86" t="s">
        <v>286</v>
      </c>
      <c r="B90" s="86" t="s">
        <v>2675</v>
      </c>
      <c r="C90" s="86">
        <v>17330</v>
      </c>
      <c r="D90" s="86">
        <v>17240</v>
      </c>
      <c r="E90" s="86">
        <v>18570</v>
      </c>
      <c r="F90" s="86">
        <v>4070</v>
      </c>
      <c r="G90" s="94">
        <v>11390</v>
      </c>
    </row>
    <row r="91" spans="1:7" s="75" customFormat="1" ht="14.25" customHeight="1">
      <c r="A91" s="86" t="s">
        <v>286</v>
      </c>
      <c r="B91" s="86" t="s">
        <v>2676</v>
      </c>
      <c r="C91" s="86">
        <v>16330</v>
      </c>
      <c r="D91" s="86">
        <v>16260</v>
      </c>
      <c r="E91" s="86">
        <v>16800</v>
      </c>
      <c r="F91" s="86">
        <v>3410</v>
      </c>
      <c r="G91" s="94">
        <v>10740</v>
      </c>
    </row>
    <row r="92" spans="1:7" s="75" customFormat="1" ht="14.25" customHeight="1">
      <c r="A92" s="86" t="s">
        <v>286</v>
      </c>
      <c r="B92" s="86" t="s">
        <v>2677</v>
      </c>
      <c r="C92" s="86">
        <v>15570</v>
      </c>
      <c r="D92" s="86">
        <v>15500</v>
      </c>
      <c r="E92" s="86">
        <v>17360</v>
      </c>
      <c r="F92" s="86">
        <v>3510</v>
      </c>
      <c r="G92" s="94">
        <v>10240</v>
      </c>
    </row>
    <row r="93" spans="1:7" s="75" customFormat="1" ht="14.25" customHeight="1">
      <c r="A93" s="86" t="s">
        <v>286</v>
      </c>
      <c r="B93" s="86" t="s">
        <v>2678</v>
      </c>
      <c r="C93" s="86">
        <v>14000</v>
      </c>
      <c r="D93" s="86">
        <v>13930</v>
      </c>
      <c r="E93" s="86">
        <v>18200</v>
      </c>
      <c r="F93" s="86">
        <v>3640</v>
      </c>
      <c r="G93" s="94">
        <v>9210</v>
      </c>
    </row>
    <row r="94" spans="1:7" s="75" customFormat="1" ht="14.25" customHeight="1">
      <c r="A94" s="86" t="s">
        <v>286</v>
      </c>
      <c r="B94" s="86" t="s">
        <v>2679</v>
      </c>
      <c r="C94" s="86">
        <v>14530</v>
      </c>
      <c r="D94" s="86">
        <v>14470</v>
      </c>
      <c r="E94" s="86">
        <v>18240</v>
      </c>
      <c r="F94" s="86">
        <v>3180</v>
      </c>
      <c r="G94" s="94">
        <v>9560</v>
      </c>
    </row>
    <row r="95" spans="1:7" s="75" customFormat="1" ht="14.25" customHeight="1">
      <c r="A95" s="86" t="s">
        <v>286</v>
      </c>
      <c r="B95" s="86" t="s">
        <v>2680</v>
      </c>
      <c r="C95" s="86">
        <v>17330</v>
      </c>
      <c r="D95" s="86">
        <v>17260</v>
      </c>
      <c r="E95" s="86">
        <v>18420</v>
      </c>
      <c r="F95" s="86">
        <v>3060</v>
      </c>
      <c r="G95" s="94">
        <v>11410</v>
      </c>
    </row>
    <row r="96" spans="1:7" s="75" customFormat="1" ht="14.25" customHeight="1">
      <c r="A96" s="86" t="s">
        <v>286</v>
      </c>
      <c r="B96" s="86" t="s">
        <v>2681</v>
      </c>
      <c r="C96" s="86">
        <v>15030</v>
      </c>
      <c r="D96" s="86">
        <v>14970</v>
      </c>
      <c r="E96" s="86">
        <v>17580</v>
      </c>
      <c r="F96" s="86">
        <v>2970</v>
      </c>
      <c r="G96" s="94">
        <v>9890</v>
      </c>
    </row>
    <row r="97" spans="1:7" s="75" customFormat="1" ht="14.25" customHeight="1">
      <c r="A97" s="86" t="s">
        <v>286</v>
      </c>
      <c r="B97" s="86" t="s">
        <v>2682</v>
      </c>
      <c r="C97" s="86">
        <v>17400</v>
      </c>
      <c r="D97" s="86">
        <v>17330</v>
      </c>
      <c r="E97" s="86">
        <v>16430</v>
      </c>
      <c r="F97" s="86">
        <v>2950</v>
      </c>
      <c r="G97" s="94">
        <v>11450</v>
      </c>
    </row>
    <row r="98" spans="1:7" s="75" customFormat="1" ht="14.25" customHeight="1">
      <c r="A98" s="86" t="s">
        <v>286</v>
      </c>
      <c r="B98" s="86" t="s">
        <v>2683</v>
      </c>
      <c r="C98" s="86">
        <v>15200</v>
      </c>
      <c r="D98" s="86">
        <v>15120</v>
      </c>
      <c r="E98" s="86">
        <v>17550</v>
      </c>
      <c r="F98" s="86">
        <v>3080</v>
      </c>
      <c r="G98" s="94">
        <v>9990</v>
      </c>
    </row>
    <row r="99" spans="1:7" s="75" customFormat="1" ht="14.25" customHeight="1">
      <c r="A99" s="86" t="s">
        <v>286</v>
      </c>
      <c r="B99" s="86" t="s">
        <v>2684</v>
      </c>
      <c r="C99" s="86">
        <v>17520</v>
      </c>
      <c r="D99" s="86">
        <v>17430</v>
      </c>
      <c r="E99" s="86">
        <v>16350</v>
      </c>
      <c r="F99" s="86">
        <v>3260</v>
      </c>
      <c r="G99" s="94">
        <v>11510</v>
      </c>
    </row>
    <row r="100" spans="1:7" s="75" customFormat="1" ht="14.25" customHeight="1">
      <c r="A100" s="86" t="s">
        <v>286</v>
      </c>
      <c r="B100" s="86" t="s">
        <v>2685</v>
      </c>
      <c r="C100" s="86">
        <v>15340</v>
      </c>
      <c r="D100" s="86">
        <v>15260</v>
      </c>
      <c r="E100" s="86">
        <v>15930</v>
      </c>
      <c r="F100" s="86">
        <v>2740</v>
      </c>
      <c r="G100" s="94">
        <v>10080</v>
      </c>
    </row>
    <row r="101" spans="1:7" s="75" customFormat="1" ht="14.25" customHeight="1">
      <c r="A101" s="86" t="s">
        <v>286</v>
      </c>
      <c r="B101" s="86" t="s">
        <v>2686</v>
      </c>
      <c r="C101" s="86">
        <v>14620</v>
      </c>
      <c r="D101" s="86">
        <v>14560</v>
      </c>
      <c r="E101" s="86">
        <v>15570</v>
      </c>
      <c r="F101" s="86">
        <v>3500</v>
      </c>
      <c r="G101" s="94">
        <v>9630</v>
      </c>
    </row>
    <row r="102" spans="1:7" s="75" customFormat="1" ht="14.25" customHeight="1">
      <c r="A102" s="86" t="s">
        <v>286</v>
      </c>
      <c r="B102" s="86" t="s">
        <v>2687</v>
      </c>
      <c r="C102" s="86">
        <v>13680</v>
      </c>
      <c r="D102" s="86">
        <v>13610</v>
      </c>
      <c r="E102" s="86">
        <v>15690</v>
      </c>
      <c r="F102" s="86">
        <v>2870</v>
      </c>
      <c r="G102" s="94">
        <v>8990</v>
      </c>
    </row>
    <row r="103" spans="1:7" s="75" customFormat="1" ht="14.25" customHeight="1">
      <c r="A103" s="86" t="s">
        <v>286</v>
      </c>
      <c r="B103" s="86" t="s">
        <v>2688</v>
      </c>
      <c r="C103" s="86">
        <v>14620</v>
      </c>
      <c r="D103" s="86">
        <v>14540</v>
      </c>
      <c r="E103" s="86">
        <v>15240</v>
      </c>
      <c r="F103" s="86">
        <v>2840</v>
      </c>
      <c r="G103" s="94">
        <v>9610</v>
      </c>
    </row>
    <row r="104" spans="1:7" s="75" customFormat="1" ht="14.25" customHeight="1">
      <c r="A104" s="86" t="s">
        <v>286</v>
      </c>
      <c r="B104" s="86" t="s">
        <v>2689</v>
      </c>
      <c r="C104" s="86">
        <v>13610</v>
      </c>
      <c r="D104" s="86">
        <v>13540</v>
      </c>
      <c r="E104" s="86">
        <v>15750</v>
      </c>
      <c r="F104" s="86">
        <v>2770</v>
      </c>
      <c r="G104" s="94">
        <v>8940</v>
      </c>
    </row>
    <row r="105" spans="1:7" s="75" customFormat="1" ht="14.25" customHeight="1">
      <c r="A105" s="86" t="s">
        <v>286</v>
      </c>
      <c r="B105" s="86" t="s">
        <v>2690</v>
      </c>
      <c r="C105" s="86">
        <v>13310</v>
      </c>
      <c r="D105" s="86">
        <v>13240</v>
      </c>
      <c r="E105" s="86">
        <v>16280</v>
      </c>
      <c r="F105" s="86">
        <v>3210</v>
      </c>
      <c r="G105" s="94">
        <v>8750</v>
      </c>
    </row>
    <row r="106" spans="1:7" s="75" customFormat="1" ht="14.25" customHeight="1">
      <c r="A106" s="86" t="s">
        <v>286</v>
      </c>
      <c r="B106" s="86" t="s">
        <v>2691</v>
      </c>
      <c r="C106" s="86">
        <v>13010</v>
      </c>
      <c r="D106" s="86">
        <v>12930</v>
      </c>
      <c r="E106" s="86">
        <v>14960</v>
      </c>
      <c r="F106" s="86">
        <v>3530</v>
      </c>
      <c r="G106" s="94">
        <v>8550</v>
      </c>
    </row>
    <row r="107" spans="1:7" s="75" customFormat="1" ht="14.25" customHeight="1">
      <c r="A107" s="86" t="s">
        <v>286</v>
      </c>
      <c r="B107" s="86" t="s">
        <v>2692</v>
      </c>
      <c r="C107" s="86">
        <v>13070</v>
      </c>
      <c r="D107" s="86">
        <v>13000</v>
      </c>
      <c r="E107" s="86">
        <v>15910</v>
      </c>
      <c r="F107" s="86">
        <v>3990</v>
      </c>
      <c r="G107" s="94">
        <v>8580</v>
      </c>
    </row>
    <row r="108" spans="1:7" s="75" customFormat="1" ht="14.25" customHeight="1">
      <c r="A108" s="86" t="s">
        <v>286</v>
      </c>
      <c r="B108" s="86" t="s">
        <v>2693</v>
      </c>
      <c r="C108" s="86">
        <v>12640</v>
      </c>
      <c r="D108" s="86">
        <v>12580</v>
      </c>
      <c r="E108" s="86">
        <v>15730</v>
      </c>
      <c r="F108" s="86"/>
      <c r="G108" s="94">
        <v>8310</v>
      </c>
    </row>
    <row r="109" spans="1:7" s="75" customFormat="1" ht="14.25" customHeight="1">
      <c r="A109" s="86" t="s">
        <v>286</v>
      </c>
      <c r="B109" s="86" t="s">
        <v>2694</v>
      </c>
      <c r="C109" s="86">
        <v>13130</v>
      </c>
      <c r="D109" s="86">
        <v>13070</v>
      </c>
      <c r="E109" s="86">
        <v>15000</v>
      </c>
      <c r="F109" s="86"/>
      <c r="G109" s="94">
        <v>8630</v>
      </c>
    </row>
    <row r="110" spans="1:7" s="75" customFormat="1" ht="14.25" customHeight="1">
      <c r="A110" s="86" t="s">
        <v>286</v>
      </c>
      <c r="B110" s="86" t="s">
        <v>2695</v>
      </c>
      <c r="C110" s="86">
        <v>13560</v>
      </c>
      <c r="D110" s="86">
        <v>13490</v>
      </c>
      <c r="E110" s="86">
        <v>16300</v>
      </c>
      <c r="F110" s="86"/>
      <c r="G110" s="94">
        <v>8920</v>
      </c>
    </row>
    <row r="111" spans="1:7" s="75" customFormat="1" ht="14.25" customHeight="1">
      <c r="A111" s="86" t="s">
        <v>286</v>
      </c>
      <c r="B111" s="86" t="s">
        <v>2696</v>
      </c>
      <c r="C111" s="86">
        <v>12440</v>
      </c>
      <c r="D111" s="86">
        <v>12380</v>
      </c>
      <c r="E111" s="86">
        <v>17850</v>
      </c>
      <c r="F111" s="86"/>
      <c r="G111" s="94">
        <v>8180</v>
      </c>
    </row>
    <row r="112" spans="1:7" s="75" customFormat="1" ht="14.25" customHeight="1">
      <c r="A112" s="86" t="s">
        <v>286</v>
      </c>
      <c r="B112" s="86" t="s">
        <v>2697</v>
      </c>
      <c r="C112" s="86">
        <v>13260</v>
      </c>
      <c r="D112" s="86">
        <v>13180</v>
      </c>
      <c r="E112" s="86">
        <v>19740</v>
      </c>
      <c r="F112" s="86"/>
      <c r="G112" s="94">
        <v>8710</v>
      </c>
    </row>
    <row r="113" spans="1:7" s="75" customFormat="1" ht="14.25" customHeight="1">
      <c r="A113" s="86" t="s">
        <v>286</v>
      </c>
      <c r="B113" s="86" t="s">
        <v>2698</v>
      </c>
      <c r="C113" s="86">
        <v>15520</v>
      </c>
      <c r="D113" s="86">
        <v>15450</v>
      </c>
      <c r="E113" s="86"/>
      <c r="F113" s="86"/>
      <c r="G113" s="94">
        <v>10210</v>
      </c>
    </row>
    <row r="114" spans="1:7" s="75" customFormat="1" ht="14.25" customHeight="1">
      <c r="A114" s="86" t="s">
        <v>286</v>
      </c>
      <c r="B114" s="86" t="s">
        <v>2699</v>
      </c>
      <c r="C114" s="86">
        <v>13110</v>
      </c>
      <c r="D114" s="86">
        <v>13050</v>
      </c>
      <c r="E114" s="86"/>
      <c r="F114" s="86"/>
      <c r="G114" s="94">
        <v>8620</v>
      </c>
    </row>
    <row r="115" spans="1:7" s="75" customFormat="1" ht="14.25" customHeight="1">
      <c r="A115" s="86" t="s">
        <v>286</v>
      </c>
      <c r="B115" s="86" t="s">
        <v>2700</v>
      </c>
      <c r="C115" s="86">
        <v>12460</v>
      </c>
      <c r="D115" s="86">
        <v>12390</v>
      </c>
      <c r="E115" s="86"/>
      <c r="F115" s="86"/>
      <c r="G115" s="94">
        <v>8190</v>
      </c>
    </row>
    <row r="116" spans="1:7" s="75" customFormat="1" ht="14.25" customHeight="1">
      <c r="A116" s="86" t="s">
        <v>286</v>
      </c>
      <c r="B116" s="86" t="s">
        <v>2701</v>
      </c>
      <c r="C116" s="86">
        <v>13580</v>
      </c>
      <c r="D116" s="86">
        <v>13520</v>
      </c>
      <c r="E116" s="86"/>
      <c r="F116" s="86"/>
      <c r="G116" s="94">
        <v>8930</v>
      </c>
    </row>
    <row r="117" spans="1:7" s="75" customFormat="1" ht="14.25" customHeight="1">
      <c r="A117" s="86" t="s">
        <v>286</v>
      </c>
      <c r="B117" s="86" t="s">
        <v>2702</v>
      </c>
      <c r="C117" s="86">
        <v>17120</v>
      </c>
      <c r="D117" s="86">
        <v>17040</v>
      </c>
      <c r="E117" s="86"/>
      <c r="F117" s="86"/>
      <c r="G117" s="94">
        <v>11260</v>
      </c>
    </row>
    <row r="118" spans="1:7" s="75" customFormat="1" ht="14.25" customHeight="1">
      <c r="A118" s="86" t="s">
        <v>286</v>
      </c>
      <c r="B118" s="86" t="s">
        <v>2703</v>
      </c>
      <c r="C118" s="86">
        <v>14860</v>
      </c>
      <c r="D118" s="86">
        <v>14790</v>
      </c>
      <c r="E118" s="86"/>
      <c r="F118" s="86"/>
      <c r="G118" s="94">
        <v>9780</v>
      </c>
    </row>
    <row r="119" spans="1:7" s="75" customFormat="1" ht="14.25" customHeight="1">
      <c r="A119" s="86" t="s">
        <v>286</v>
      </c>
      <c r="B119" s="86" t="s">
        <v>2704</v>
      </c>
      <c r="C119" s="86">
        <v>16470</v>
      </c>
      <c r="D119" s="86">
        <v>16400</v>
      </c>
      <c r="E119" s="86"/>
      <c r="F119" s="86"/>
      <c r="G119" s="94">
        <v>10840</v>
      </c>
    </row>
    <row r="120" spans="1:7" s="75" customFormat="1" ht="14.25" customHeight="1">
      <c r="A120" s="86" t="s">
        <v>286</v>
      </c>
      <c r="B120" s="86" t="s">
        <v>2705</v>
      </c>
      <c r="C120" s="86"/>
      <c r="D120" s="86"/>
      <c r="E120" s="86"/>
      <c r="F120" s="86">
        <v>4160</v>
      </c>
      <c r="G120" s="94"/>
    </row>
    <row r="121" spans="1:7" s="75" customFormat="1" ht="14.25" customHeight="1">
      <c r="A121" s="86" t="s">
        <v>286</v>
      </c>
      <c r="B121" s="86" t="s">
        <v>2706</v>
      </c>
      <c r="C121" s="86"/>
      <c r="D121" s="86"/>
      <c r="E121" s="86"/>
      <c r="F121" s="86">
        <v>3880</v>
      </c>
      <c r="G121" s="94"/>
    </row>
    <row r="122" spans="1:7" s="75" customFormat="1" ht="14.25" customHeight="1">
      <c r="A122" s="86" t="s">
        <v>286</v>
      </c>
      <c r="B122" s="86" t="s">
        <v>2707</v>
      </c>
      <c r="C122" s="86">
        <v>13750</v>
      </c>
      <c r="D122" s="86">
        <v>13680</v>
      </c>
      <c r="E122" s="86">
        <v>16460</v>
      </c>
      <c r="F122" s="86">
        <v>2880</v>
      </c>
      <c r="G122" s="94">
        <v>9040</v>
      </c>
    </row>
    <row r="123" spans="1:7" s="75" customFormat="1" ht="14.25" customHeight="1">
      <c r="A123" s="86" t="s">
        <v>286</v>
      </c>
      <c r="B123" s="86" t="s">
        <v>2708</v>
      </c>
      <c r="C123" s="86">
        <v>13590</v>
      </c>
      <c r="D123" s="86">
        <v>13520</v>
      </c>
      <c r="E123" s="86">
        <v>16290</v>
      </c>
      <c r="F123" s="86">
        <v>2790</v>
      </c>
      <c r="G123" s="94">
        <v>8930</v>
      </c>
    </row>
    <row r="124" spans="1:7" s="75" customFormat="1" ht="14.25" customHeight="1">
      <c r="A124" s="86" t="s">
        <v>286</v>
      </c>
      <c r="B124" s="86" t="s">
        <v>2709</v>
      </c>
      <c r="C124" s="86">
        <v>13400</v>
      </c>
      <c r="D124" s="86">
        <v>13320</v>
      </c>
      <c r="E124" s="86">
        <v>16100</v>
      </c>
      <c r="F124" s="86">
        <v>2320</v>
      </c>
      <c r="G124" s="94">
        <v>8800</v>
      </c>
    </row>
    <row r="125" spans="1:7" s="75" customFormat="1" ht="14.25" customHeight="1">
      <c r="A125" s="86" t="s">
        <v>286</v>
      </c>
      <c r="B125" s="86" t="s">
        <v>2710</v>
      </c>
      <c r="C125" s="86">
        <v>12860</v>
      </c>
      <c r="D125" s="86">
        <v>12790</v>
      </c>
      <c r="E125" s="86">
        <v>15370</v>
      </c>
      <c r="F125" s="86">
        <v>2280</v>
      </c>
      <c r="G125" s="94">
        <v>8450</v>
      </c>
    </row>
    <row r="126" spans="1:7" s="75" customFormat="1" ht="14.25" customHeight="1">
      <c r="A126" s="95" t="s">
        <v>286</v>
      </c>
      <c r="B126" s="90" t="s">
        <v>2711</v>
      </c>
      <c r="C126" s="90">
        <v>12960</v>
      </c>
      <c r="D126" s="90">
        <v>12890</v>
      </c>
      <c r="E126" s="90">
        <v>15530</v>
      </c>
      <c r="F126" s="90">
        <v>2910</v>
      </c>
      <c r="G126" s="96">
        <v>8520</v>
      </c>
    </row>
    <row r="127" spans="1:7" s="75" customFormat="1" ht="14.25" customHeight="1">
      <c r="A127" s="84" t="s">
        <v>295</v>
      </c>
      <c r="B127" s="85" t="s">
        <v>2712</v>
      </c>
      <c r="C127" s="86">
        <v>12280</v>
      </c>
      <c r="D127" s="86">
        <v>12250</v>
      </c>
      <c r="E127" s="86">
        <v>15130</v>
      </c>
      <c r="F127" s="86">
        <v>2710</v>
      </c>
      <c r="G127" s="86">
        <v>7870</v>
      </c>
    </row>
    <row r="128" spans="1:7" s="75" customFormat="1" ht="14.25" customHeight="1">
      <c r="A128" s="86" t="s">
        <v>295</v>
      </c>
      <c r="B128" s="86" t="s">
        <v>2713</v>
      </c>
      <c r="C128" s="86">
        <v>13180</v>
      </c>
      <c r="D128" s="86">
        <v>13150</v>
      </c>
      <c r="E128" s="86">
        <v>16190</v>
      </c>
      <c r="F128" s="86">
        <v>2820</v>
      </c>
      <c r="G128" s="86">
        <v>8460</v>
      </c>
    </row>
    <row r="129" spans="1:7" s="75" customFormat="1" ht="14.25" customHeight="1">
      <c r="A129" s="86" t="s">
        <v>295</v>
      </c>
      <c r="B129" s="86" t="s">
        <v>2714</v>
      </c>
      <c r="C129" s="86">
        <v>10950</v>
      </c>
      <c r="D129" s="86">
        <v>10920</v>
      </c>
      <c r="E129" s="86">
        <v>13820</v>
      </c>
      <c r="F129" s="86">
        <v>2500</v>
      </c>
      <c r="G129" s="86">
        <v>7020</v>
      </c>
    </row>
    <row r="130" spans="1:7" s="75" customFormat="1" ht="14.25" customHeight="1">
      <c r="A130" s="86" t="s">
        <v>295</v>
      </c>
      <c r="B130" s="86" t="s">
        <v>2715</v>
      </c>
      <c r="C130" s="86">
        <v>10910</v>
      </c>
      <c r="D130" s="86">
        <v>10860</v>
      </c>
      <c r="E130" s="86">
        <v>13730</v>
      </c>
      <c r="F130" s="86">
        <v>2760</v>
      </c>
      <c r="G130" s="86">
        <v>6990</v>
      </c>
    </row>
    <row r="131" spans="1:7" s="75" customFormat="1" ht="14.25" customHeight="1">
      <c r="A131" s="86" t="s">
        <v>295</v>
      </c>
      <c r="B131" s="86" t="s">
        <v>2716</v>
      </c>
      <c r="C131" s="86">
        <v>12910</v>
      </c>
      <c r="D131" s="86">
        <v>12870</v>
      </c>
      <c r="E131" s="86">
        <v>15720</v>
      </c>
      <c r="F131" s="86">
        <v>2750</v>
      </c>
      <c r="G131" s="86">
        <v>8280</v>
      </c>
    </row>
    <row r="132" spans="1:7" s="75" customFormat="1" ht="14.25" customHeight="1">
      <c r="A132" s="86" t="s">
        <v>295</v>
      </c>
      <c r="B132" s="86" t="s">
        <v>2717</v>
      </c>
      <c r="C132" s="86">
        <v>11910</v>
      </c>
      <c r="D132" s="86">
        <v>11860</v>
      </c>
      <c r="E132" s="86">
        <v>14730</v>
      </c>
      <c r="F132" s="86">
        <v>2360</v>
      </c>
      <c r="G132" s="86">
        <v>7630</v>
      </c>
    </row>
    <row r="133" spans="1:7" s="75" customFormat="1" ht="14.25" customHeight="1">
      <c r="A133" s="86" t="s">
        <v>295</v>
      </c>
      <c r="B133" s="86" t="s">
        <v>2718</v>
      </c>
      <c r="C133" s="86">
        <v>12270</v>
      </c>
      <c r="D133" s="86">
        <v>12210</v>
      </c>
      <c r="E133" s="86">
        <v>15010</v>
      </c>
      <c r="F133" s="86">
        <v>2580</v>
      </c>
      <c r="G133" s="86">
        <v>7860</v>
      </c>
    </row>
    <row r="134" spans="1:7" s="75" customFormat="1" ht="14.25" customHeight="1">
      <c r="A134" s="86" t="s">
        <v>295</v>
      </c>
      <c r="B134" s="86" t="s">
        <v>2719</v>
      </c>
      <c r="C134" s="86">
        <v>10800</v>
      </c>
      <c r="D134" s="86">
        <v>10780</v>
      </c>
      <c r="E134" s="86">
        <v>13640</v>
      </c>
      <c r="F134" s="86">
        <v>2110</v>
      </c>
      <c r="G134" s="86">
        <v>6930</v>
      </c>
    </row>
    <row r="135" spans="1:7" s="75" customFormat="1" ht="14.25" customHeight="1">
      <c r="A135" s="86" t="s">
        <v>295</v>
      </c>
      <c r="B135" s="86" t="s">
        <v>2720</v>
      </c>
      <c r="C135" s="86">
        <v>10430</v>
      </c>
      <c r="D135" s="86">
        <v>10390</v>
      </c>
      <c r="E135" s="86">
        <v>13140</v>
      </c>
      <c r="F135" s="86">
        <v>2240</v>
      </c>
      <c r="G135" s="86">
        <v>6680</v>
      </c>
    </row>
    <row r="136" spans="1:7" s="75" customFormat="1" ht="14.25" customHeight="1">
      <c r="A136" s="86" t="s">
        <v>295</v>
      </c>
      <c r="B136" s="86" t="s">
        <v>2721</v>
      </c>
      <c r="C136" s="86">
        <v>11930</v>
      </c>
      <c r="D136" s="86">
        <v>11880</v>
      </c>
      <c r="E136" s="86">
        <v>14770</v>
      </c>
      <c r="F136" s="86">
        <v>1970</v>
      </c>
      <c r="G136" s="86">
        <v>7640</v>
      </c>
    </row>
    <row r="137" spans="1:7" s="75" customFormat="1" ht="14.25" customHeight="1">
      <c r="A137" s="86" t="s">
        <v>295</v>
      </c>
      <c r="B137" s="86" t="s">
        <v>2722</v>
      </c>
      <c r="C137" s="86">
        <v>10470</v>
      </c>
      <c r="D137" s="86">
        <v>10430</v>
      </c>
      <c r="E137" s="86">
        <v>13190</v>
      </c>
      <c r="F137" s="86">
        <v>1990</v>
      </c>
      <c r="G137" s="86">
        <v>6710</v>
      </c>
    </row>
    <row r="138" spans="1:7" s="75" customFormat="1" ht="14.25" customHeight="1">
      <c r="A138" s="86" t="s">
        <v>295</v>
      </c>
      <c r="B138" s="86" t="s">
        <v>2723</v>
      </c>
      <c r="C138" s="86">
        <v>10410</v>
      </c>
      <c r="D138" s="86">
        <v>10380</v>
      </c>
      <c r="E138" s="86">
        <v>13130</v>
      </c>
      <c r="F138" s="86">
        <v>2030</v>
      </c>
      <c r="G138" s="86">
        <v>6680</v>
      </c>
    </row>
    <row r="139" spans="1:7" s="75" customFormat="1" ht="14.25" customHeight="1">
      <c r="A139" s="86" t="s">
        <v>295</v>
      </c>
      <c r="B139" s="86" t="s">
        <v>2724</v>
      </c>
      <c r="C139" s="86">
        <v>9460</v>
      </c>
      <c r="D139" s="86">
        <v>9410</v>
      </c>
      <c r="E139" s="86">
        <v>12050</v>
      </c>
      <c r="F139" s="86">
        <v>2140</v>
      </c>
      <c r="G139" s="86">
        <v>6050</v>
      </c>
    </row>
    <row r="140" spans="1:7" s="75" customFormat="1" ht="14.25" customHeight="1">
      <c r="A140" s="86" t="s">
        <v>295</v>
      </c>
      <c r="B140" s="86" t="s">
        <v>2725</v>
      </c>
      <c r="C140" s="86">
        <v>11030</v>
      </c>
      <c r="D140" s="86">
        <v>10980</v>
      </c>
      <c r="E140" s="86">
        <v>13880</v>
      </c>
      <c r="F140" s="86">
        <v>2210</v>
      </c>
      <c r="G140" s="86">
        <v>7060</v>
      </c>
    </row>
    <row r="141" spans="1:7" s="75" customFormat="1" ht="14.25" customHeight="1">
      <c r="A141" s="86" t="s">
        <v>295</v>
      </c>
      <c r="B141" s="86" t="s">
        <v>2726</v>
      </c>
      <c r="C141" s="86">
        <v>11200</v>
      </c>
      <c r="D141" s="86">
        <v>11150</v>
      </c>
      <c r="E141" s="86">
        <v>14100</v>
      </c>
      <c r="F141" s="86">
        <v>2470</v>
      </c>
      <c r="G141" s="86">
        <v>7170</v>
      </c>
    </row>
    <row r="142" spans="1:7" s="75" customFormat="1" ht="14.25" customHeight="1">
      <c r="A142" s="86" t="s">
        <v>295</v>
      </c>
      <c r="B142" s="86" t="s">
        <v>2727</v>
      </c>
      <c r="C142" s="86">
        <v>10780</v>
      </c>
      <c r="D142" s="86">
        <v>10730</v>
      </c>
      <c r="E142" s="86">
        <v>13540</v>
      </c>
      <c r="F142" s="86">
        <v>2280</v>
      </c>
      <c r="G142" s="86">
        <v>6900</v>
      </c>
    </row>
    <row r="143" spans="1:7" s="75" customFormat="1" ht="14.25" customHeight="1">
      <c r="A143" s="86" t="s">
        <v>295</v>
      </c>
      <c r="B143" s="86" t="s">
        <v>2728</v>
      </c>
      <c r="C143" s="86">
        <v>11550</v>
      </c>
      <c r="D143" s="86">
        <v>11490</v>
      </c>
      <c r="E143" s="86">
        <v>14480</v>
      </c>
      <c r="F143" s="86">
        <v>2070</v>
      </c>
      <c r="G143" s="86">
        <v>7390</v>
      </c>
    </row>
    <row r="144" spans="1:7" s="75" customFormat="1" ht="14.25" customHeight="1">
      <c r="A144" s="86" t="s">
        <v>295</v>
      </c>
      <c r="B144" s="86" t="s">
        <v>2729</v>
      </c>
      <c r="C144" s="86">
        <v>10720</v>
      </c>
      <c r="D144" s="86">
        <v>10680</v>
      </c>
      <c r="E144" s="86">
        <v>13480</v>
      </c>
      <c r="F144" s="86">
        <v>2440</v>
      </c>
      <c r="G144" s="86">
        <v>6870</v>
      </c>
    </row>
    <row r="145" spans="1:7" s="75" customFormat="1" ht="14.25" customHeight="1">
      <c r="A145" s="86" t="s">
        <v>295</v>
      </c>
      <c r="B145" s="86" t="s">
        <v>2730</v>
      </c>
      <c r="C145" s="86">
        <v>10340</v>
      </c>
      <c r="D145" s="86">
        <v>10290</v>
      </c>
      <c r="E145" s="86">
        <v>12880</v>
      </c>
      <c r="F145" s="86">
        <v>2650</v>
      </c>
      <c r="G145" s="86">
        <v>6620</v>
      </c>
    </row>
    <row r="146" spans="1:7" s="75" customFormat="1" ht="14.25" customHeight="1">
      <c r="A146" s="86" t="s">
        <v>295</v>
      </c>
      <c r="B146" s="86" t="s">
        <v>2731</v>
      </c>
      <c r="C146" s="86">
        <v>11890</v>
      </c>
      <c r="D146" s="86">
        <v>11830</v>
      </c>
      <c r="E146" s="86">
        <v>14670</v>
      </c>
      <c r="F146" s="86"/>
      <c r="G146" s="86">
        <v>7610</v>
      </c>
    </row>
    <row r="147" spans="1:7" s="75" customFormat="1" ht="14.25" customHeight="1">
      <c r="A147" s="86" t="s">
        <v>295</v>
      </c>
      <c r="B147" s="86" t="s">
        <v>2732</v>
      </c>
      <c r="C147" s="86">
        <v>12650</v>
      </c>
      <c r="D147" s="86">
        <v>12600</v>
      </c>
      <c r="E147" s="86">
        <v>15440</v>
      </c>
      <c r="F147" s="86"/>
      <c r="G147" s="86">
        <v>8110</v>
      </c>
    </row>
    <row r="148" spans="1:7" s="75" customFormat="1" ht="14.25" customHeight="1">
      <c r="A148" s="86" t="s">
        <v>295</v>
      </c>
      <c r="B148" s="86" t="s">
        <v>2733</v>
      </c>
      <c r="C148" s="86">
        <v>10370</v>
      </c>
      <c r="D148" s="86">
        <v>10310</v>
      </c>
      <c r="E148" s="86">
        <v>12970</v>
      </c>
      <c r="F148" s="86"/>
      <c r="G148" s="86">
        <v>6630</v>
      </c>
    </row>
    <row r="149" spans="1:7" s="75" customFormat="1" ht="14.25" customHeight="1">
      <c r="A149" s="86" t="s">
        <v>295</v>
      </c>
      <c r="B149" s="86" t="s">
        <v>2734</v>
      </c>
      <c r="C149" s="86">
        <v>11600</v>
      </c>
      <c r="D149" s="86">
        <v>11560</v>
      </c>
      <c r="E149" s="86">
        <v>14540</v>
      </c>
      <c r="F149" s="86">
        <v>2390</v>
      </c>
      <c r="G149" s="86">
        <v>7430</v>
      </c>
    </row>
    <row r="150" spans="1:7" s="75" customFormat="1" ht="14.25" customHeight="1">
      <c r="A150" s="86" t="s">
        <v>295</v>
      </c>
      <c r="B150" s="86" t="s">
        <v>2735</v>
      </c>
      <c r="C150" s="86">
        <v>9950</v>
      </c>
      <c r="D150" s="86">
        <v>9890</v>
      </c>
      <c r="E150" s="86">
        <v>12590</v>
      </c>
      <c r="F150" s="86">
        <v>1970</v>
      </c>
      <c r="G150" s="86">
        <v>6360</v>
      </c>
    </row>
    <row r="151" spans="1:7" s="75" customFormat="1" ht="14.25" customHeight="1">
      <c r="A151" s="86" t="s">
        <v>295</v>
      </c>
      <c r="B151" s="86" t="s">
        <v>2736</v>
      </c>
      <c r="C151" s="86">
        <v>10700</v>
      </c>
      <c r="D151" s="86">
        <v>10650</v>
      </c>
      <c r="E151" s="86">
        <v>13420</v>
      </c>
      <c r="F151" s="86">
        <v>2020</v>
      </c>
      <c r="G151" s="86">
        <v>6850</v>
      </c>
    </row>
    <row r="152" spans="1:7" s="75" customFormat="1" ht="14.25" customHeight="1">
      <c r="A152" s="86" t="s">
        <v>295</v>
      </c>
      <c r="B152" s="86" t="s">
        <v>2737</v>
      </c>
      <c r="C152" s="86">
        <v>10310</v>
      </c>
      <c r="D152" s="86">
        <v>10260</v>
      </c>
      <c r="E152" s="86">
        <v>12820</v>
      </c>
      <c r="F152" s="86">
        <v>1980</v>
      </c>
      <c r="G152" s="86">
        <v>6600</v>
      </c>
    </row>
    <row r="153" spans="1:7" s="75" customFormat="1" ht="14.25" customHeight="1">
      <c r="A153" s="86" t="s">
        <v>295</v>
      </c>
      <c r="B153" s="86" t="s">
        <v>2738</v>
      </c>
      <c r="C153" s="86">
        <v>10880</v>
      </c>
      <c r="D153" s="86">
        <v>10820</v>
      </c>
      <c r="E153" s="86">
        <v>13660</v>
      </c>
      <c r="F153" s="86">
        <v>2260</v>
      </c>
      <c r="G153" s="86">
        <v>6970</v>
      </c>
    </row>
    <row r="154" spans="1:7" s="75" customFormat="1" ht="14.25" customHeight="1">
      <c r="A154" s="86" t="s">
        <v>295</v>
      </c>
      <c r="B154" s="86" t="s">
        <v>2739</v>
      </c>
      <c r="C154" s="86">
        <v>11220</v>
      </c>
      <c r="D154" s="86">
        <v>11160</v>
      </c>
      <c r="E154" s="86">
        <v>14130</v>
      </c>
      <c r="F154" s="86">
        <v>2230</v>
      </c>
      <c r="G154" s="86">
        <v>7180</v>
      </c>
    </row>
    <row r="155" spans="1:7" s="75" customFormat="1" ht="14.25" customHeight="1">
      <c r="A155" s="86" t="s">
        <v>295</v>
      </c>
      <c r="B155" s="86" t="s">
        <v>2740</v>
      </c>
      <c r="C155" s="86">
        <v>10430</v>
      </c>
      <c r="D155" s="86">
        <v>10380</v>
      </c>
      <c r="E155" s="86">
        <v>13140</v>
      </c>
      <c r="F155" s="86">
        <v>2080</v>
      </c>
      <c r="G155" s="86">
        <v>6650</v>
      </c>
    </row>
    <row r="156" spans="1:7" s="75" customFormat="1" ht="14.25" customHeight="1">
      <c r="A156" s="86" t="s">
        <v>295</v>
      </c>
      <c r="B156" s="86" t="s">
        <v>2741</v>
      </c>
      <c r="C156" s="86">
        <v>10440</v>
      </c>
      <c r="D156" s="86">
        <v>10400</v>
      </c>
      <c r="E156" s="86">
        <v>13150</v>
      </c>
      <c r="F156" s="86">
        <v>2490</v>
      </c>
      <c r="G156" s="86">
        <v>6690</v>
      </c>
    </row>
    <row r="157" spans="1:7" s="75" customFormat="1" ht="14.25" customHeight="1">
      <c r="A157" s="86" t="s">
        <v>295</v>
      </c>
      <c r="B157" s="86" t="s">
        <v>2742</v>
      </c>
      <c r="C157" s="86">
        <v>10970</v>
      </c>
      <c r="D157" s="86">
        <v>10920</v>
      </c>
      <c r="E157" s="86">
        <v>13840</v>
      </c>
      <c r="F157" s="86">
        <v>2420</v>
      </c>
      <c r="G157" s="86">
        <v>7020</v>
      </c>
    </row>
    <row r="158" spans="1:7" s="75" customFormat="1" ht="14.25" customHeight="1">
      <c r="A158" s="86" t="s">
        <v>295</v>
      </c>
      <c r="B158" s="86" t="s">
        <v>2743</v>
      </c>
      <c r="C158" s="86">
        <v>9590</v>
      </c>
      <c r="D158" s="86">
        <v>9540</v>
      </c>
      <c r="E158" s="86">
        <v>12210</v>
      </c>
      <c r="F158" s="86">
        <v>2100</v>
      </c>
      <c r="G158" s="86">
        <v>6130</v>
      </c>
    </row>
    <row r="159" spans="1:7" s="75" customFormat="1" ht="14.25" customHeight="1">
      <c r="A159" s="86" t="s">
        <v>295</v>
      </c>
      <c r="B159" s="86" t="s">
        <v>2744</v>
      </c>
      <c r="C159" s="86">
        <v>11190</v>
      </c>
      <c r="D159" s="86">
        <v>11140</v>
      </c>
      <c r="E159" s="86">
        <v>14090</v>
      </c>
      <c r="F159" s="86">
        <v>2470</v>
      </c>
      <c r="G159" s="86">
        <v>7170</v>
      </c>
    </row>
    <row r="160" spans="1:7" s="75" customFormat="1" ht="14.25" customHeight="1">
      <c r="A160" s="86" t="s">
        <v>295</v>
      </c>
      <c r="B160" s="86" t="s">
        <v>2745</v>
      </c>
      <c r="C160" s="86">
        <v>11180</v>
      </c>
      <c r="D160" s="86">
        <v>11140</v>
      </c>
      <c r="E160" s="86">
        <v>14050</v>
      </c>
      <c r="F160" s="86">
        <v>2270</v>
      </c>
      <c r="G160" s="86">
        <v>7170</v>
      </c>
    </row>
    <row r="161" spans="1:7" s="75" customFormat="1" ht="14.25" customHeight="1">
      <c r="A161" s="86" t="s">
        <v>295</v>
      </c>
      <c r="B161" s="86" t="s">
        <v>2746</v>
      </c>
      <c r="C161" s="86">
        <v>11160</v>
      </c>
      <c r="D161" s="86">
        <v>11120</v>
      </c>
      <c r="E161" s="86">
        <v>14020</v>
      </c>
      <c r="F161" s="86">
        <v>2150</v>
      </c>
      <c r="G161" s="86">
        <v>7160</v>
      </c>
    </row>
    <row r="162" spans="1:7" s="75" customFormat="1" ht="14.25" customHeight="1">
      <c r="A162" s="86" t="s">
        <v>295</v>
      </c>
      <c r="B162" s="86" t="s">
        <v>2747</v>
      </c>
      <c r="C162" s="86">
        <v>9620</v>
      </c>
      <c r="D162" s="86">
        <v>9570</v>
      </c>
      <c r="E162" s="86">
        <v>12320</v>
      </c>
      <c r="F162" s="86">
        <v>2010</v>
      </c>
      <c r="G162" s="86">
        <v>6160</v>
      </c>
    </row>
    <row r="163" spans="1:7" s="75" customFormat="1" ht="14.25" customHeight="1">
      <c r="A163" s="86" t="s">
        <v>295</v>
      </c>
      <c r="B163" s="86" t="s">
        <v>2748</v>
      </c>
      <c r="C163" s="86">
        <v>9320</v>
      </c>
      <c r="D163" s="86">
        <v>9270</v>
      </c>
      <c r="E163" s="86">
        <v>11790</v>
      </c>
      <c r="F163" s="86">
        <v>1920</v>
      </c>
      <c r="G163" s="86">
        <v>5960</v>
      </c>
    </row>
    <row r="164" spans="1:7" s="75" customFormat="1" ht="14.25" customHeight="1">
      <c r="A164" s="86" t="s">
        <v>295</v>
      </c>
      <c r="B164" s="86" t="s">
        <v>2749</v>
      </c>
      <c r="C164" s="86"/>
      <c r="D164" s="86"/>
      <c r="E164" s="86"/>
      <c r="F164" s="86">
        <v>1980</v>
      </c>
      <c r="G164" s="86"/>
    </row>
    <row r="165" spans="1:7" s="75" customFormat="1" ht="14.25" customHeight="1">
      <c r="A165" s="86" t="s">
        <v>295</v>
      </c>
      <c r="B165" s="86" t="s">
        <v>2750</v>
      </c>
      <c r="C165" s="86">
        <v>11060</v>
      </c>
      <c r="D165" s="86">
        <v>11030</v>
      </c>
      <c r="E165" s="86">
        <v>13850</v>
      </c>
      <c r="F165" s="86">
        <v>2170</v>
      </c>
      <c r="G165" s="86">
        <v>7090</v>
      </c>
    </row>
    <row r="166" spans="1:7" s="75" customFormat="1" ht="14.25" customHeight="1">
      <c r="A166" s="86" t="s">
        <v>295</v>
      </c>
      <c r="B166" s="86" t="s">
        <v>2751</v>
      </c>
      <c r="C166" s="86">
        <v>11050</v>
      </c>
      <c r="D166" s="86">
        <v>11010</v>
      </c>
      <c r="E166" s="86">
        <v>13920</v>
      </c>
      <c r="F166" s="86">
        <v>2140</v>
      </c>
      <c r="G166" s="86">
        <v>7080</v>
      </c>
    </row>
    <row r="167" spans="1:7" s="75" customFormat="1" ht="14.25" customHeight="1">
      <c r="A167" s="86" t="s">
        <v>295</v>
      </c>
      <c r="B167" s="86" t="s">
        <v>2752</v>
      </c>
      <c r="C167" s="86">
        <v>10930</v>
      </c>
      <c r="D167" s="86">
        <v>10890</v>
      </c>
      <c r="E167" s="86">
        <v>13790</v>
      </c>
      <c r="F167" s="86">
        <v>2010</v>
      </c>
      <c r="G167" s="86">
        <v>7000</v>
      </c>
    </row>
    <row r="168" spans="1:7" s="75" customFormat="1" ht="14.25" customHeight="1">
      <c r="A168" s="86" t="s">
        <v>295</v>
      </c>
      <c r="B168" s="86" t="s">
        <v>2753</v>
      </c>
      <c r="C168" s="86">
        <v>9420</v>
      </c>
      <c r="D168" s="86">
        <v>9380</v>
      </c>
      <c r="E168" s="86">
        <v>11970</v>
      </c>
      <c r="F168" s="86"/>
      <c r="G168" s="86">
        <v>6040</v>
      </c>
    </row>
    <row r="169" spans="1:7" s="75" customFormat="1" ht="14.25" customHeight="1">
      <c r="A169" s="86" t="s">
        <v>295</v>
      </c>
      <c r="B169" s="86" t="s">
        <v>2754</v>
      </c>
      <c r="C169" s="86"/>
      <c r="D169" s="86"/>
      <c r="E169" s="86"/>
      <c r="F169" s="86">
        <v>2880</v>
      </c>
      <c r="G169" s="86"/>
    </row>
    <row r="170" spans="1:7" s="75" customFormat="1" ht="14.25" customHeight="1">
      <c r="A170" s="86" t="s">
        <v>295</v>
      </c>
      <c r="B170" s="86" t="s">
        <v>2755</v>
      </c>
      <c r="C170" s="86"/>
      <c r="D170" s="86"/>
      <c r="E170" s="86"/>
      <c r="F170" s="86">
        <v>2880</v>
      </c>
      <c r="G170" s="86"/>
    </row>
    <row r="171" spans="1:7" s="75" customFormat="1" ht="14.25" customHeight="1">
      <c r="A171" s="86" t="s">
        <v>295</v>
      </c>
      <c r="B171" s="86" t="s">
        <v>2756</v>
      </c>
      <c r="C171" s="86"/>
      <c r="D171" s="86"/>
      <c r="E171" s="86"/>
      <c r="F171" s="86">
        <v>2880</v>
      </c>
      <c r="G171" s="86"/>
    </row>
    <row r="172" spans="1:7" s="75" customFormat="1" ht="14.25" customHeight="1">
      <c r="A172" s="86" t="s">
        <v>295</v>
      </c>
      <c r="B172" s="86" t="s">
        <v>2757</v>
      </c>
      <c r="C172" s="86"/>
      <c r="D172" s="86"/>
      <c r="E172" s="86"/>
      <c r="F172" s="86">
        <v>2880</v>
      </c>
      <c r="G172" s="86"/>
    </row>
    <row r="173" spans="1:7" s="75" customFormat="1" ht="14.25" customHeight="1">
      <c r="A173" s="86" t="s">
        <v>295</v>
      </c>
      <c r="B173" s="86" t="s">
        <v>2758</v>
      </c>
      <c r="C173" s="86"/>
      <c r="D173" s="86"/>
      <c r="E173" s="86"/>
      <c r="F173" s="86">
        <v>2150</v>
      </c>
      <c r="G173" s="86"/>
    </row>
    <row r="174" spans="1:7" s="75" customFormat="1" ht="14.25" customHeight="1">
      <c r="A174" s="86" t="s">
        <v>295</v>
      </c>
      <c r="B174" s="86" t="s">
        <v>2759</v>
      </c>
      <c r="C174" s="86"/>
      <c r="D174" s="86"/>
      <c r="E174" s="86"/>
      <c r="F174" s="86">
        <v>2030</v>
      </c>
      <c r="G174" s="86"/>
    </row>
    <row r="175" spans="1:7" s="75" customFormat="1" ht="14.25" customHeight="1">
      <c r="A175" s="86" t="s">
        <v>295</v>
      </c>
      <c r="B175" s="86" t="s">
        <v>2760</v>
      </c>
      <c r="C175" s="86"/>
      <c r="D175" s="86"/>
      <c r="E175" s="86"/>
      <c r="F175" s="86">
        <v>2780</v>
      </c>
      <c r="G175" s="86"/>
    </row>
    <row r="176" spans="1:7" s="75" customFormat="1" ht="14.25" customHeight="1">
      <c r="A176" s="86" t="s">
        <v>295</v>
      </c>
      <c r="B176" s="86" t="s">
        <v>2761</v>
      </c>
      <c r="C176" s="86"/>
      <c r="D176" s="86"/>
      <c r="E176" s="86"/>
      <c r="F176" s="86">
        <v>2780</v>
      </c>
      <c r="G176" s="86"/>
    </row>
    <row r="177" spans="1:7" s="75" customFormat="1" ht="14.25" customHeight="1">
      <c r="A177" s="86" t="s">
        <v>295</v>
      </c>
      <c r="B177" s="86" t="s">
        <v>2762</v>
      </c>
      <c r="C177" s="86"/>
      <c r="D177" s="86"/>
      <c r="E177" s="86"/>
      <c r="F177" s="86">
        <v>2780</v>
      </c>
      <c r="G177" s="86"/>
    </row>
    <row r="178" spans="1:7" s="75" customFormat="1" ht="14.25" customHeight="1">
      <c r="A178" s="86" t="s">
        <v>295</v>
      </c>
      <c r="B178" s="86" t="s">
        <v>2763</v>
      </c>
      <c r="C178" s="86"/>
      <c r="D178" s="86"/>
      <c r="E178" s="86"/>
      <c r="F178" s="86">
        <v>2060</v>
      </c>
      <c r="G178" s="86"/>
    </row>
    <row r="179" spans="1:7" s="75" customFormat="1" ht="14.25" customHeight="1">
      <c r="A179" s="86" t="s">
        <v>295</v>
      </c>
      <c r="B179" s="86" t="s">
        <v>2764</v>
      </c>
      <c r="C179" s="86"/>
      <c r="D179" s="86"/>
      <c r="E179" s="86"/>
      <c r="F179" s="86">
        <v>2120</v>
      </c>
      <c r="G179" s="86"/>
    </row>
    <row r="180" spans="1:7" s="75" customFormat="1" ht="14.25" customHeight="1">
      <c r="A180" s="86" t="s">
        <v>295</v>
      </c>
      <c r="B180" s="86" t="s">
        <v>2765</v>
      </c>
      <c r="C180" s="86"/>
      <c r="D180" s="86"/>
      <c r="E180" s="86"/>
      <c r="F180" s="86">
        <v>2340</v>
      </c>
      <c r="G180" s="86"/>
    </row>
    <row r="181" spans="1:7" s="75" customFormat="1" ht="14.25" customHeight="1">
      <c r="A181" s="86" t="s">
        <v>295</v>
      </c>
      <c r="B181" s="86" t="s">
        <v>2766</v>
      </c>
      <c r="C181" s="86"/>
      <c r="D181" s="86"/>
      <c r="E181" s="86"/>
      <c r="F181" s="86">
        <v>2340</v>
      </c>
      <c r="G181" s="86"/>
    </row>
    <row r="182" spans="1:7" s="75" customFormat="1" ht="14.25" customHeight="1">
      <c r="A182" s="86" t="s">
        <v>295</v>
      </c>
      <c r="B182" s="86" t="s">
        <v>2767</v>
      </c>
      <c r="C182" s="86"/>
      <c r="D182" s="86"/>
      <c r="E182" s="86"/>
      <c r="F182" s="86">
        <v>2340</v>
      </c>
      <c r="G182" s="86"/>
    </row>
    <row r="183" spans="1:7" s="75" customFormat="1" ht="14.25" customHeight="1">
      <c r="A183" s="86" t="s">
        <v>295</v>
      </c>
      <c r="B183" s="86" t="s">
        <v>2768</v>
      </c>
      <c r="C183" s="86"/>
      <c r="D183" s="86"/>
      <c r="E183" s="86"/>
      <c r="F183" s="86">
        <v>2340</v>
      </c>
      <c r="G183" s="86"/>
    </row>
    <row r="184" spans="1:7" s="75" customFormat="1" ht="14.25" customHeight="1">
      <c r="A184" s="86" t="s">
        <v>295</v>
      </c>
      <c r="B184" s="86" t="s">
        <v>2769</v>
      </c>
      <c r="C184" s="86"/>
      <c r="D184" s="86"/>
      <c r="E184" s="86"/>
      <c r="F184" s="86">
        <v>2340</v>
      </c>
      <c r="G184" s="86"/>
    </row>
    <row r="185" spans="1:7" s="75" customFormat="1" ht="14.25" customHeight="1">
      <c r="A185" s="86" t="s">
        <v>295</v>
      </c>
      <c r="B185" s="86" t="s">
        <v>2770</v>
      </c>
      <c r="C185" s="86"/>
      <c r="D185" s="86"/>
      <c r="E185" s="86"/>
      <c r="F185" s="86">
        <v>2530</v>
      </c>
      <c r="G185" s="86"/>
    </row>
    <row r="186" spans="1:7" s="75" customFormat="1" ht="14.25" customHeight="1">
      <c r="A186" s="86" t="s">
        <v>295</v>
      </c>
      <c r="B186" s="86" t="s">
        <v>2771</v>
      </c>
      <c r="C186" s="86"/>
      <c r="D186" s="86"/>
      <c r="E186" s="86"/>
      <c r="F186" s="86">
        <v>2550</v>
      </c>
      <c r="G186" s="86"/>
    </row>
    <row r="187" spans="1:7" s="75" customFormat="1" ht="14.25" customHeight="1">
      <c r="A187" s="86" t="s">
        <v>295</v>
      </c>
      <c r="B187" s="86" t="s">
        <v>2772</v>
      </c>
      <c r="C187" s="86"/>
      <c r="D187" s="86"/>
      <c r="E187" s="86"/>
      <c r="F187" s="86">
        <v>2070</v>
      </c>
      <c r="G187" s="86"/>
    </row>
    <row r="188" spans="1:7" s="75" customFormat="1" ht="14.25" customHeight="1">
      <c r="A188" s="86" t="s">
        <v>295</v>
      </c>
      <c r="B188" s="86" t="s">
        <v>2773</v>
      </c>
      <c r="C188" s="86"/>
      <c r="D188" s="86"/>
      <c r="E188" s="86"/>
      <c r="F188" s="86">
        <v>2340</v>
      </c>
      <c r="G188" s="86"/>
    </row>
    <row r="189" spans="1:7" s="75" customFormat="1" ht="14.25" customHeight="1">
      <c r="A189" s="88" t="s">
        <v>295</v>
      </c>
      <c r="B189" s="92" t="s">
        <v>2774</v>
      </c>
      <c r="C189" s="92"/>
      <c r="D189" s="92"/>
      <c r="E189" s="92"/>
      <c r="F189" s="92">
        <v>2050</v>
      </c>
      <c r="G189" s="92"/>
    </row>
    <row r="190" spans="1:7" s="75" customFormat="1" ht="14.25" customHeight="1">
      <c r="A190" s="84" t="s">
        <v>303</v>
      </c>
      <c r="B190" s="85" t="s">
        <v>2775</v>
      </c>
      <c r="C190" s="85">
        <v>8830</v>
      </c>
      <c r="D190" s="85">
        <v>8790</v>
      </c>
      <c r="E190" s="85">
        <v>11630</v>
      </c>
      <c r="F190" s="85">
        <v>1790</v>
      </c>
      <c r="G190" s="93">
        <v>5550</v>
      </c>
    </row>
    <row r="191" spans="1:7" s="75" customFormat="1" ht="14.25" customHeight="1">
      <c r="A191" s="86" t="s">
        <v>303</v>
      </c>
      <c r="B191" s="86" t="s">
        <v>2776</v>
      </c>
      <c r="C191" s="86">
        <v>9780</v>
      </c>
      <c r="D191" s="86">
        <v>9710</v>
      </c>
      <c r="E191" s="86">
        <v>12550</v>
      </c>
      <c r="F191" s="86">
        <v>1980</v>
      </c>
      <c r="G191" s="94">
        <v>6130</v>
      </c>
    </row>
    <row r="192" spans="1:7" s="75" customFormat="1" ht="14.25" customHeight="1">
      <c r="A192" s="86" t="s">
        <v>303</v>
      </c>
      <c r="B192" s="86" t="s">
        <v>2777</v>
      </c>
      <c r="C192" s="86">
        <v>8180</v>
      </c>
      <c r="D192" s="86">
        <v>8140</v>
      </c>
      <c r="E192" s="86">
        <v>10870</v>
      </c>
      <c r="F192" s="86">
        <v>1690</v>
      </c>
      <c r="G192" s="94">
        <v>5140</v>
      </c>
    </row>
    <row r="193" spans="1:7" s="75" customFormat="1" ht="14.25" customHeight="1">
      <c r="A193" s="86" t="s">
        <v>303</v>
      </c>
      <c r="B193" s="86" t="s">
        <v>2778</v>
      </c>
      <c r="C193" s="86">
        <v>8440</v>
      </c>
      <c r="D193" s="86">
        <v>8390</v>
      </c>
      <c r="E193" s="86">
        <v>11210</v>
      </c>
      <c r="F193" s="86">
        <v>1600</v>
      </c>
      <c r="G193" s="94">
        <v>5300</v>
      </c>
    </row>
    <row r="194" spans="1:7" s="75" customFormat="1" ht="14.25" customHeight="1">
      <c r="A194" s="86" t="s">
        <v>303</v>
      </c>
      <c r="B194" s="86" t="s">
        <v>2779</v>
      </c>
      <c r="C194" s="86">
        <v>8780</v>
      </c>
      <c r="D194" s="86">
        <v>8730</v>
      </c>
      <c r="E194" s="86">
        <v>11550</v>
      </c>
      <c r="F194" s="86">
        <v>1660</v>
      </c>
      <c r="G194" s="94">
        <v>5520</v>
      </c>
    </row>
    <row r="195" spans="1:7" s="75" customFormat="1" ht="14.25" customHeight="1">
      <c r="A195" s="86" t="s">
        <v>303</v>
      </c>
      <c r="B195" s="86" t="s">
        <v>2780</v>
      </c>
      <c r="C195" s="86">
        <v>8720</v>
      </c>
      <c r="D195" s="86">
        <v>8670</v>
      </c>
      <c r="E195" s="86">
        <v>11450</v>
      </c>
      <c r="F195" s="86">
        <v>1720</v>
      </c>
      <c r="G195" s="94">
        <v>5480</v>
      </c>
    </row>
    <row r="196" spans="1:7" s="75" customFormat="1" ht="14.25" customHeight="1">
      <c r="A196" s="86" t="s">
        <v>303</v>
      </c>
      <c r="B196" s="86" t="s">
        <v>2781</v>
      </c>
      <c r="C196" s="86">
        <v>8460</v>
      </c>
      <c r="D196" s="86">
        <v>8410</v>
      </c>
      <c r="E196" s="86">
        <v>11230</v>
      </c>
      <c r="F196" s="86">
        <v>1730</v>
      </c>
      <c r="G196" s="94">
        <v>5310</v>
      </c>
    </row>
    <row r="197" spans="1:7" s="75" customFormat="1" ht="14.25" customHeight="1">
      <c r="A197" s="86" t="s">
        <v>303</v>
      </c>
      <c r="B197" s="86" t="s">
        <v>2782</v>
      </c>
      <c r="C197" s="86">
        <v>8790</v>
      </c>
      <c r="D197" s="86">
        <v>8730</v>
      </c>
      <c r="E197" s="86">
        <v>11560</v>
      </c>
      <c r="F197" s="86">
        <v>1750</v>
      </c>
      <c r="G197" s="94">
        <v>5520</v>
      </c>
    </row>
    <row r="198" spans="1:7" s="75" customFormat="1" ht="14.25" customHeight="1">
      <c r="A198" s="86" t="s">
        <v>303</v>
      </c>
      <c r="B198" s="86" t="s">
        <v>2783</v>
      </c>
      <c r="C198" s="86">
        <v>8720</v>
      </c>
      <c r="D198" s="86">
        <v>8680</v>
      </c>
      <c r="E198" s="86">
        <v>11470</v>
      </c>
      <c r="F198" s="86"/>
      <c r="G198" s="94">
        <v>5480</v>
      </c>
    </row>
    <row r="199" spans="1:7" s="75" customFormat="1" ht="14.25" customHeight="1">
      <c r="A199" s="86" t="s">
        <v>303</v>
      </c>
      <c r="B199" s="86" t="s">
        <v>2784</v>
      </c>
      <c r="C199" s="86">
        <v>8690</v>
      </c>
      <c r="D199" s="86">
        <v>8630</v>
      </c>
      <c r="E199" s="86">
        <v>11350</v>
      </c>
      <c r="F199" s="86">
        <v>1600</v>
      </c>
      <c r="G199" s="94">
        <v>5450</v>
      </c>
    </row>
    <row r="200" spans="1:7" s="75" customFormat="1" ht="14.25" customHeight="1">
      <c r="A200" s="86" t="s">
        <v>303</v>
      </c>
      <c r="B200" s="86" t="s">
        <v>2785</v>
      </c>
      <c r="C200" s="86"/>
      <c r="D200" s="86"/>
      <c r="E200" s="86"/>
      <c r="F200" s="86">
        <v>1510</v>
      </c>
      <c r="G200" s="94"/>
    </row>
    <row r="201" spans="1:7" s="75" customFormat="1" ht="14.25" customHeight="1">
      <c r="A201" s="86" t="s">
        <v>303</v>
      </c>
      <c r="B201" s="86" t="s">
        <v>2786</v>
      </c>
      <c r="C201" s="86">
        <v>8440</v>
      </c>
      <c r="D201" s="86">
        <v>8390</v>
      </c>
      <c r="E201" s="86">
        <v>10930</v>
      </c>
      <c r="F201" s="86">
        <v>1500</v>
      </c>
      <c r="G201" s="94">
        <v>5300</v>
      </c>
    </row>
    <row r="202" spans="1:7" s="75" customFormat="1" ht="14.25" customHeight="1">
      <c r="A202" s="86" t="s">
        <v>303</v>
      </c>
      <c r="B202" s="86" t="s">
        <v>2787</v>
      </c>
      <c r="C202" s="86">
        <v>8530</v>
      </c>
      <c r="D202" s="86">
        <v>8490</v>
      </c>
      <c r="E202" s="86">
        <v>11160</v>
      </c>
      <c r="F202" s="86">
        <v>1580</v>
      </c>
      <c r="G202" s="94">
        <v>5360</v>
      </c>
    </row>
    <row r="203" spans="1:7" s="75" customFormat="1" ht="14.25" customHeight="1">
      <c r="A203" s="86" t="s">
        <v>303</v>
      </c>
      <c r="B203" s="86" t="s">
        <v>2788</v>
      </c>
      <c r="C203" s="86">
        <v>8130</v>
      </c>
      <c r="D203" s="86">
        <v>8070</v>
      </c>
      <c r="E203" s="86">
        <v>10820</v>
      </c>
      <c r="F203" s="86">
        <v>1690</v>
      </c>
      <c r="G203" s="94">
        <v>5100</v>
      </c>
    </row>
    <row r="204" spans="1:7" s="75" customFormat="1" ht="14.25" customHeight="1">
      <c r="A204" s="86" t="s">
        <v>303</v>
      </c>
      <c r="B204" s="86" t="s">
        <v>2789</v>
      </c>
      <c r="C204" s="86">
        <v>8350</v>
      </c>
      <c r="D204" s="86">
        <v>8290</v>
      </c>
      <c r="E204" s="86">
        <v>11080</v>
      </c>
      <c r="F204" s="86">
        <v>1450</v>
      </c>
      <c r="G204" s="94">
        <v>5240</v>
      </c>
    </row>
    <row r="205" spans="1:7" s="75" customFormat="1" ht="14.25" customHeight="1">
      <c r="A205" s="86" t="s">
        <v>303</v>
      </c>
      <c r="B205" s="86" t="s">
        <v>2790</v>
      </c>
      <c r="C205" s="86">
        <v>7190</v>
      </c>
      <c r="D205" s="86">
        <v>7130</v>
      </c>
      <c r="E205" s="86">
        <v>9490</v>
      </c>
      <c r="F205" s="86">
        <v>1470</v>
      </c>
      <c r="G205" s="94">
        <v>4510</v>
      </c>
    </row>
    <row r="206" spans="1:7" s="75" customFormat="1" ht="14.25" customHeight="1">
      <c r="A206" s="86" t="s">
        <v>303</v>
      </c>
      <c r="B206" s="86" t="s">
        <v>2791</v>
      </c>
      <c r="C206" s="86">
        <v>7000</v>
      </c>
      <c r="D206" s="86">
        <v>6950</v>
      </c>
      <c r="E206" s="86">
        <v>9170</v>
      </c>
      <c r="F206" s="86">
        <v>1400</v>
      </c>
      <c r="G206" s="94">
        <v>4380</v>
      </c>
    </row>
    <row r="207" spans="1:7" s="75" customFormat="1" ht="14.25" customHeight="1">
      <c r="A207" s="86" t="s">
        <v>303</v>
      </c>
      <c r="B207" s="86" t="s">
        <v>2792</v>
      </c>
      <c r="C207" s="86">
        <v>6950</v>
      </c>
      <c r="D207" s="86">
        <v>6900</v>
      </c>
      <c r="E207" s="86">
        <v>9110</v>
      </c>
      <c r="F207" s="86">
        <v>1790</v>
      </c>
      <c r="G207" s="94">
        <v>4360</v>
      </c>
    </row>
    <row r="208" spans="1:7" s="75" customFormat="1" ht="14.25" customHeight="1">
      <c r="A208" s="86" t="s">
        <v>303</v>
      </c>
      <c r="B208" s="86" t="s">
        <v>2793</v>
      </c>
      <c r="C208" s="86">
        <v>9470</v>
      </c>
      <c r="D208" s="86">
        <v>9410</v>
      </c>
      <c r="E208" s="86">
        <v>12330</v>
      </c>
      <c r="F208" s="86">
        <v>1770</v>
      </c>
      <c r="G208" s="94">
        <v>5940</v>
      </c>
    </row>
    <row r="209" spans="1:7" s="75" customFormat="1" ht="14.25" customHeight="1">
      <c r="A209" s="86" t="s">
        <v>303</v>
      </c>
      <c r="B209" s="86" t="s">
        <v>2794</v>
      </c>
      <c r="C209" s="86">
        <v>8740</v>
      </c>
      <c r="D209" s="86">
        <v>8700</v>
      </c>
      <c r="E209" s="86">
        <v>11500</v>
      </c>
      <c r="F209" s="86">
        <v>1730</v>
      </c>
      <c r="G209" s="94">
        <v>5490</v>
      </c>
    </row>
    <row r="210" spans="1:7" s="75" customFormat="1" ht="14.25" customHeight="1">
      <c r="A210" s="86" t="s">
        <v>303</v>
      </c>
      <c r="B210" s="86" t="s">
        <v>2795</v>
      </c>
      <c r="C210" s="86">
        <v>8710</v>
      </c>
      <c r="D210" s="86">
        <v>8660</v>
      </c>
      <c r="E210" s="86">
        <v>11440</v>
      </c>
      <c r="F210" s="86">
        <v>1740</v>
      </c>
      <c r="G210" s="94">
        <v>5470</v>
      </c>
    </row>
    <row r="211" spans="1:7" s="75" customFormat="1" ht="14.25" customHeight="1">
      <c r="A211" s="86" t="s">
        <v>303</v>
      </c>
      <c r="B211" s="86" t="s">
        <v>2796</v>
      </c>
      <c r="C211" s="86">
        <v>9480</v>
      </c>
      <c r="D211" s="86">
        <v>9430</v>
      </c>
      <c r="E211" s="86">
        <v>12360</v>
      </c>
      <c r="F211" s="86">
        <v>1820</v>
      </c>
      <c r="G211" s="94">
        <v>5950</v>
      </c>
    </row>
    <row r="212" spans="1:7" s="75" customFormat="1" ht="14.25" customHeight="1">
      <c r="A212" s="86" t="s">
        <v>303</v>
      </c>
      <c r="B212" s="86" t="s">
        <v>2797</v>
      </c>
      <c r="C212" s="86">
        <v>9070</v>
      </c>
      <c r="D212" s="86">
        <v>9020</v>
      </c>
      <c r="E212" s="86">
        <v>11720</v>
      </c>
      <c r="F212" s="86">
        <v>1850</v>
      </c>
      <c r="G212" s="94">
        <v>5700</v>
      </c>
    </row>
    <row r="213" spans="1:7" s="75" customFormat="1" ht="14.25" customHeight="1">
      <c r="A213" s="86" t="s">
        <v>303</v>
      </c>
      <c r="B213" s="86" t="s">
        <v>2798</v>
      </c>
      <c r="C213" s="86">
        <v>9030</v>
      </c>
      <c r="D213" s="86">
        <v>8980</v>
      </c>
      <c r="E213" s="86">
        <v>11670</v>
      </c>
      <c r="F213" s="86">
        <v>1690</v>
      </c>
      <c r="G213" s="94">
        <v>5670</v>
      </c>
    </row>
    <row r="214" spans="1:7" s="75" customFormat="1" ht="14.25" customHeight="1">
      <c r="A214" s="86" t="s">
        <v>303</v>
      </c>
      <c r="B214" s="86" t="s">
        <v>2799</v>
      </c>
      <c r="C214" s="86">
        <v>8090</v>
      </c>
      <c r="D214" s="86">
        <v>8030</v>
      </c>
      <c r="E214" s="86">
        <v>10780</v>
      </c>
      <c r="F214" s="86">
        <v>1570</v>
      </c>
      <c r="G214" s="94">
        <v>5070</v>
      </c>
    </row>
    <row r="215" spans="1:7" s="75" customFormat="1" ht="14.25" customHeight="1">
      <c r="A215" s="86" t="s">
        <v>303</v>
      </c>
      <c r="B215" s="86" t="s">
        <v>2800</v>
      </c>
      <c r="C215" s="86">
        <v>7950</v>
      </c>
      <c r="D215" s="86">
        <v>7900</v>
      </c>
      <c r="E215" s="86">
        <v>10560</v>
      </c>
      <c r="F215" s="86">
        <v>1630</v>
      </c>
      <c r="G215" s="94">
        <v>4990</v>
      </c>
    </row>
    <row r="216" spans="1:7" s="75" customFormat="1" ht="14.25" customHeight="1">
      <c r="A216" s="86" t="s">
        <v>303</v>
      </c>
      <c r="B216" s="86" t="s">
        <v>2801</v>
      </c>
      <c r="C216" s="86">
        <v>8490</v>
      </c>
      <c r="D216" s="86">
        <v>8440</v>
      </c>
      <c r="E216" s="86">
        <v>11260</v>
      </c>
      <c r="F216" s="86">
        <v>1690</v>
      </c>
      <c r="G216" s="94">
        <v>5330</v>
      </c>
    </row>
    <row r="217" spans="1:7" s="75" customFormat="1" ht="14.25" customHeight="1">
      <c r="A217" s="86" t="s">
        <v>303</v>
      </c>
      <c r="B217" s="86" t="s">
        <v>2802</v>
      </c>
      <c r="C217" s="86">
        <v>8200</v>
      </c>
      <c r="D217" s="86">
        <v>8150</v>
      </c>
      <c r="E217" s="86">
        <v>10910</v>
      </c>
      <c r="F217" s="86">
        <v>1670</v>
      </c>
      <c r="G217" s="94">
        <v>5150</v>
      </c>
    </row>
    <row r="218" spans="1:7" s="75" customFormat="1" ht="14.25" customHeight="1">
      <c r="A218" s="86" t="s">
        <v>303</v>
      </c>
      <c r="B218" s="86" t="s">
        <v>2803</v>
      </c>
      <c r="C218" s="86"/>
      <c r="D218" s="86"/>
      <c r="E218" s="86"/>
      <c r="F218" s="86">
        <v>2040</v>
      </c>
      <c r="G218" s="94"/>
    </row>
    <row r="219" spans="1:7" s="75" customFormat="1" ht="14.25" customHeight="1">
      <c r="A219" s="86" t="s">
        <v>303</v>
      </c>
      <c r="B219" s="86" t="s">
        <v>2804</v>
      </c>
      <c r="C219" s="86"/>
      <c r="D219" s="86"/>
      <c r="E219" s="86"/>
      <c r="F219" s="86">
        <v>2040</v>
      </c>
      <c r="G219" s="94"/>
    </row>
    <row r="220" spans="1:7" s="75" customFormat="1" ht="14.25" customHeight="1">
      <c r="A220" s="86" t="s">
        <v>303</v>
      </c>
      <c r="B220" s="86" t="s">
        <v>2805</v>
      </c>
      <c r="C220" s="86"/>
      <c r="D220" s="86"/>
      <c r="E220" s="86"/>
      <c r="F220" s="86">
        <v>2040</v>
      </c>
      <c r="G220" s="94"/>
    </row>
    <row r="221" spans="1:7" s="75" customFormat="1" ht="14.25" customHeight="1">
      <c r="A221" s="86" t="s">
        <v>303</v>
      </c>
      <c r="B221" s="86" t="s">
        <v>2806</v>
      </c>
      <c r="C221" s="86"/>
      <c r="D221" s="86"/>
      <c r="E221" s="86"/>
      <c r="F221" s="86">
        <v>2040</v>
      </c>
      <c r="G221" s="94"/>
    </row>
    <row r="222" spans="1:7" s="75" customFormat="1" ht="14.25" customHeight="1">
      <c r="A222" s="86" t="s">
        <v>303</v>
      </c>
      <c r="B222" s="86" t="s">
        <v>2807</v>
      </c>
      <c r="C222" s="86"/>
      <c r="D222" s="86"/>
      <c r="E222" s="86"/>
      <c r="F222" s="86">
        <v>2040</v>
      </c>
      <c r="G222" s="94"/>
    </row>
    <row r="223" spans="1:7" s="75" customFormat="1" ht="14.25" customHeight="1">
      <c r="A223" s="86" t="s">
        <v>303</v>
      </c>
      <c r="B223" s="86" t="s">
        <v>2808</v>
      </c>
      <c r="C223" s="86"/>
      <c r="D223" s="86"/>
      <c r="E223" s="86"/>
      <c r="F223" s="86">
        <v>1930</v>
      </c>
      <c r="G223" s="94"/>
    </row>
    <row r="224" spans="1:7" s="75" customFormat="1" ht="14.25" customHeight="1">
      <c r="A224" s="86" t="s">
        <v>303</v>
      </c>
      <c r="B224" s="86" t="s">
        <v>2809</v>
      </c>
      <c r="C224" s="86"/>
      <c r="D224" s="86"/>
      <c r="E224" s="86"/>
      <c r="F224" s="86">
        <v>1930</v>
      </c>
      <c r="G224" s="94"/>
    </row>
    <row r="225" spans="1:7" s="75" customFormat="1" ht="14.25" customHeight="1">
      <c r="A225" s="86" t="s">
        <v>303</v>
      </c>
      <c r="B225" s="86" t="s">
        <v>2810</v>
      </c>
      <c r="C225" s="86"/>
      <c r="D225" s="86"/>
      <c r="E225" s="86"/>
      <c r="F225" s="86">
        <v>1930</v>
      </c>
      <c r="G225" s="94"/>
    </row>
    <row r="226" spans="1:7" s="75" customFormat="1" ht="14.25" customHeight="1">
      <c r="A226" s="86" t="s">
        <v>303</v>
      </c>
      <c r="B226" s="86" t="s">
        <v>2811</v>
      </c>
      <c r="C226" s="86"/>
      <c r="D226" s="86"/>
      <c r="E226" s="86"/>
      <c r="F226" s="86">
        <v>1700</v>
      </c>
      <c r="G226" s="94"/>
    </row>
    <row r="227" spans="1:7" s="75" customFormat="1" ht="14.25" customHeight="1">
      <c r="A227" s="86" t="s">
        <v>303</v>
      </c>
      <c r="B227" s="86" t="s">
        <v>3098</v>
      </c>
      <c r="C227" s="86"/>
      <c r="D227" s="86"/>
      <c r="E227" s="86"/>
      <c r="F227" s="86">
        <v>1520</v>
      </c>
      <c r="G227" s="94"/>
    </row>
    <row r="228" spans="1:7" s="75" customFormat="1" ht="14.25" customHeight="1">
      <c r="A228" s="86" t="s">
        <v>303</v>
      </c>
      <c r="B228" s="86" t="s">
        <v>3099</v>
      </c>
      <c r="C228" s="86"/>
      <c r="D228" s="86"/>
      <c r="E228" s="86"/>
      <c r="F228" s="86">
        <v>1520</v>
      </c>
      <c r="G228" s="94"/>
    </row>
    <row r="229" spans="1:7" s="75" customFormat="1" ht="14.25" customHeight="1">
      <c r="A229" s="86" t="s">
        <v>303</v>
      </c>
      <c r="B229" s="86" t="s">
        <v>3100</v>
      </c>
      <c r="C229" s="86"/>
      <c r="D229" s="86"/>
      <c r="E229" s="86"/>
      <c r="F229" s="86">
        <v>1520</v>
      </c>
      <c r="G229" s="94"/>
    </row>
    <row r="230" spans="1:7" s="75" customFormat="1" ht="14.25" customHeight="1">
      <c r="A230" s="86" t="s">
        <v>303</v>
      </c>
      <c r="B230" s="86" t="s">
        <v>2815</v>
      </c>
      <c r="C230" s="86"/>
      <c r="D230" s="86"/>
      <c r="E230" s="86"/>
      <c r="F230" s="86">
        <v>1820</v>
      </c>
      <c r="G230" s="94"/>
    </row>
    <row r="231" spans="1:7" s="75" customFormat="1" ht="14.25" customHeight="1">
      <c r="A231" s="86" t="s">
        <v>303</v>
      </c>
      <c r="B231" s="86" t="s">
        <v>2816</v>
      </c>
      <c r="C231" s="86"/>
      <c r="D231" s="86"/>
      <c r="E231" s="86"/>
      <c r="F231" s="86">
        <v>1760</v>
      </c>
      <c r="G231" s="94"/>
    </row>
    <row r="232" spans="1:7" s="75" customFormat="1" ht="14.25" customHeight="1">
      <c r="A232" s="86" t="s">
        <v>303</v>
      </c>
      <c r="B232" s="86" t="s">
        <v>3101</v>
      </c>
      <c r="C232" s="86"/>
      <c r="D232" s="86"/>
      <c r="E232" s="86"/>
      <c r="F232" s="86">
        <v>1840</v>
      </c>
      <c r="G232" s="94"/>
    </row>
    <row r="233" spans="1:7" s="75" customFormat="1" ht="14.25" customHeight="1">
      <c r="A233" s="95" t="s">
        <v>303</v>
      </c>
      <c r="B233" s="90" t="s">
        <v>2818</v>
      </c>
      <c r="C233" s="90"/>
      <c r="D233" s="90"/>
      <c r="E233" s="90"/>
      <c r="F233" s="90">
        <v>1770</v>
      </c>
      <c r="G233" s="96"/>
    </row>
    <row r="234" spans="1:7" s="75" customFormat="1" ht="14.25" customHeight="1">
      <c r="A234" s="84" t="s">
        <v>311</v>
      </c>
      <c r="B234" s="85" t="s">
        <v>2819</v>
      </c>
      <c r="C234" s="86">
        <v>6980</v>
      </c>
      <c r="D234" s="86">
        <v>6970</v>
      </c>
      <c r="E234" s="86">
        <v>8720</v>
      </c>
      <c r="F234" s="86">
        <v>1350</v>
      </c>
      <c r="G234" s="86">
        <v>4280</v>
      </c>
    </row>
    <row r="235" spans="1:7" s="75" customFormat="1" ht="14.25" customHeight="1">
      <c r="A235" s="86" t="s">
        <v>311</v>
      </c>
      <c r="B235" s="86" t="s">
        <v>2820</v>
      </c>
      <c r="C235" s="86">
        <v>7620</v>
      </c>
      <c r="D235" s="86">
        <v>7580</v>
      </c>
      <c r="E235" s="86">
        <v>9360</v>
      </c>
      <c r="F235" s="86">
        <v>1490</v>
      </c>
      <c r="G235" s="86">
        <v>4650</v>
      </c>
    </row>
    <row r="236" spans="1:7" s="75" customFormat="1" ht="14.25" customHeight="1">
      <c r="A236" s="86" t="s">
        <v>311</v>
      </c>
      <c r="B236" s="86" t="s">
        <v>2821</v>
      </c>
      <c r="C236" s="86">
        <v>6650</v>
      </c>
      <c r="D236" s="86">
        <v>6630</v>
      </c>
      <c r="E236" s="86">
        <v>8330</v>
      </c>
      <c r="F236" s="86">
        <v>1250</v>
      </c>
      <c r="G236" s="86">
        <v>4070</v>
      </c>
    </row>
    <row r="237" spans="1:7" s="75" customFormat="1" ht="14.25" customHeight="1">
      <c r="A237" s="86" t="s">
        <v>311</v>
      </c>
      <c r="B237" s="86" t="s">
        <v>2822</v>
      </c>
      <c r="C237" s="86">
        <v>5850</v>
      </c>
      <c r="D237" s="86">
        <v>5820</v>
      </c>
      <c r="E237" s="86">
        <v>7260</v>
      </c>
      <c r="F237" s="86">
        <v>1140</v>
      </c>
      <c r="G237" s="86">
        <v>3570</v>
      </c>
    </row>
    <row r="238" spans="1:7" s="75" customFormat="1" ht="14.25" customHeight="1">
      <c r="A238" s="86" t="s">
        <v>311</v>
      </c>
      <c r="B238" s="86" t="s">
        <v>2823</v>
      </c>
      <c r="C238" s="86">
        <v>6920</v>
      </c>
      <c r="D238" s="86">
        <v>6890</v>
      </c>
      <c r="E238" s="86">
        <v>8640</v>
      </c>
      <c r="F238" s="86">
        <v>1310</v>
      </c>
      <c r="G238" s="86">
        <v>4230</v>
      </c>
    </row>
    <row r="239" spans="1:7" s="75" customFormat="1" ht="14.25" customHeight="1">
      <c r="A239" s="86" t="s">
        <v>311</v>
      </c>
      <c r="B239" s="86" t="s">
        <v>2824</v>
      </c>
      <c r="C239" s="86">
        <v>6780</v>
      </c>
      <c r="D239" s="86">
        <v>6750</v>
      </c>
      <c r="E239" s="86">
        <v>8440</v>
      </c>
      <c r="F239" s="86">
        <v>1160</v>
      </c>
      <c r="G239" s="86">
        <v>4140</v>
      </c>
    </row>
    <row r="240" spans="1:7" s="75" customFormat="1" ht="14.25" customHeight="1">
      <c r="A240" s="86" t="s">
        <v>311</v>
      </c>
      <c r="B240" s="86" t="s">
        <v>2825</v>
      </c>
      <c r="C240" s="86">
        <v>5420</v>
      </c>
      <c r="D240" s="86">
        <v>5380</v>
      </c>
      <c r="E240" s="86">
        <v>6640</v>
      </c>
      <c r="F240" s="86">
        <v>1020</v>
      </c>
      <c r="G240" s="86">
        <v>3300</v>
      </c>
    </row>
    <row r="241" spans="1:7" s="75" customFormat="1" ht="14.25" customHeight="1">
      <c r="A241" s="86" t="s">
        <v>311</v>
      </c>
      <c r="B241" s="86" t="s">
        <v>2826</v>
      </c>
      <c r="C241" s="86">
        <v>6660</v>
      </c>
      <c r="D241" s="86">
        <v>6640</v>
      </c>
      <c r="E241" s="86">
        <v>8340</v>
      </c>
      <c r="F241" s="86">
        <v>1130</v>
      </c>
      <c r="G241" s="86">
        <v>4080</v>
      </c>
    </row>
    <row r="242" spans="1:7" s="75" customFormat="1" ht="14.25" customHeight="1">
      <c r="A242" s="86" t="s">
        <v>311</v>
      </c>
      <c r="B242" s="86" t="s">
        <v>2827</v>
      </c>
      <c r="C242" s="86">
        <v>6580</v>
      </c>
      <c r="D242" s="86">
        <v>6550</v>
      </c>
      <c r="E242" s="86">
        <v>8090</v>
      </c>
      <c r="F242" s="86">
        <v>1240</v>
      </c>
      <c r="G242" s="86">
        <v>4020</v>
      </c>
    </row>
    <row r="243" spans="1:7" s="75" customFormat="1" ht="14.25" customHeight="1">
      <c r="A243" s="86" t="s">
        <v>311</v>
      </c>
      <c r="B243" s="86" t="s">
        <v>2828</v>
      </c>
      <c r="C243" s="86">
        <v>6000</v>
      </c>
      <c r="D243" s="86">
        <v>5970</v>
      </c>
      <c r="E243" s="86">
        <v>7370</v>
      </c>
      <c r="F243" s="86">
        <v>1070</v>
      </c>
      <c r="G243" s="86">
        <v>3670</v>
      </c>
    </row>
    <row r="244" spans="1:7" s="75" customFormat="1" ht="14.25" customHeight="1">
      <c r="A244" s="86" t="s">
        <v>311</v>
      </c>
      <c r="B244" s="86" t="s">
        <v>2829</v>
      </c>
      <c r="C244" s="86">
        <v>5840</v>
      </c>
      <c r="D244" s="86">
        <v>5810</v>
      </c>
      <c r="E244" s="86">
        <v>7240</v>
      </c>
      <c r="F244" s="86">
        <v>1100</v>
      </c>
      <c r="G244" s="86">
        <v>3560</v>
      </c>
    </row>
    <row r="245" spans="1:7" s="75" customFormat="1" ht="14.25" customHeight="1">
      <c r="A245" s="86" t="s">
        <v>311</v>
      </c>
      <c r="B245" s="86" t="s">
        <v>2830</v>
      </c>
      <c r="C245" s="86">
        <v>6040</v>
      </c>
      <c r="D245" s="86">
        <v>6000</v>
      </c>
      <c r="E245" s="86">
        <v>7420</v>
      </c>
      <c r="F245" s="86">
        <v>1140</v>
      </c>
      <c r="G245" s="86">
        <v>3690</v>
      </c>
    </row>
    <row r="246" spans="1:7" s="75" customFormat="1" ht="14.25" customHeight="1">
      <c r="A246" s="86" t="s">
        <v>311</v>
      </c>
      <c r="B246" s="86" t="s">
        <v>2831</v>
      </c>
      <c r="C246" s="86">
        <v>5890</v>
      </c>
      <c r="D246" s="86">
        <v>5860</v>
      </c>
      <c r="E246" s="86">
        <v>7300</v>
      </c>
      <c r="F246" s="86">
        <v>1110</v>
      </c>
      <c r="G246" s="86">
        <v>3590</v>
      </c>
    </row>
    <row r="247" spans="1:7" s="75" customFormat="1" ht="14.25" customHeight="1">
      <c r="A247" s="86" t="s">
        <v>311</v>
      </c>
      <c r="B247" s="86" t="s">
        <v>2832</v>
      </c>
      <c r="C247" s="86">
        <v>6480</v>
      </c>
      <c r="D247" s="86">
        <v>6450</v>
      </c>
      <c r="E247" s="86">
        <v>8010</v>
      </c>
      <c r="F247" s="86">
        <v>1170</v>
      </c>
      <c r="G247" s="86">
        <v>3960</v>
      </c>
    </row>
    <row r="248" spans="1:7" s="75" customFormat="1" ht="14.25" customHeight="1">
      <c r="A248" s="86" t="s">
        <v>311</v>
      </c>
      <c r="B248" s="86" t="s">
        <v>2833</v>
      </c>
      <c r="C248" s="86">
        <v>6860</v>
      </c>
      <c r="D248" s="86">
        <v>6840</v>
      </c>
      <c r="E248" s="86">
        <v>8520</v>
      </c>
      <c r="F248" s="86">
        <v>1240</v>
      </c>
      <c r="G248" s="86">
        <v>4200</v>
      </c>
    </row>
    <row r="249" spans="1:7" s="75" customFormat="1" ht="14.25" customHeight="1">
      <c r="A249" s="86" t="s">
        <v>311</v>
      </c>
      <c r="B249" s="86" t="s">
        <v>2834</v>
      </c>
      <c r="C249" s="86">
        <v>7180</v>
      </c>
      <c r="D249" s="86">
        <v>7140</v>
      </c>
      <c r="E249" s="86">
        <v>8900</v>
      </c>
      <c r="F249" s="86">
        <v>1350</v>
      </c>
      <c r="G249" s="86">
        <v>4380</v>
      </c>
    </row>
    <row r="250" spans="1:7" s="75" customFormat="1" ht="14.25" customHeight="1">
      <c r="A250" s="86" t="s">
        <v>311</v>
      </c>
      <c r="B250" s="86" t="s">
        <v>2835</v>
      </c>
      <c r="C250" s="86">
        <v>6880</v>
      </c>
      <c r="D250" s="86">
        <v>6860</v>
      </c>
      <c r="E250" s="86">
        <v>8550</v>
      </c>
      <c r="F250" s="86">
        <v>1220</v>
      </c>
      <c r="G250" s="86">
        <v>4210</v>
      </c>
    </row>
    <row r="251" spans="1:7" s="75" customFormat="1" ht="14.25" customHeight="1">
      <c r="A251" s="86" t="s">
        <v>311</v>
      </c>
      <c r="B251" s="86" t="s">
        <v>2836</v>
      </c>
      <c r="C251" s="86"/>
      <c r="D251" s="86"/>
      <c r="E251" s="86"/>
      <c r="F251" s="86">
        <v>1100</v>
      </c>
      <c r="G251" s="86"/>
    </row>
    <row r="252" spans="1:7" s="75" customFormat="1" ht="14.25" customHeight="1">
      <c r="A252" s="86" t="s">
        <v>311</v>
      </c>
      <c r="B252" s="86" t="s">
        <v>2837</v>
      </c>
      <c r="C252" s="86">
        <v>7240</v>
      </c>
      <c r="D252" s="86">
        <v>7200</v>
      </c>
      <c r="E252" s="86">
        <v>9040</v>
      </c>
      <c r="F252" s="86">
        <v>1380</v>
      </c>
      <c r="G252" s="86">
        <v>4420</v>
      </c>
    </row>
    <row r="253" spans="1:7" s="75" customFormat="1" ht="14.25" customHeight="1">
      <c r="A253" s="86" t="s">
        <v>311</v>
      </c>
      <c r="B253" s="86" t="s">
        <v>2838</v>
      </c>
      <c r="C253" s="86">
        <v>6670</v>
      </c>
      <c r="D253" s="86">
        <v>6650</v>
      </c>
      <c r="E253" s="86">
        <v>8350</v>
      </c>
      <c r="F253" s="86">
        <v>1260</v>
      </c>
      <c r="G253" s="86">
        <v>4080</v>
      </c>
    </row>
    <row r="254" spans="1:7" s="75" customFormat="1" ht="14.25" customHeight="1">
      <c r="A254" s="86" t="s">
        <v>311</v>
      </c>
      <c r="B254" s="86" t="s">
        <v>2839</v>
      </c>
      <c r="C254" s="86">
        <v>7630</v>
      </c>
      <c r="D254" s="86">
        <v>7590</v>
      </c>
      <c r="E254" s="86">
        <v>9380</v>
      </c>
      <c r="F254" s="86">
        <v>1320</v>
      </c>
      <c r="G254" s="86">
        <v>4660</v>
      </c>
    </row>
    <row r="255" spans="1:7" s="75" customFormat="1" ht="14.25" customHeight="1">
      <c r="A255" s="86" t="s">
        <v>311</v>
      </c>
      <c r="B255" s="86" t="s">
        <v>2840</v>
      </c>
      <c r="C255" s="86">
        <v>6940</v>
      </c>
      <c r="D255" s="86">
        <v>6890</v>
      </c>
      <c r="E255" s="86">
        <v>8650</v>
      </c>
      <c r="F255" s="86">
        <v>1210</v>
      </c>
      <c r="G255" s="86">
        <v>4230</v>
      </c>
    </row>
    <row r="256" spans="1:7" s="75" customFormat="1" ht="14.25" customHeight="1">
      <c r="A256" s="86" t="s">
        <v>311</v>
      </c>
      <c r="B256" s="86" t="s">
        <v>2841</v>
      </c>
      <c r="C256" s="86">
        <v>7520</v>
      </c>
      <c r="D256" s="86">
        <v>7490</v>
      </c>
      <c r="E256" s="86">
        <v>9240</v>
      </c>
      <c r="F256" s="86">
        <v>1270</v>
      </c>
      <c r="G256" s="86">
        <v>4590</v>
      </c>
    </row>
    <row r="257" spans="1:7" s="75" customFormat="1" ht="14.25" customHeight="1">
      <c r="A257" s="86" t="s">
        <v>311</v>
      </c>
      <c r="B257" s="86" t="s">
        <v>2842</v>
      </c>
      <c r="C257" s="86">
        <v>6280</v>
      </c>
      <c r="D257" s="86">
        <v>6230</v>
      </c>
      <c r="E257" s="86">
        <v>7740</v>
      </c>
      <c r="F257" s="86">
        <v>1080</v>
      </c>
      <c r="G257" s="86">
        <v>3830</v>
      </c>
    </row>
    <row r="258" spans="1:7" s="75" customFormat="1" ht="14.25" customHeight="1">
      <c r="A258" s="86" t="s">
        <v>311</v>
      </c>
      <c r="B258" s="86" t="s">
        <v>2843</v>
      </c>
      <c r="C258" s="86">
        <v>6190</v>
      </c>
      <c r="D258" s="86">
        <v>6160</v>
      </c>
      <c r="E258" s="86">
        <v>7680</v>
      </c>
      <c r="F258" s="86">
        <v>1170</v>
      </c>
      <c r="G258" s="86">
        <v>3780</v>
      </c>
    </row>
    <row r="259" spans="1:7" s="75" customFormat="1" ht="14.25" customHeight="1">
      <c r="A259" s="86" t="s">
        <v>311</v>
      </c>
      <c r="B259" s="86" t="s">
        <v>2844</v>
      </c>
      <c r="C259" s="86">
        <v>7610</v>
      </c>
      <c r="D259" s="86">
        <v>7570</v>
      </c>
      <c r="E259" s="86">
        <v>9350</v>
      </c>
      <c r="F259" s="86">
        <v>1350</v>
      </c>
      <c r="G259" s="86">
        <v>4650</v>
      </c>
    </row>
    <row r="260" spans="1:7" s="75" customFormat="1" ht="14.25" customHeight="1">
      <c r="A260" s="86" t="s">
        <v>311</v>
      </c>
      <c r="B260" s="86" t="s">
        <v>2845</v>
      </c>
      <c r="C260" s="86">
        <v>6920</v>
      </c>
      <c r="D260" s="86">
        <v>6880</v>
      </c>
      <c r="E260" s="86">
        <v>8380</v>
      </c>
      <c r="F260" s="86">
        <v>1160</v>
      </c>
      <c r="G260" s="86">
        <v>4220</v>
      </c>
    </row>
    <row r="261" spans="1:7" s="75" customFormat="1" ht="14.25" customHeight="1">
      <c r="A261" s="86" t="s">
        <v>311</v>
      </c>
      <c r="B261" s="86" t="s">
        <v>2846</v>
      </c>
      <c r="C261" s="86">
        <v>6850</v>
      </c>
      <c r="D261" s="86">
        <v>6810</v>
      </c>
      <c r="E261" s="86">
        <v>8290</v>
      </c>
      <c r="F261" s="86">
        <v>1130</v>
      </c>
      <c r="G261" s="86">
        <v>4180</v>
      </c>
    </row>
    <row r="262" spans="1:7" s="75" customFormat="1" ht="14.25" customHeight="1">
      <c r="A262" s="86" t="s">
        <v>311</v>
      </c>
      <c r="B262" s="86" t="s">
        <v>2847</v>
      </c>
      <c r="C262" s="86">
        <v>5860</v>
      </c>
      <c r="D262" s="86">
        <v>5820</v>
      </c>
      <c r="E262" s="86">
        <v>7640</v>
      </c>
      <c r="F262" s="86">
        <v>1070</v>
      </c>
      <c r="G262" s="86">
        <v>3570</v>
      </c>
    </row>
    <row r="263" spans="1:7" s="75" customFormat="1" ht="14.25" customHeight="1">
      <c r="A263" s="86" t="s">
        <v>311</v>
      </c>
      <c r="B263" s="86" t="s">
        <v>2848</v>
      </c>
      <c r="C263" s="86">
        <v>5870</v>
      </c>
      <c r="D263" s="86">
        <v>5840</v>
      </c>
      <c r="E263" s="86">
        <v>7270</v>
      </c>
      <c r="F263" s="86">
        <v>1190</v>
      </c>
      <c r="G263" s="86">
        <v>3580</v>
      </c>
    </row>
    <row r="264" spans="1:7" s="75" customFormat="1" ht="14.25" customHeight="1">
      <c r="A264" s="86" t="s">
        <v>311</v>
      </c>
      <c r="B264" s="86" t="s">
        <v>2849</v>
      </c>
      <c r="C264" s="86">
        <v>6190</v>
      </c>
      <c r="D264" s="86">
        <v>6150</v>
      </c>
      <c r="E264" s="86">
        <v>7660</v>
      </c>
      <c r="F264" s="86">
        <v>1160</v>
      </c>
      <c r="G264" s="86">
        <v>3770</v>
      </c>
    </row>
    <row r="265" spans="1:7" s="75" customFormat="1" ht="14.25" customHeight="1">
      <c r="A265" s="86" t="s">
        <v>311</v>
      </c>
      <c r="B265" s="86" t="s">
        <v>2850</v>
      </c>
      <c r="C265" s="86"/>
      <c r="D265" s="86"/>
      <c r="E265" s="86"/>
      <c r="F265" s="86">
        <v>1500</v>
      </c>
      <c r="G265" s="86"/>
    </row>
    <row r="266" spans="1:7" s="75" customFormat="1" ht="14.25" customHeight="1">
      <c r="A266" s="86" t="s">
        <v>311</v>
      </c>
      <c r="B266" s="86" t="s">
        <v>2851</v>
      </c>
      <c r="C266" s="86"/>
      <c r="D266" s="86"/>
      <c r="E266" s="86"/>
      <c r="F266" s="86">
        <v>1500</v>
      </c>
      <c r="G266" s="86"/>
    </row>
    <row r="267" spans="1:7" s="75" customFormat="1" ht="14.25" customHeight="1">
      <c r="A267" s="86" t="s">
        <v>311</v>
      </c>
      <c r="B267" s="86" t="s">
        <v>2852</v>
      </c>
      <c r="C267" s="86"/>
      <c r="D267" s="86"/>
      <c r="E267" s="86"/>
      <c r="F267" s="86">
        <v>1500</v>
      </c>
      <c r="G267" s="86"/>
    </row>
    <row r="268" spans="1:7" s="75" customFormat="1" ht="14.25" customHeight="1">
      <c r="A268" s="86" t="s">
        <v>311</v>
      </c>
      <c r="B268" s="86" t="s">
        <v>2853</v>
      </c>
      <c r="C268" s="86"/>
      <c r="D268" s="86"/>
      <c r="E268" s="86"/>
      <c r="F268" s="86">
        <v>1290</v>
      </c>
      <c r="G268" s="86"/>
    </row>
    <row r="269" spans="1:7" s="75" customFormat="1" ht="14.25" customHeight="1">
      <c r="A269" s="86" t="s">
        <v>311</v>
      </c>
      <c r="B269" s="86" t="s">
        <v>2854</v>
      </c>
      <c r="C269" s="86"/>
      <c r="D269" s="86"/>
      <c r="E269" s="86"/>
      <c r="F269" s="86">
        <v>1150</v>
      </c>
      <c r="G269" s="86"/>
    </row>
    <row r="270" spans="1:7" s="75" customFormat="1" ht="14.25" customHeight="1">
      <c r="A270" s="86" t="s">
        <v>311</v>
      </c>
      <c r="B270" s="86" t="s">
        <v>2855</v>
      </c>
      <c r="C270" s="86"/>
      <c r="D270" s="86"/>
      <c r="E270" s="86"/>
      <c r="F270" s="86">
        <v>1380</v>
      </c>
      <c r="G270" s="86"/>
    </row>
    <row r="271" spans="1:7" s="75" customFormat="1" ht="14.25" customHeight="1">
      <c r="A271" s="86" t="s">
        <v>311</v>
      </c>
      <c r="B271" s="86" t="s">
        <v>2856</v>
      </c>
      <c r="C271" s="86"/>
      <c r="D271" s="86"/>
      <c r="E271" s="86"/>
      <c r="F271" s="86">
        <v>1460</v>
      </c>
      <c r="G271" s="86"/>
    </row>
    <row r="272" spans="1:7" s="75" customFormat="1" ht="14.25" customHeight="1">
      <c r="A272" s="86" t="s">
        <v>311</v>
      </c>
      <c r="B272" s="86" t="s">
        <v>2857</v>
      </c>
      <c r="C272" s="86"/>
      <c r="D272" s="86"/>
      <c r="E272" s="86"/>
      <c r="F272" s="86">
        <v>1460</v>
      </c>
      <c r="G272" s="86"/>
    </row>
    <row r="273" spans="1:7" s="75" customFormat="1" ht="14.25" customHeight="1">
      <c r="A273" s="86" t="s">
        <v>311</v>
      </c>
      <c r="B273" s="86" t="s">
        <v>2858</v>
      </c>
      <c r="C273" s="86"/>
      <c r="D273" s="86"/>
      <c r="E273" s="86"/>
      <c r="F273" s="86">
        <v>1490</v>
      </c>
      <c r="G273" s="86"/>
    </row>
    <row r="274" spans="1:7" s="75" customFormat="1" ht="14.25" customHeight="1">
      <c r="A274" s="86" t="s">
        <v>311</v>
      </c>
      <c r="B274" s="86" t="s">
        <v>2859</v>
      </c>
      <c r="C274" s="86"/>
      <c r="D274" s="86"/>
      <c r="E274" s="86"/>
      <c r="F274" s="86">
        <v>1490</v>
      </c>
      <c r="G274" s="86"/>
    </row>
    <row r="275" spans="1:7" s="75" customFormat="1" ht="14.25" customHeight="1">
      <c r="A275" s="86" t="s">
        <v>311</v>
      </c>
      <c r="B275" s="86" t="s">
        <v>2860</v>
      </c>
      <c r="C275" s="86"/>
      <c r="D275" s="86"/>
      <c r="E275" s="86"/>
      <c r="F275" s="86">
        <v>1220</v>
      </c>
      <c r="G275" s="86"/>
    </row>
    <row r="276" spans="1:7" s="75" customFormat="1" ht="14.25" customHeight="1">
      <c r="A276" s="88" t="s">
        <v>311</v>
      </c>
      <c r="B276" s="91" t="s">
        <v>2861</v>
      </c>
      <c r="C276" s="92"/>
      <c r="D276" s="92"/>
      <c r="E276" s="92"/>
      <c r="F276" s="92">
        <v>1380</v>
      </c>
      <c r="G276" s="92"/>
    </row>
    <row r="277" spans="1:7" s="75" customFormat="1" ht="14.25" customHeight="1">
      <c r="A277" s="84" t="s">
        <v>318</v>
      </c>
      <c r="B277" s="85" t="s">
        <v>2862</v>
      </c>
      <c r="C277" s="85">
        <v>5790</v>
      </c>
      <c r="D277" s="85">
        <v>5740</v>
      </c>
      <c r="E277" s="85">
        <v>6730</v>
      </c>
      <c r="F277" s="85">
        <v>1110</v>
      </c>
      <c r="G277" s="93">
        <v>3460</v>
      </c>
    </row>
    <row r="278" spans="1:7" s="75" customFormat="1" ht="14.25" customHeight="1">
      <c r="A278" s="86" t="s">
        <v>318</v>
      </c>
      <c r="B278" s="86" t="s">
        <v>2863</v>
      </c>
      <c r="C278" s="86">
        <v>5740</v>
      </c>
      <c r="D278" s="86">
        <v>5670</v>
      </c>
      <c r="E278" s="86">
        <v>6680</v>
      </c>
      <c r="F278" s="86">
        <v>1070</v>
      </c>
      <c r="G278" s="94">
        <v>3420</v>
      </c>
    </row>
    <row r="279" spans="1:7" s="75" customFormat="1" ht="14.25" customHeight="1">
      <c r="A279" s="86" t="s">
        <v>318</v>
      </c>
      <c r="B279" s="86" t="s">
        <v>2864</v>
      </c>
      <c r="C279" s="86">
        <v>4760</v>
      </c>
      <c r="D279" s="86">
        <v>4720</v>
      </c>
      <c r="E279" s="86">
        <v>5540</v>
      </c>
      <c r="F279" s="86">
        <v>810</v>
      </c>
      <c r="G279" s="94">
        <v>2850</v>
      </c>
    </row>
    <row r="280" spans="1:7" s="75" customFormat="1" ht="14.25" customHeight="1">
      <c r="A280" s="86" t="s">
        <v>318</v>
      </c>
      <c r="B280" s="86" t="s">
        <v>2865</v>
      </c>
      <c r="C280" s="86">
        <v>4010</v>
      </c>
      <c r="D280" s="86">
        <v>3950</v>
      </c>
      <c r="E280" s="86">
        <v>4710</v>
      </c>
      <c r="F280" s="86">
        <v>800</v>
      </c>
      <c r="G280" s="94">
        <v>2390</v>
      </c>
    </row>
    <row r="281" spans="1:7" s="75" customFormat="1" ht="14.25" customHeight="1">
      <c r="A281" s="86" t="s">
        <v>318</v>
      </c>
      <c r="B281" s="86" t="s">
        <v>2866</v>
      </c>
      <c r="C281" s="86">
        <v>4480</v>
      </c>
      <c r="D281" s="86">
        <v>4420</v>
      </c>
      <c r="E281" s="86">
        <v>5230</v>
      </c>
      <c r="F281" s="86">
        <v>870</v>
      </c>
      <c r="G281" s="94">
        <v>2660</v>
      </c>
    </row>
    <row r="282" spans="1:7" s="75" customFormat="1" ht="14.25" customHeight="1">
      <c r="A282" s="86" t="s">
        <v>318</v>
      </c>
      <c r="B282" s="86" t="s">
        <v>2867</v>
      </c>
      <c r="C282" s="86">
        <v>5360</v>
      </c>
      <c r="D282" s="86">
        <v>5300</v>
      </c>
      <c r="E282" s="86">
        <v>6190</v>
      </c>
      <c r="F282" s="86">
        <v>950</v>
      </c>
      <c r="G282" s="94">
        <v>3190</v>
      </c>
    </row>
    <row r="283" spans="1:7" s="75" customFormat="1" ht="14.25" customHeight="1">
      <c r="A283" s="86" t="s">
        <v>318</v>
      </c>
      <c r="B283" s="86" t="s">
        <v>2868</v>
      </c>
      <c r="C283" s="86">
        <v>4950</v>
      </c>
      <c r="D283" s="86">
        <v>4900</v>
      </c>
      <c r="E283" s="86">
        <v>5720</v>
      </c>
      <c r="F283" s="86">
        <v>920</v>
      </c>
      <c r="G283" s="94">
        <v>2950</v>
      </c>
    </row>
    <row r="284" spans="1:7" s="75" customFormat="1" ht="14.25" customHeight="1">
      <c r="A284" s="86" t="s">
        <v>318</v>
      </c>
      <c r="B284" s="86" t="s">
        <v>2869</v>
      </c>
      <c r="C284" s="86">
        <v>5610</v>
      </c>
      <c r="D284" s="86">
        <v>5560</v>
      </c>
      <c r="E284" s="86">
        <v>6520</v>
      </c>
      <c r="F284" s="86">
        <v>1030</v>
      </c>
      <c r="G284" s="94">
        <v>3360</v>
      </c>
    </row>
    <row r="285" spans="1:7" s="75" customFormat="1" ht="14.25" customHeight="1">
      <c r="A285" s="86" t="s">
        <v>318</v>
      </c>
      <c r="B285" s="86" t="s">
        <v>2870</v>
      </c>
      <c r="C285" s="86">
        <v>5340</v>
      </c>
      <c r="D285" s="86">
        <v>5290</v>
      </c>
      <c r="E285" s="86">
        <v>6170</v>
      </c>
      <c r="F285" s="86">
        <v>1080</v>
      </c>
      <c r="G285" s="94">
        <v>3180</v>
      </c>
    </row>
    <row r="286" spans="1:7" s="75" customFormat="1" ht="14.25" customHeight="1">
      <c r="A286" s="86" t="s">
        <v>318</v>
      </c>
      <c r="B286" s="86" t="s">
        <v>2871</v>
      </c>
      <c r="C286" s="86">
        <v>4890</v>
      </c>
      <c r="D286" s="86">
        <v>4840</v>
      </c>
      <c r="E286" s="86">
        <v>5640</v>
      </c>
      <c r="F286" s="86">
        <v>960</v>
      </c>
      <c r="G286" s="94">
        <v>2910</v>
      </c>
    </row>
    <row r="287" spans="1:7" s="75" customFormat="1" ht="14.25" customHeight="1">
      <c r="A287" s="86" t="s">
        <v>318</v>
      </c>
      <c r="B287" s="86" t="s">
        <v>2872</v>
      </c>
      <c r="C287" s="86">
        <v>4960</v>
      </c>
      <c r="D287" s="86">
        <v>4920</v>
      </c>
      <c r="E287" s="86">
        <v>5730</v>
      </c>
      <c r="F287" s="86">
        <v>930</v>
      </c>
      <c r="G287" s="94">
        <v>2960</v>
      </c>
    </row>
    <row r="288" spans="1:7" s="75" customFormat="1" ht="14.25" customHeight="1">
      <c r="A288" s="86" t="s">
        <v>318</v>
      </c>
      <c r="B288" s="86" t="s">
        <v>2873</v>
      </c>
      <c r="C288" s="86">
        <v>4350</v>
      </c>
      <c r="D288" s="86">
        <v>4300</v>
      </c>
      <c r="E288" s="86">
        <v>4900</v>
      </c>
      <c r="F288" s="86">
        <v>820</v>
      </c>
      <c r="G288" s="94">
        <v>2590</v>
      </c>
    </row>
    <row r="289" spans="1:7" s="75" customFormat="1" ht="14.25" customHeight="1">
      <c r="A289" s="86" t="s">
        <v>318</v>
      </c>
      <c r="B289" s="86" t="s">
        <v>2874</v>
      </c>
      <c r="C289" s="86">
        <v>5230</v>
      </c>
      <c r="D289" s="86">
        <v>5170</v>
      </c>
      <c r="E289" s="86">
        <v>6060</v>
      </c>
      <c r="F289" s="86">
        <v>900</v>
      </c>
      <c r="G289" s="94">
        <v>3120</v>
      </c>
    </row>
    <row r="290" spans="1:7" s="75" customFormat="1" ht="14.25" customHeight="1">
      <c r="A290" s="86" t="s">
        <v>318</v>
      </c>
      <c r="B290" s="86" t="s">
        <v>2875</v>
      </c>
      <c r="C290" s="86">
        <v>5550</v>
      </c>
      <c r="D290" s="86">
        <v>5500</v>
      </c>
      <c r="E290" s="86">
        <v>6440</v>
      </c>
      <c r="F290" s="86">
        <v>960</v>
      </c>
      <c r="G290" s="94">
        <v>3320</v>
      </c>
    </row>
    <row r="291" spans="1:7" s="75" customFormat="1" ht="14.25" customHeight="1">
      <c r="A291" s="86" t="s">
        <v>318</v>
      </c>
      <c r="B291" s="86" t="s">
        <v>2876</v>
      </c>
      <c r="C291" s="86">
        <v>5440</v>
      </c>
      <c r="D291" s="86">
        <v>5400</v>
      </c>
      <c r="E291" s="86">
        <v>6320</v>
      </c>
      <c r="F291" s="86">
        <v>930</v>
      </c>
      <c r="G291" s="94">
        <v>3250</v>
      </c>
    </row>
    <row r="292" spans="1:7" s="75" customFormat="1" ht="14.25" customHeight="1">
      <c r="A292" s="86" t="s">
        <v>318</v>
      </c>
      <c r="B292" s="86" t="s">
        <v>2877</v>
      </c>
      <c r="C292" s="86">
        <v>5400</v>
      </c>
      <c r="D292" s="86">
        <v>5360</v>
      </c>
      <c r="E292" s="86">
        <v>6270</v>
      </c>
      <c r="F292" s="86">
        <v>1040</v>
      </c>
      <c r="G292" s="94">
        <v>3230</v>
      </c>
    </row>
    <row r="293" spans="1:7" s="75" customFormat="1" ht="14.25" customHeight="1">
      <c r="A293" s="86" t="s">
        <v>318</v>
      </c>
      <c r="B293" s="86" t="s">
        <v>2878</v>
      </c>
      <c r="C293" s="86">
        <v>5320</v>
      </c>
      <c r="D293" s="86">
        <v>5270</v>
      </c>
      <c r="E293" s="86">
        <v>6160</v>
      </c>
      <c r="F293" s="86">
        <v>990</v>
      </c>
      <c r="G293" s="94">
        <v>3170</v>
      </c>
    </row>
    <row r="294" spans="1:7" s="75" customFormat="1" ht="14.25" customHeight="1">
      <c r="A294" s="86" t="s">
        <v>318</v>
      </c>
      <c r="B294" s="86" t="s">
        <v>2879</v>
      </c>
      <c r="C294" s="86">
        <v>5260</v>
      </c>
      <c r="D294" s="86">
        <v>5210</v>
      </c>
      <c r="E294" s="86">
        <v>6100</v>
      </c>
      <c r="F294" s="86">
        <v>950</v>
      </c>
      <c r="G294" s="94">
        <v>3150</v>
      </c>
    </row>
    <row r="295" spans="1:7" s="75" customFormat="1" ht="14.25" customHeight="1">
      <c r="A295" s="86" t="s">
        <v>318</v>
      </c>
      <c r="B295" s="86" t="s">
        <v>2880</v>
      </c>
      <c r="C295" s="86">
        <v>5610</v>
      </c>
      <c r="D295" s="86">
        <v>5570</v>
      </c>
      <c r="E295" s="86">
        <v>6530</v>
      </c>
      <c r="F295" s="86">
        <v>960</v>
      </c>
      <c r="G295" s="94">
        <v>3360</v>
      </c>
    </row>
    <row r="296" spans="1:7" s="75" customFormat="1" ht="14.25" customHeight="1">
      <c r="A296" s="86" t="s">
        <v>318</v>
      </c>
      <c r="B296" s="86" t="s">
        <v>2881</v>
      </c>
      <c r="C296" s="86">
        <v>5540</v>
      </c>
      <c r="D296" s="86">
        <v>5490</v>
      </c>
      <c r="E296" s="86">
        <v>6430</v>
      </c>
      <c r="F296" s="86">
        <v>980</v>
      </c>
      <c r="G296" s="94">
        <v>3310</v>
      </c>
    </row>
    <row r="297" spans="1:7" s="75" customFormat="1" ht="14.25" customHeight="1">
      <c r="A297" s="86" t="s">
        <v>318</v>
      </c>
      <c r="B297" s="86" t="s">
        <v>2882</v>
      </c>
      <c r="C297" s="86">
        <v>5480</v>
      </c>
      <c r="D297" s="86">
        <v>5420</v>
      </c>
      <c r="E297" s="86">
        <v>6370</v>
      </c>
      <c r="F297" s="86">
        <v>990</v>
      </c>
      <c r="G297" s="94">
        <v>3270</v>
      </c>
    </row>
    <row r="298" spans="1:7" s="75" customFormat="1" ht="14.25" customHeight="1">
      <c r="A298" s="86" t="s">
        <v>318</v>
      </c>
      <c r="B298" s="86" t="s">
        <v>2883</v>
      </c>
      <c r="C298" s="86">
        <v>5090</v>
      </c>
      <c r="D298" s="86">
        <v>5050</v>
      </c>
      <c r="E298" s="86">
        <v>5910</v>
      </c>
      <c r="F298" s="86">
        <v>900</v>
      </c>
      <c r="G298" s="94">
        <v>3040</v>
      </c>
    </row>
    <row r="299" spans="1:7" s="75" customFormat="1" ht="14.25" customHeight="1">
      <c r="A299" s="86" t="s">
        <v>318</v>
      </c>
      <c r="B299" s="100" t="s">
        <v>547</v>
      </c>
      <c r="C299" s="86">
        <v>5430</v>
      </c>
      <c r="D299" s="86">
        <v>5380</v>
      </c>
      <c r="E299" s="86">
        <v>6280</v>
      </c>
      <c r="F299" s="86">
        <v>1000</v>
      </c>
      <c r="G299" s="94">
        <v>3240</v>
      </c>
    </row>
    <row r="300" spans="1:7" s="75" customFormat="1" ht="14.25" customHeight="1">
      <c r="A300" s="86" t="s">
        <v>318</v>
      </c>
      <c r="B300" s="100" t="s">
        <v>2884</v>
      </c>
      <c r="C300" s="86">
        <v>4740</v>
      </c>
      <c r="D300" s="86">
        <v>4680</v>
      </c>
      <c r="E300" s="86">
        <v>5450</v>
      </c>
      <c r="F300" s="86">
        <v>900</v>
      </c>
      <c r="G300" s="94">
        <v>2830</v>
      </c>
    </row>
    <row r="301" spans="1:7" s="75" customFormat="1" ht="14.25" customHeight="1">
      <c r="A301" s="86" t="s">
        <v>318</v>
      </c>
      <c r="B301" s="100" t="s">
        <v>2885</v>
      </c>
      <c r="C301" s="86">
        <v>4870</v>
      </c>
      <c r="D301" s="86">
        <v>4810</v>
      </c>
      <c r="E301" s="86">
        <v>5560</v>
      </c>
      <c r="F301" s="86">
        <v>990</v>
      </c>
      <c r="G301" s="94">
        <v>2910</v>
      </c>
    </row>
    <row r="302" spans="1:7" s="75" customFormat="1" ht="14.25" customHeight="1">
      <c r="A302" s="86" t="s">
        <v>318</v>
      </c>
      <c r="B302" s="86" t="s">
        <v>2886</v>
      </c>
      <c r="C302" s="86">
        <v>5520</v>
      </c>
      <c r="D302" s="86">
        <v>5470</v>
      </c>
      <c r="E302" s="86">
        <v>6410</v>
      </c>
      <c r="F302" s="86">
        <v>950</v>
      </c>
      <c r="G302" s="94">
        <v>3300</v>
      </c>
    </row>
    <row r="303" spans="1:7" s="75" customFormat="1" ht="14.25" customHeight="1">
      <c r="A303" s="86" t="s">
        <v>318</v>
      </c>
      <c r="B303" s="86" t="s">
        <v>2887</v>
      </c>
      <c r="C303" s="86">
        <v>5630</v>
      </c>
      <c r="D303" s="86">
        <v>5590</v>
      </c>
      <c r="E303" s="86">
        <v>6550</v>
      </c>
      <c r="F303" s="86">
        <v>1010</v>
      </c>
      <c r="G303" s="94">
        <v>3370</v>
      </c>
    </row>
    <row r="304" spans="1:7" s="75" customFormat="1" ht="14.25" customHeight="1">
      <c r="A304" s="86" t="s">
        <v>318</v>
      </c>
      <c r="B304" s="86" t="s">
        <v>2888</v>
      </c>
      <c r="C304" s="86">
        <v>5680</v>
      </c>
      <c r="D304" s="86">
        <v>5620</v>
      </c>
      <c r="E304" s="86">
        <v>6620</v>
      </c>
      <c r="F304" s="86">
        <v>1050</v>
      </c>
      <c r="G304" s="94">
        <v>3390</v>
      </c>
    </row>
    <row r="305" spans="1:7" s="75" customFormat="1" ht="14.25" customHeight="1">
      <c r="A305" s="86" t="s">
        <v>318</v>
      </c>
      <c r="B305" s="86" t="s">
        <v>2889</v>
      </c>
      <c r="C305" s="86">
        <v>5590</v>
      </c>
      <c r="D305" s="86">
        <v>5530</v>
      </c>
      <c r="E305" s="86">
        <v>6460</v>
      </c>
      <c r="F305" s="86">
        <v>900</v>
      </c>
      <c r="G305" s="94">
        <v>3340</v>
      </c>
    </row>
    <row r="306" spans="1:7" s="75" customFormat="1" ht="14.25" customHeight="1">
      <c r="A306" s="86" t="s">
        <v>318</v>
      </c>
      <c r="B306" s="86" t="s">
        <v>2890</v>
      </c>
      <c r="C306" s="86">
        <v>5560</v>
      </c>
      <c r="D306" s="86">
        <v>5510</v>
      </c>
      <c r="E306" s="86">
        <v>6440</v>
      </c>
      <c r="F306" s="86">
        <v>900</v>
      </c>
      <c r="G306" s="94">
        <v>3320</v>
      </c>
    </row>
    <row r="307" spans="1:7" s="75" customFormat="1" ht="14.25" customHeight="1">
      <c r="A307" s="86" t="s">
        <v>318</v>
      </c>
      <c r="B307" s="86" t="s">
        <v>2891</v>
      </c>
      <c r="C307" s="86">
        <v>5650</v>
      </c>
      <c r="D307" s="86">
        <v>5600</v>
      </c>
      <c r="E307" s="86">
        <v>6590</v>
      </c>
      <c r="F307" s="86">
        <v>930</v>
      </c>
      <c r="G307" s="94">
        <v>3380</v>
      </c>
    </row>
    <row r="308" spans="1:7" s="75" customFormat="1" ht="14.25" customHeight="1">
      <c r="A308" s="86" t="s">
        <v>318</v>
      </c>
      <c r="B308" s="86" t="s">
        <v>2892</v>
      </c>
      <c r="C308" s="86">
        <v>5620</v>
      </c>
      <c r="D308" s="86">
        <v>5580</v>
      </c>
      <c r="E308" s="86">
        <v>6540</v>
      </c>
      <c r="F308" s="86">
        <v>910</v>
      </c>
      <c r="G308" s="94">
        <v>3370</v>
      </c>
    </row>
    <row r="309" spans="1:7" s="75" customFormat="1" ht="14.25" customHeight="1">
      <c r="A309" s="86" t="s">
        <v>318</v>
      </c>
      <c r="B309" s="86" t="s">
        <v>2893</v>
      </c>
      <c r="C309" s="86">
        <v>5060</v>
      </c>
      <c r="D309" s="86">
        <v>5020</v>
      </c>
      <c r="E309" s="86">
        <v>6370</v>
      </c>
      <c r="F309" s="86">
        <v>800</v>
      </c>
      <c r="G309" s="94">
        <v>3020</v>
      </c>
    </row>
    <row r="310" spans="1:7" s="75" customFormat="1" ht="14.25" customHeight="1">
      <c r="A310" s="86" t="s">
        <v>318</v>
      </c>
      <c r="B310" s="86" t="s">
        <v>2894</v>
      </c>
      <c r="C310" s="86">
        <v>5150</v>
      </c>
      <c r="D310" s="86">
        <v>5110</v>
      </c>
      <c r="E310" s="86">
        <v>6500</v>
      </c>
      <c r="F310" s="86">
        <v>880</v>
      </c>
      <c r="G310" s="94">
        <v>3080</v>
      </c>
    </row>
    <row r="311" spans="1:7" s="75" customFormat="1" ht="14.25" customHeight="1">
      <c r="A311" s="86" t="s">
        <v>318</v>
      </c>
      <c r="B311" s="86" t="s">
        <v>2895</v>
      </c>
      <c r="C311" s="86">
        <v>4750</v>
      </c>
      <c r="D311" s="86">
        <v>4710</v>
      </c>
      <c r="E311" s="86">
        <v>5510</v>
      </c>
      <c r="F311" s="86">
        <v>880</v>
      </c>
      <c r="G311" s="94">
        <v>2840</v>
      </c>
    </row>
    <row r="312" spans="1:7" s="75" customFormat="1" ht="14.25" customHeight="1">
      <c r="A312" s="86" t="s">
        <v>318</v>
      </c>
      <c r="B312" s="86" t="s">
        <v>2896</v>
      </c>
      <c r="C312" s="86">
        <v>4690</v>
      </c>
      <c r="D312" s="86">
        <v>4640</v>
      </c>
      <c r="E312" s="86">
        <v>5420</v>
      </c>
      <c r="F312" s="86">
        <v>800</v>
      </c>
      <c r="G312" s="94">
        <v>2800</v>
      </c>
    </row>
    <row r="313" spans="1:7" s="75" customFormat="1" ht="14.25" customHeight="1">
      <c r="A313" s="86" t="s">
        <v>318</v>
      </c>
      <c r="B313" s="86" t="s">
        <v>2897</v>
      </c>
      <c r="C313" s="86">
        <v>4810</v>
      </c>
      <c r="D313" s="86">
        <v>4760</v>
      </c>
      <c r="E313" s="86">
        <v>5550</v>
      </c>
      <c r="F313" s="86">
        <v>920</v>
      </c>
      <c r="G313" s="94">
        <v>2870</v>
      </c>
    </row>
    <row r="314" spans="1:7" s="75" customFormat="1" ht="14.25" customHeight="1">
      <c r="A314" s="86" t="s">
        <v>318</v>
      </c>
      <c r="B314" s="86" t="s">
        <v>2898</v>
      </c>
      <c r="C314" s="86"/>
      <c r="D314" s="86"/>
      <c r="E314" s="86"/>
      <c r="F314" s="86">
        <v>1020</v>
      </c>
      <c r="G314" s="94"/>
    </row>
    <row r="315" spans="1:7" s="75" customFormat="1" ht="14.25" customHeight="1">
      <c r="A315" s="86" t="s">
        <v>318</v>
      </c>
      <c r="B315" s="86" t="s">
        <v>2899</v>
      </c>
      <c r="C315" s="86"/>
      <c r="D315" s="86"/>
      <c r="E315" s="86"/>
      <c r="F315" s="86">
        <v>1050</v>
      </c>
      <c r="G315" s="94"/>
    </row>
    <row r="316" spans="1:7" s="75" customFormat="1" ht="14.25" customHeight="1">
      <c r="A316" s="86" t="s">
        <v>318</v>
      </c>
      <c r="B316" s="86" t="s">
        <v>2900</v>
      </c>
      <c r="C316" s="86"/>
      <c r="D316" s="86"/>
      <c r="E316" s="86"/>
      <c r="F316" s="86">
        <v>900</v>
      </c>
      <c r="G316" s="94"/>
    </row>
    <row r="317" spans="1:7" s="75" customFormat="1" ht="14.25" customHeight="1">
      <c r="A317" s="86" t="s">
        <v>318</v>
      </c>
      <c r="B317" s="86" t="s">
        <v>2901</v>
      </c>
      <c r="C317" s="86"/>
      <c r="D317" s="86"/>
      <c r="E317" s="86"/>
      <c r="F317" s="86">
        <v>920</v>
      </c>
      <c r="G317" s="94"/>
    </row>
    <row r="318" spans="1:7" s="75" customFormat="1" ht="14.25" customHeight="1">
      <c r="A318" s="86" t="s">
        <v>318</v>
      </c>
      <c r="B318" s="86" t="s">
        <v>2902</v>
      </c>
      <c r="C318" s="86"/>
      <c r="D318" s="86"/>
      <c r="E318" s="86"/>
      <c r="F318" s="86">
        <v>1080</v>
      </c>
      <c r="G318" s="94"/>
    </row>
    <row r="319" spans="1:7" s="75" customFormat="1" ht="14.25" customHeight="1">
      <c r="A319" s="86" t="s">
        <v>318</v>
      </c>
      <c r="B319" s="86" t="s">
        <v>2903</v>
      </c>
      <c r="C319" s="86"/>
      <c r="D319" s="86"/>
      <c r="E319" s="86"/>
      <c r="F319" s="86">
        <v>1020</v>
      </c>
      <c r="G319" s="94"/>
    </row>
    <row r="320" spans="1:7" s="75" customFormat="1" ht="14.25" customHeight="1">
      <c r="A320" s="86" t="s">
        <v>318</v>
      </c>
      <c r="B320" s="86" t="s">
        <v>2904</v>
      </c>
      <c r="C320" s="86"/>
      <c r="D320" s="86"/>
      <c r="E320" s="86"/>
      <c r="F320" s="86">
        <v>1050</v>
      </c>
      <c r="G320" s="94"/>
    </row>
    <row r="321" spans="1:7" s="75" customFormat="1" ht="14.25" customHeight="1">
      <c r="A321" s="86" t="s">
        <v>318</v>
      </c>
      <c r="B321" s="86" t="s">
        <v>2905</v>
      </c>
      <c r="C321" s="86"/>
      <c r="D321" s="86"/>
      <c r="E321" s="86"/>
      <c r="F321" s="86">
        <v>960</v>
      </c>
      <c r="G321" s="94"/>
    </row>
    <row r="322" spans="1:7" s="75" customFormat="1" ht="14.25" customHeight="1">
      <c r="A322" s="86" t="s">
        <v>318</v>
      </c>
      <c r="B322" s="86" t="s">
        <v>2906</v>
      </c>
      <c r="C322" s="86"/>
      <c r="D322" s="86"/>
      <c r="E322" s="86"/>
      <c r="F322" s="86">
        <v>960</v>
      </c>
      <c r="G322" s="94"/>
    </row>
    <row r="323" spans="1:7" s="75" customFormat="1" ht="14.25" customHeight="1">
      <c r="A323" s="86" t="s">
        <v>318</v>
      </c>
      <c r="B323" s="86" t="s">
        <v>2907</v>
      </c>
      <c r="C323" s="86"/>
      <c r="D323" s="86"/>
      <c r="E323" s="86"/>
      <c r="F323" s="86">
        <v>880</v>
      </c>
      <c r="G323" s="94"/>
    </row>
    <row r="324" spans="1:7" s="75" customFormat="1" ht="14.25" customHeight="1">
      <c r="A324" s="86" t="s">
        <v>318</v>
      </c>
      <c r="B324" s="86" t="s">
        <v>2908</v>
      </c>
      <c r="C324" s="86"/>
      <c r="D324" s="86"/>
      <c r="E324" s="86"/>
      <c r="F324" s="86">
        <v>930</v>
      </c>
      <c r="G324" s="94"/>
    </row>
    <row r="325" spans="1:7" s="75" customFormat="1" ht="14.25" customHeight="1">
      <c r="A325" s="86" t="s">
        <v>318</v>
      </c>
      <c r="B325" s="87" t="s">
        <v>2909</v>
      </c>
      <c r="C325" s="86"/>
      <c r="D325" s="86"/>
      <c r="E325" s="86"/>
      <c r="F325" s="86">
        <v>900</v>
      </c>
      <c r="G325" s="94"/>
    </row>
    <row r="326" spans="1:7" s="75" customFormat="1" ht="14.25" customHeight="1">
      <c r="A326" s="95" t="s">
        <v>318</v>
      </c>
      <c r="B326" s="90" t="s">
        <v>2910</v>
      </c>
      <c r="C326" s="90"/>
      <c r="D326" s="90"/>
      <c r="E326" s="90"/>
      <c r="F326" s="90">
        <v>790</v>
      </c>
      <c r="G326" s="96"/>
    </row>
    <row r="327" spans="1:7" s="75" customFormat="1" ht="14.25" customHeight="1">
      <c r="A327" s="84" t="s">
        <v>324</v>
      </c>
      <c r="B327" s="85" t="s">
        <v>2911</v>
      </c>
      <c r="C327" s="86">
        <v>3750</v>
      </c>
      <c r="D327" s="86">
        <v>3710</v>
      </c>
      <c r="E327" s="86">
        <v>4080</v>
      </c>
      <c r="F327" s="86">
        <v>860</v>
      </c>
      <c r="G327" s="86">
        <v>2210</v>
      </c>
    </row>
    <row r="328" spans="1:7" s="75" customFormat="1" ht="14.25" customHeight="1">
      <c r="A328" s="86" t="s">
        <v>324</v>
      </c>
      <c r="B328" s="86" t="s">
        <v>2912</v>
      </c>
      <c r="C328" s="86">
        <v>3330</v>
      </c>
      <c r="D328" s="86">
        <v>3290</v>
      </c>
      <c r="E328" s="86">
        <v>3610</v>
      </c>
      <c r="F328" s="86">
        <v>850</v>
      </c>
      <c r="G328" s="86">
        <v>1960</v>
      </c>
    </row>
    <row r="329" spans="1:7" s="75" customFormat="1" ht="14.25" customHeight="1">
      <c r="A329" s="86" t="s">
        <v>324</v>
      </c>
      <c r="B329" s="86" t="s">
        <v>2913</v>
      </c>
      <c r="C329" s="86">
        <v>2730</v>
      </c>
      <c r="D329" s="86">
        <v>2690</v>
      </c>
      <c r="E329" s="86">
        <v>3100</v>
      </c>
      <c r="F329" s="86">
        <v>660</v>
      </c>
      <c r="G329" s="86">
        <v>1610</v>
      </c>
    </row>
    <row r="330" spans="1:7" s="75" customFormat="1" ht="14.25" customHeight="1">
      <c r="A330" s="86" t="s">
        <v>324</v>
      </c>
      <c r="B330" s="86" t="s">
        <v>2914</v>
      </c>
      <c r="C330" s="86">
        <v>3270</v>
      </c>
      <c r="D330" s="86">
        <v>3240</v>
      </c>
      <c r="E330" s="86">
        <v>3560</v>
      </c>
      <c r="F330" s="86">
        <v>680</v>
      </c>
      <c r="G330" s="86">
        <v>1940</v>
      </c>
    </row>
    <row r="331" spans="1:7" s="75" customFormat="1" ht="14.25" customHeight="1">
      <c r="A331" s="86" t="s">
        <v>324</v>
      </c>
      <c r="B331" s="86" t="s">
        <v>2915</v>
      </c>
      <c r="C331" s="86">
        <v>3770</v>
      </c>
      <c r="D331" s="86">
        <v>3740</v>
      </c>
      <c r="E331" s="86">
        <v>4110</v>
      </c>
      <c r="F331" s="86">
        <v>730</v>
      </c>
      <c r="G331" s="86">
        <v>2230</v>
      </c>
    </row>
    <row r="332" spans="1:7" s="75" customFormat="1" ht="14.25" customHeight="1">
      <c r="A332" s="86" t="s">
        <v>324</v>
      </c>
      <c r="B332" s="86" t="s">
        <v>2916</v>
      </c>
      <c r="C332" s="86">
        <v>3520</v>
      </c>
      <c r="D332" s="86">
        <v>3480</v>
      </c>
      <c r="E332" s="86">
        <v>3830</v>
      </c>
      <c r="F332" s="86">
        <v>720</v>
      </c>
      <c r="G332" s="86">
        <v>2090</v>
      </c>
    </row>
    <row r="333" spans="1:7" s="75" customFormat="1" ht="14.25" customHeight="1">
      <c r="A333" s="86" t="s">
        <v>324</v>
      </c>
      <c r="B333" s="86" t="s">
        <v>2917</v>
      </c>
      <c r="C333" s="86">
        <v>3840</v>
      </c>
      <c r="D333" s="86">
        <v>3800</v>
      </c>
      <c r="E333" s="86">
        <v>4200</v>
      </c>
      <c r="F333" s="86">
        <v>760</v>
      </c>
      <c r="G333" s="86">
        <v>2270</v>
      </c>
    </row>
    <row r="334" spans="1:7" s="75" customFormat="1" ht="14.25" customHeight="1">
      <c r="A334" s="86" t="s">
        <v>324</v>
      </c>
      <c r="B334" s="86" t="s">
        <v>2918</v>
      </c>
      <c r="C334" s="86">
        <v>3960</v>
      </c>
      <c r="D334" s="86">
        <v>3910</v>
      </c>
      <c r="E334" s="86">
        <v>4340</v>
      </c>
      <c r="F334" s="86">
        <v>780</v>
      </c>
      <c r="G334" s="86">
        <v>2340</v>
      </c>
    </row>
    <row r="335" spans="1:7" s="75" customFormat="1" ht="14.25" customHeight="1">
      <c r="A335" s="86" t="s">
        <v>324</v>
      </c>
      <c r="B335" s="86" t="s">
        <v>2919</v>
      </c>
      <c r="C335" s="86">
        <v>3710</v>
      </c>
      <c r="D335" s="86">
        <v>3670</v>
      </c>
      <c r="E335" s="86">
        <v>4030</v>
      </c>
      <c r="F335" s="86">
        <v>750</v>
      </c>
      <c r="G335" s="86">
        <v>2200</v>
      </c>
    </row>
    <row r="336" spans="1:7" s="75" customFormat="1" ht="14.25" customHeight="1">
      <c r="A336" s="86" t="s">
        <v>324</v>
      </c>
      <c r="B336" s="86" t="s">
        <v>2920</v>
      </c>
      <c r="C336" s="86">
        <v>3570</v>
      </c>
      <c r="D336" s="86">
        <v>3530</v>
      </c>
      <c r="E336" s="86">
        <v>3880</v>
      </c>
      <c r="F336" s="86">
        <v>770</v>
      </c>
      <c r="G336" s="86">
        <v>2110</v>
      </c>
    </row>
    <row r="337" spans="1:10" s="75" customFormat="1" ht="14.25" customHeight="1">
      <c r="A337" s="86" t="s">
        <v>324</v>
      </c>
      <c r="B337" s="86" t="s">
        <v>2921</v>
      </c>
      <c r="C337" s="86">
        <v>3780</v>
      </c>
      <c r="D337" s="86">
        <v>3750</v>
      </c>
      <c r="E337" s="86">
        <v>4130</v>
      </c>
      <c r="F337" s="86">
        <v>750</v>
      </c>
      <c r="G337" s="86">
        <v>2240</v>
      </c>
    </row>
    <row r="338" spans="1:10" s="75" customFormat="1" ht="14.25" customHeight="1">
      <c r="A338" s="86" t="s">
        <v>324</v>
      </c>
      <c r="B338" s="86" t="s">
        <v>2922</v>
      </c>
      <c r="C338" s="86">
        <v>3600</v>
      </c>
      <c r="D338" s="86">
        <v>3570</v>
      </c>
      <c r="E338" s="86">
        <v>3920</v>
      </c>
      <c r="F338" s="86">
        <v>790</v>
      </c>
      <c r="G338" s="86">
        <v>2140</v>
      </c>
    </row>
    <row r="339" spans="1:10" s="75" customFormat="1" ht="14.25" customHeight="1">
      <c r="A339" s="86" t="s">
        <v>324</v>
      </c>
      <c r="B339" s="86" t="s">
        <v>2923</v>
      </c>
      <c r="C339" s="86">
        <v>3540</v>
      </c>
      <c r="D339" s="86">
        <v>3500</v>
      </c>
      <c r="E339" s="86">
        <v>3850</v>
      </c>
      <c r="F339" s="86">
        <v>780</v>
      </c>
      <c r="G339" s="86">
        <v>2100</v>
      </c>
    </row>
    <row r="340" spans="1:10" s="75" customFormat="1" ht="14.25" customHeight="1">
      <c r="A340" s="86" t="s">
        <v>324</v>
      </c>
      <c r="B340" s="86" t="s">
        <v>2924</v>
      </c>
      <c r="C340" s="86">
        <v>3850</v>
      </c>
      <c r="D340" s="86">
        <v>3810</v>
      </c>
      <c r="E340" s="86">
        <v>4210</v>
      </c>
      <c r="F340" s="86">
        <v>750</v>
      </c>
      <c r="G340" s="86">
        <v>2280</v>
      </c>
    </row>
    <row r="341" spans="1:10" s="75" customFormat="1" ht="14.25" customHeight="1">
      <c r="A341" s="86" t="s">
        <v>324</v>
      </c>
      <c r="B341" s="86" t="s">
        <v>2925</v>
      </c>
      <c r="C341" s="86">
        <v>3780</v>
      </c>
      <c r="D341" s="86">
        <v>3750</v>
      </c>
      <c r="E341" s="86">
        <v>4140</v>
      </c>
      <c r="F341" s="86">
        <v>720</v>
      </c>
      <c r="G341" s="86">
        <v>2240</v>
      </c>
    </row>
    <row r="342" spans="1:10" s="75" customFormat="1" ht="14.25" customHeight="1">
      <c r="A342" s="86" t="s">
        <v>324</v>
      </c>
      <c r="B342" s="86" t="s">
        <v>2926</v>
      </c>
      <c r="C342" s="86">
        <v>3670</v>
      </c>
      <c r="D342" s="86">
        <v>3620</v>
      </c>
      <c r="E342" s="86">
        <v>3990</v>
      </c>
      <c r="F342" s="86">
        <v>760</v>
      </c>
      <c r="G342" s="86">
        <v>2170</v>
      </c>
    </row>
    <row r="343" spans="1:10" s="75" customFormat="1" ht="14.25" customHeight="1">
      <c r="A343" s="86" t="s">
        <v>324</v>
      </c>
      <c r="B343" s="86" t="s">
        <v>2927</v>
      </c>
      <c r="C343" s="86">
        <v>3760</v>
      </c>
      <c r="D343" s="86">
        <v>3720</v>
      </c>
      <c r="E343" s="86">
        <v>4090</v>
      </c>
      <c r="F343" s="86">
        <v>780</v>
      </c>
      <c r="G343" s="86">
        <v>2220</v>
      </c>
    </row>
    <row r="344" spans="1:10" s="75" customFormat="1" ht="14.25" customHeight="1">
      <c r="A344" s="86" t="s">
        <v>324</v>
      </c>
      <c r="B344" s="86" t="s">
        <v>2928</v>
      </c>
      <c r="C344" s="86">
        <v>3680</v>
      </c>
      <c r="D344" s="86">
        <v>3640</v>
      </c>
      <c r="E344" s="86">
        <v>4010</v>
      </c>
      <c r="F344" s="86">
        <v>750</v>
      </c>
      <c r="G344" s="86">
        <v>2180</v>
      </c>
    </row>
    <row r="345" spans="1:10">
      <c r="A345" s="86" t="s">
        <v>324</v>
      </c>
      <c r="B345" s="86" t="s">
        <v>2929</v>
      </c>
      <c r="C345" s="86">
        <v>3190</v>
      </c>
      <c r="D345" s="86">
        <v>3140</v>
      </c>
      <c r="E345" s="86">
        <v>3450</v>
      </c>
      <c r="F345" s="86">
        <v>720</v>
      </c>
      <c r="G345" s="86">
        <v>1880</v>
      </c>
      <c r="J345" s="75"/>
    </row>
    <row r="346" spans="1:10">
      <c r="A346" s="86" t="s">
        <v>324</v>
      </c>
      <c r="B346" s="86" t="s">
        <v>2930</v>
      </c>
      <c r="C346" s="86">
        <v>3630</v>
      </c>
      <c r="D346" s="86">
        <v>3590</v>
      </c>
      <c r="E346" s="86">
        <v>3940</v>
      </c>
      <c r="F346" s="86">
        <v>730</v>
      </c>
      <c r="G346" s="86">
        <v>2150</v>
      </c>
      <c r="J346" s="75"/>
    </row>
    <row r="347" spans="1:10">
      <c r="A347" s="86" t="s">
        <v>324</v>
      </c>
      <c r="B347" s="86" t="s">
        <v>2931</v>
      </c>
      <c r="C347" s="86">
        <v>3860</v>
      </c>
      <c r="D347" s="86">
        <v>3820</v>
      </c>
      <c r="E347" s="86">
        <v>4220</v>
      </c>
      <c r="F347" s="86">
        <v>750</v>
      </c>
      <c r="G347" s="86">
        <v>2280</v>
      </c>
      <c r="J347" s="75"/>
    </row>
    <row r="348" spans="1:10">
      <c r="A348" s="86" t="s">
        <v>324</v>
      </c>
      <c r="B348" s="86" t="s">
        <v>2932</v>
      </c>
      <c r="C348" s="86">
        <v>4000</v>
      </c>
      <c r="D348" s="86">
        <v>3950</v>
      </c>
      <c r="E348" s="86">
        <v>4430</v>
      </c>
      <c r="F348" s="86">
        <v>760</v>
      </c>
      <c r="G348" s="86">
        <v>2360</v>
      </c>
      <c r="J348" s="75"/>
    </row>
    <row r="349" spans="1:10">
      <c r="A349" s="86" t="s">
        <v>324</v>
      </c>
      <c r="B349" s="86" t="s">
        <v>2933</v>
      </c>
      <c r="C349" s="86">
        <v>3820</v>
      </c>
      <c r="D349" s="86">
        <v>3780</v>
      </c>
      <c r="E349" s="86">
        <v>4170</v>
      </c>
      <c r="F349" s="86">
        <v>710</v>
      </c>
      <c r="G349" s="86">
        <v>2260</v>
      </c>
      <c r="J349" s="75"/>
    </row>
    <row r="350" spans="1:10">
      <c r="A350" s="86" t="s">
        <v>324</v>
      </c>
      <c r="B350" s="86" t="s">
        <v>2934</v>
      </c>
      <c r="C350" s="86">
        <v>3760</v>
      </c>
      <c r="D350" s="86">
        <v>3730</v>
      </c>
      <c r="E350" s="86">
        <v>4100</v>
      </c>
      <c r="F350" s="86">
        <v>800</v>
      </c>
      <c r="G350" s="86">
        <v>2230</v>
      </c>
      <c r="J350" s="75"/>
    </row>
    <row r="351" spans="1:10">
      <c r="A351" s="86" t="s">
        <v>324</v>
      </c>
      <c r="B351" s="86" t="s">
        <v>2935</v>
      </c>
      <c r="C351" s="86">
        <v>3610</v>
      </c>
      <c r="D351" s="86">
        <v>3580</v>
      </c>
      <c r="E351" s="86">
        <v>3930</v>
      </c>
      <c r="F351" s="86">
        <v>700</v>
      </c>
      <c r="G351" s="86">
        <v>2140</v>
      </c>
      <c r="J351" s="75"/>
    </row>
    <row r="352" spans="1:10">
      <c r="A352" s="86" t="s">
        <v>324</v>
      </c>
      <c r="B352" s="86" t="s">
        <v>2936</v>
      </c>
      <c r="C352" s="86">
        <v>3670</v>
      </c>
      <c r="D352" s="86">
        <v>3630</v>
      </c>
      <c r="E352" s="86">
        <v>4000</v>
      </c>
      <c r="F352" s="86">
        <v>750</v>
      </c>
      <c r="G352" s="86">
        <v>2180</v>
      </c>
    </row>
    <row r="353" spans="1:7" s="76" customFormat="1">
      <c r="A353" s="86" t="s">
        <v>324</v>
      </c>
      <c r="B353" s="86" t="s">
        <v>2937</v>
      </c>
      <c r="C353" s="86">
        <v>3190</v>
      </c>
      <c r="D353" s="86">
        <v>3150</v>
      </c>
      <c r="E353" s="86">
        <v>3640</v>
      </c>
      <c r="F353" s="86">
        <v>630</v>
      </c>
      <c r="G353" s="86">
        <v>1890</v>
      </c>
    </row>
    <row r="354" spans="1:7" s="76" customFormat="1">
      <c r="A354" s="86" t="s">
        <v>324</v>
      </c>
      <c r="B354" s="86" t="s">
        <v>2938</v>
      </c>
      <c r="C354" s="86">
        <v>3450</v>
      </c>
      <c r="D354" s="86">
        <v>3420</v>
      </c>
      <c r="E354" s="86">
        <v>3960</v>
      </c>
      <c r="F354" s="86">
        <v>660</v>
      </c>
      <c r="G354" s="86">
        <v>2050</v>
      </c>
    </row>
    <row r="355" spans="1:7" s="76" customFormat="1">
      <c r="A355" s="86" t="s">
        <v>324</v>
      </c>
      <c r="B355" s="86" t="s">
        <v>2939</v>
      </c>
      <c r="C355" s="86">
        <v>3650</v>
      </c>
      <c r="D355" s="86">
        <v>3610</v>
      </c>
      <c r="E355" s="86">
        <v>4200</v>
      </c>
      <c r="F355" s="86">
        <v>640</v>
      </c>
      <c r="G355" s="86">
        <v>2160</v>
      </c>
    </row>
    <row r="356" spans="1:7" s="76" customFormat="1">
      <c r="A356" s="86" t="s">
        <v>324</v>
      </c>
      <c r="B356" s="86" t="s">
        <v>2940</v>
      </c>
      <c r="C356" s="86">
        <v>3260</v>
      </c>
      <c r="D356" s="86">
        <v>3230</v>
      </c>
      <c r="E356" s="86">
        <v>3740</v>
      </c>
      <c r="F356" s="86">
        <v>600</v>
      </c>
      <c r="G356" s="86">
        <v>1930</v>
      </c>
    </row>
    <row r="357" spans="1:7" s="76" customFormat="1">
      <c r="A357" s="88" t="s">
        <v>324</v>
      </c>
      <c r="B357" s="92" t="s">
        <v>2941</v>
      </c>
      <c r="C357" s="92">
        <v>3690</v>
      </c>
      <c r="D357" s="92">
        <v>3650</v>
      </c>
      <c r="E357" s="92">
        <v>4020</v>
      </c>
      <c r="F357" s="92">
        <v>700</v>
      </c>
      <c r="G357" s="92">
        <v>2190</v>
      </c>
    </row>
    <row r="358" spans="1:7" s="76" customFormat="1">
      <c r="A358" s="84" t="s">
        <v>330</v>
      </c>
      <c r="B358" s="85" t="s">
        <v>2942</v>
      </c>
      <c r="C358" s="85">
        <v>2080</v>
      </c>
      <c r="D358" s="85">
        <v>2040</v>
      </c>
      <c r="E358" s="85">
        <v>2010</v>
      </c>
      <c r="F358" s="85">
        <v>530</v>
      </c>
      <c r="G358" s="93">
        <v>1230</v>
      </c>
    </row>
    <row r="359" spans="1:7" s="76" customFormat="1">
      <c r="A359" s="86" t="s">
        <v>330</v>
      </c>
      <c r="B359" s="86" t="s">
        <v>2943</v>
      </c>
      <c r="C359" s="86">
        <v>1850</v>
      </c>
      <c r="D359" s="86">
        <v>1820</v>
      </c>
      <c r="E359" s="86">
        <v>1780</v>
      </c>
      <c r="F359" s="86">
        <v>520</v>
      </c>
      <c r="G359" s="94">
        <v>1100</v>
      </c>
    </row>
    <row r="360" spans="1:7" s="76" customFormat="1">
      <c r="A360" s="86" t="s">
        <v>330</v>
      </c>
      <c r="B360" s="86" t="s">
        <v>2944</v>
      </c>
      <c r="C360" s="86">
        <v>2020</v>
      </c>
      <c r="D360" s="86">
        <v>1990</v>
      </c>
      <c r="E360" s="86">
        <v>1950</v>
      </c>
      <c r="F360" s="86">
        <v>500</v>
      </c>
      <c r="G360" s="94">
        <v>1200</v>
      </c>
    </row>
    <row r="361" spans="1:7" s="76" customFormat="1">
      <c r="A361" s="86" t="s">
        <v>330</v>
      </c>
      <c r="B361" s="86" t="s">
        <v>2945</v>
      </c>
      <c r="C361" s="86">
        <v>2260</v>
      </c>
      <c r="D361" s="86">
        <v>2220</v>
      </c>
      <c r="E361" s="86">
        <v>2180</v>
      </c>
      <c r="F361" s="86">
        <v>580</v>
      </c>
      <c r="G361" s="94">
        <v>1340</v>
      </c>
    </row>
    <row r="362" spans="1:7" s="76" customFormat="1">
      <c r="A362" s="86" t="s">
        <v>330</v>
      </c>
      <c r="B362" s="86" t="s">
        <v>2946</v>
      </c>
      <c r="C362" s="86">
        <v>2650</v>
      </c>
      <c r="D362" s="86">
        <v>2610</v>
      </c>
      <c r="E362" s="86">
        <v>2570</v>
      </c>
      <c r="F362" s="86">
        <v>630</v>
      </c>
      <c r="G362" s="94">
        <v>1570</v>
      </c>
    </row>
    <row r="363" spans="1:7" s="76" customFormat="1">
      <c r="A363" s="86" t="s">
        <v>330</v>
      </c>
      <c r="B363" s="86" t="s">
        <v>2947</v>
      </c>
      <c r="C363" s="86">
        <v>2390</v>
      </c>
      <c r="D363" s="86">
        <v>2360</v>
      </c>
      <c r="E363" s="86">
        <v>2320</v>
      </c>
      <c r="F363" s="86">
        <v>600</v>
      </c>
      <c r="G363" s="94">
        <v>1420</v>
      </c>
    </row>
    <row r="364" spans="1:7" s="76" customFormat="1">
      <c r="A364" s="86" t="s">
        <v>330</v>
      </c>
      <c r="B364" s="86" t="s">
        <v>2948</v>
      </c>
      <c r="C364" s="86">
        <v>2050</v>
      </c>
      <c r="D364" s="86">
        <v>2030</v>
      </c>
      <c r="E364" s="86">
        <v>1990</v>
      </c>
      <c r="F364" s="86">
        <v>550</v>
      </c>
      <c r="G364" s="94">
        <v>1220</v>
      </c>
    </row>
    <row r="365" spans="1:7" s="76" customFormat="1">
      <c r="A365" s="86" t="s">
        <v>330</v>
      </c>
      <c r="B365" s="86" t="s">
        <v>2949</v>
      </c>
      <c r="C365" s="86">
        <v>2140</v>
      </c>
      <c r="D365" s="86">
        <v>2100</v>
      </c>
      <c r="E365" s="86">
        <v>2060</v>
      </c>
      <c r="F365" s="86">
        <v>540</v>
      </c>
      <c r="G365" s="94">
        <v>1270</v>
      </c>
    </row>
    <row r="366" spans="1:7" s="76" customFormat="1">
      <c r="A366" s="86" t="s">
        <v>330</v>
      </c>
      <c r="B366" s="86" t="s">
        <v>2950</v>
      </c>
      <c r="C366" s="86">
        <v>2410</v>
      </c>
      <c r="D366" s="86">
        <v>2370</v>
      </c>
      <c r="E366" s="86">
        <v>2330</v>
      </c>
      <c r="F366" s="86">
        <v>570</v>
      </c>
      <c r="G366" s="94">
        <v>1440</v>
      </c>
    </row>
    <row r="367" spans="1:7" s="76" customFormat="1">
      <c r="A367" s="86" t="s">
        <v>330</v>
      </c>
      <c r="B367" s="86" t="s">
        <v>2951</v>
      </c>
      <c r="C367" s="86">
        <v>2300</v>
      </c>
      <c r="D367" s="86">
        <v>2260</v>
      </c>
      <c r="E367" s="86">
        <v>2220</v>
      </c>
      <c r="F367" s="86">
        <v>560</v>
      </c>
      <c r="G367" s="94">
        <v>1370</v>
      </c>
    </row>
    <row r="368" spans="1:7" s="76" customFormat="1">
      <c r="A368" s="86" t="s">
        <v>330</v>
      </c>
      <c r="B368" s="86" t="s">
        <v>2952</v>
      </c>
      <c r="C368" s="86">
        <v>2430</v>
      </c>
      <c r="D368" s="86">
        <v>2390</v>
      </c>
      <c r="E368" s="86">
        <v>2350</v>
      </c>
      <c r="F368" s="86">
        <v>570</v>
      </c>
      <c r="G368" s="94">
        <v>1450</v>
      </c>
    </row>
    <row r="369" spans="1:7" s="76" customFormat="1">
      <c r="A369" s="86" t="s">
        <v>330</v>
      </c>
      <c r="B369" s="86" t="s">
        <v>2953</v>
      </c>
      <c r="C369" s="86">
        <v>2320</v>
      </c>
      <c r="D369" s="86">
        <v>2290</v>
      </c>
      <c r="E369" s="86">
        <v>2250</v>
      </c>
      <c r="F369" s="86">
        <v>550</v>
      </c>
      <c r="G369" s="94">
        <v>1380</v>
      </c>
    </row>
    <row r="370" spans="1:7" s="76" customFormat="1">
      <c r="A370" s="86" t="s">
        <v>330</v>
      </c>
      <c r="B370" s="86" t="s">
        <v>2954</v>
      </c>
      <c r="C370" s="86">
        <v>2190</v>
      </c>
      <c r="D370" s="86">
        <v>2170</v>
      </c>
      <c r="E370" s="86">
        <v>2130</v>
      </c>
      <c r="F370" s="86">
        <v>530</v>
      </c>
      <c r="G370" s="94">
        <v>1310</v>
      </c>
    </row>
    <row r="371" spans="1:7" s="76" customFormat="1">
      <c r="A371" s="86" t="s">
        <v>330</v>
      </c>
      <c r="B371" s="86" t="s">
        <v>2955</v>
      </c>
      <c r="C371" s="86">
        <v>2460</v>
      </c>
      <c r="D371" s="86">
        <v>2420</v>
      </c>
      <c r="E371" s="86">
        <v>2370</v>
      </c>
      <c r="F371" s="86">
        <v>560</v>
      </c>
      <c r="G371" s="94">
        <v>1470</v>
      </c>
    </row>
    <row r="372" spans="1:7" s="76" customFormat="1">
      <c r="A372" s="86" t="s">
        <v>330</v>
      </c>
      <c r="B372" s="86" t="s">
        <v>2956</v>
      </c>
      <c r="C372" s="86">
        <v>2250</v>
      </c>
      <c r="D372" s="86">
        <v>2210</v>
      </c>
      <c r="E372" s="86">
        <v>2180</v>
      </c>
      <c r="F372" s="86">
        <v>550</v>
      </c>
      <c r="G372" s="94">
        <v>1340</v>
      </c>
    </row>
    <row r="373" spans="1:7" s="76" customFormat="1">
      <c r="A373" s="86" t="s">
        <v>330</v>
      </c>
      <c r="B373" s="86" t="s">
        <v>2957</v>
      </c>
      <c r="C373" s="86">
        <v>2210</v>
      </c>
      <c r="D373" s="86">
        <v>2190</v>
      </c>
      <c r="E373" s="86">
        <v>2150</v>
      </c>
      <c r="F373" s="86">
        <v>530</v>
      </c>
      <c r="G373" s="94">
        <v>1320</v>
      </c>
    </row>
    <row r="374" spans="1:7" s="76" customFormat="1">
      <c r="A374" s="86" t="s">
        <v>330</v>
      </c>
      <c r="B374" s="86" t="s">
        <v>2958</v>
      </c>
      <c r="C374" s="86">
        <v>2320</v>
      </c>
      <c r="D374" s="86">
        <v>2280</v>
      </c>
      <c r="E374" s="86">
        <v>2230</v>
      </c>
      <c r="F374" s="86">
        <v>580</v>
      </c>
      <c r="G374" s="94">
        <v>1380</v>
      </c>
    </row>
    <row r="375" spans="1:7" s="76" customFormat="1">
      <c r="A375" s="86" t="s">
        <v>330</v>
      </c>
      <c r="B375" s="86" t="s">
        <v>2959</v>
      </c>
      <c r="C375" s="86">
        <v>2090</v>
      </c>
      <c r="D375" s="86">
        <v>2050</v>
      </c>
      <c r="E375" s="86">
        <v>2020</v>
      </c>
      <c r="F375" s="86">
        <v>520</v>
      </c>
      <c r="G375" s="94">
        <v>1240</v>
      </c>
    </row>
    <row r="376" spans="1:7" s="76" customFormat="1">
      <c r="A376" s="86" t="s">
        <v>330</v>
      </c>
      <c r="B376" s="86" t="s">
        <v>2960</v>
      </c>
      <c r="C376" s="86">
        <v>2010</v>
      </c>
      <c r="D376" s="86">
        <v>1980</v>
      </c>
      <c r="E376" s="86">
        <v>1940</v>
      </c>
      <c r="F376" s="86">
        <v>540</v>
      </c>
      <c r="G376" s="94">
        <v>1190</v>
      </c>
    </row>
    <row r="377" spans="1:7" s="76" customFormat="1">
      <c r="A377" s="88" t="s">
        <v>330</v>
      </c>
      <c r="B377" s="92" t="s">
        <v>2961</v>
      </c>
      <c r="C377" s="92">
        <v>1930</v>
      </c>
      <c r="D377" s="92">
        <v>1890</v>
      </c>
      <c r="E377" s="92">
        <v>1860</v>
      </c>
      <c r="F377" s="92">
        <v>530</v>
      </c>
      <c r="G377" s="101">
        <v>1150</v>
      </c>
    </row>
    <row r="378" spans="1:7" s="76" customFormat="1">
      <c r="A378" s="102" t="s">
        <v>336</v>
      </c>
      <c r="B378" s="85" t="s">
        <v>2962</v>
      </c>
      <c r="C378" s="85">
        <v>1520</v>
      </c>
      <c r="D378" s="85">
        <v>1490</v>
      </c>
      <c r="E378" s="85">
        <v>1460</v>
      </c>
      <c r="F378" s="85">
        <v>460</v>
      </c>
      <c r="G378" s="93">
        <v>940</v>
      </c>
    </row>
    <row r="379" spans="1:7" s="76" customFormat="1">
      <c r="A379" s="103" t="s">
        <v>336</v>
      </c>
      <c r="B379" s="86" t="s">
        <v>2963</v>
      </c>
      <c r="C379" s="86">
        <v>1500</v>
      </c>
      <c r="D379" s="86">
        <v>1470</v>
      </c>
      <c r="E379" s="86">
        <v>1430</v>
      </c>
      <c r="F379" s="86">
        <v>460</v>
      </c>
      <c r="G379" s="94">
        <v>920</v>
      </c>
    </row>
    <row r="380" spans="1:7" s="76" customFormat="1">
      <c r="A380" s="103" t="s">
        <v>336</v>
      </c>
      <c r="B380" s="86" t="s">
        <v>2964</v>
      </c>
      <c r="C380" s="86">
        <v>1620</v>
      </c>
      <c r="D380" s="86">
        <v>1590</v>
      </c>
      <c r="E380" s="86">
        <v>1560</v>
      </c>
      <c r="F380" s="86">
        <v>480</v>
      </c>
      <c r="G380" s="94">
        <v>1000</v>
      </c>
    </row>
    <row r="381" spans="1:7" s="76" customFormat="1">
      <c r="A381" s="103" t="s">
        <v>336</v>
      </c>
      <c r="B381" s="86" t="s">
        <v>2965</v>
      </c>
      <c r="C381" s="86">
        <v>1460</v>
      </c>
      <c r="D381" s="86">
        <v>1430</v>
      </c>
      <c r="E381" s="86">
        <v>1390</v>
      </c>
      <c r="F381" s="86">
        <v>450</v>
      </c>
      <c r="G381" s="94">
        <v>900</v>
      </c>
    </row>
    <row r="382" spans="1:7" s="76" customFormat="1">
      <c r="A382" s="103" t="s">
        <v>336</v>
      </c>
      <c r="B382" s="86" t="s">
        <v>2966</v>
      </c>
      <c r="C382" s="86">
        <v>1310</v>
      </c>
      <c r="D382" s="86">
        <v>1280</v>
      </c>
      <c r="E382" s="86">
        <v>1250</v>
      </c>
      <c r="F382" s="86">
        <v>440</v>
      </c>
      <c r="G382" s="94">
        <v>800</v>
      </c>
    </row>
    <row r="383" spans="1:7" s="76" customFormat="1">
      <c r="A383" s="103" t="s">
        <v>336</v>
      </c>
      <c r="B383" s="86" t="s">
        <v>2967</v>
      </c>
      <c r="C383" s="86">
        <v>1260</v>
      </c>
      <c r="D383" s="86">
        <v>1230</v>
      </c>
      <c r="E383" s="86">
        <v>1200</v>
      </c>
      <c r="F383" s="86">
        <v>420</v>
      </c>
      <c r="G383" s="94">
        <v>770</v>
      </c>
    </row>
    <row r="384" spans="1:7" s="76" customFormat="1">
      <c r="A384" s="104" t="s">
        <v>336</v>
      </c>
      <c r="B384" s="90" t="s">
        <v>2968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45911</v>
      </c>
      <c r="D1" s="7" t="s">
        <v>3102</v>
      </c>
      <c r="E1" s="9">
        <f>'数据-取费表'!B22</f>
        <v>2</v>
      </c>
      <c r="F1" s="7" t="s">
        <v>3103</v>
      </c>
      <c r="G1" s="10">
        <f ca="1">IF(OR(C1&lt;C27,E1&lt;=1),INDIRECT("d"&amp;$K$1)/100,ROUND((D5+(E1-C5)*(D7-D5)/(C7-C5))/100,4))</f>
        <v>3.1300000000000001E-2</v>
      </c>
      <c r="H1" s="7" t="s">
        <v>3104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3103</v>
      </c>
      <c r="E2" s="11"/>
      <c r="F2" s="11" t="s">
        <v>3105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3106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3107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3108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3109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3110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3112</v>
      </c>
      <c r="C10" s="35"/>
      <c r="D10" s="35"/>
      <c r="E10" s="35"/>
      <c r="F10" s="35"/>
      <c r="G10" s="35"/>
      <c r="H10" s="35"/>
      <c r="I10" s="3"/>
      <c r="J10" s="3"/>
      <c r="K10" s="35"/>
      <c r="L10" s="36" t="s">
        <v>3113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3114</v>
      </c>
      <c r="C11" s="39" t="s">
        <v>3115</v>
      </c>
      <c r="D11" s="40" t="s">
        <v>3116</v>
      </c>
      <c r="E11" s="41"/>
      <c r="F11" s="40" t="s">
        <v>3117</v>
      </c>
      <c r="G11" s="42"/>
      <c r="H11" s="41"/>
      <c r="I11" s="40" t="s">
        <v>3118</v>
      </c>
      <c r="J11" s="41"/>
      <c r="K11" s="37"/>
      <c r="L11" s="38" t="s">
        <v>3114</v>
      </c>
      <c r="M11" s="39" t="s">
        <v>3115</v>
      </c>
      <c r="N11" s="38" t="s">
        <v>3119</v>
      </c>
      <c r="O11" s="40" t="s">
        <v>3120</v>
      </c>
      <c r="P11" s="42"/>
      <c r="Q11" s="42"/>
      <c r="R11" s="42"/>
      <c r="S11" s="42"/>
      <c r="T11" s="41"/>
      <c r="U11" s="40" t="s">
        <v>3121</v>
      </c>
      <c r="V11" s="42"/>
      <c r="W11" s="41"/>
      <c r="X11" s="38" t="s">
        <v>3122</v>
      </c>
      <c r="Y11" s="38" t="s">
        <v>3123</v>
      </c>
      <c r="Z11" s="38" t="s">
        <v>3124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3125</v>
      </c>
      <c r="E12" s="46" t="s">
        <v>3107</v>
      </c>
      <c r="F12" s="46" t="s">
        <v>3108</v>
      </c>
      <c r="G12" s="46" t="s">
        <v>3109</v>
      </c>
      <c r="H12" s="46" t="s">
        <v>3110</v>
      </c>
      <c r="I12" s="60" t="s">
        <v>3126</v>
      </c>
      <c r="J12" s="60" t="s">
        <v>3126</v>
      </c>
      <c r="K12" s="43"/>
      <c r="L12" s="44"/>
      <c r="M12" s="45"/>
      <c r="N12" s="44"/>
      <c r="O12" s="60" t="s">
        <v>3127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3128</v>
      </c>
      <c r="C13" s="49">
        <v>45797</v>
      </c>
      <c r="D13" s="50">
        <v>3</v>
      </c>
      <c r="E13" s="50">
        <v>3</v>
      </c>
      <c r="F13" s="50">
        <f t="shared" ref="F13:F18" si="0">D13</f>
        <v>3</v>
      </c>
      <c r="G13" s="50">
        <f t="shared" ref="G13:G18" si="1">D13</f>
        <v>3</v>
      </c>
      <c r="H13" s="50">
        <v>3.5</v>
      </c>
      <c r="I13" s="50"/>
      <c r="J13" s="50"/>
      <c r="K13" s="47"/>
      <c r="L13" s="48" t="s">
        <v>3128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3129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3130</v>
      </c>
      <c r="Y42" s="52" t="s">
        <v>3130</v>
      </c>
      <c r="Z42" s="52" t="s">
        <v>3130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3130</v>
      </c>
      <c r="Y43" s="52" t="s">
        <v>3130</v>
      </c>
      <c r="Z43" s="52" t="s">
        <v>3130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3130</v>
      </c>
      <c r="Y44" s="52" t="s">
        <v>3130</v>
      </c>
      <c r="Z44" s="52" t="s">
        <v>3130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3130</v>
      </c>
      <c r="Y45" s="52" t="s">
        <v>3130</v>
      </c>
      <c r="Z45" s="52" t="s">
        <v>3130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3130</v>
      </c>
      <c r="Y46" s="52" t="s">
        <v>3130</v>
      </c>
      <c r="Z46" s="52" t="s">
        <v>3130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3130</v>
      </c>
      <c r="Y47" s="52" t="s">
        <v>3130</v>
      </c>
      <c r="Z47" s="52" t="s">
        <v>3130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3130</v>
      </c>
      <c r="Y48" s="52" t="s">
        <v>3130</v>
      </c>
      <c r="Z48" s="52" t="s">
        <v>3130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3130</v>
      </c>
      <c r="Y49" s="52" t="s">
        <v>3130</v>
      </c>
      <c r="Z49" s="52" t="s">
        <v>3130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3130</v>
      </c>
      <c r="Y50" s="52" t="s">
        <v>3130</v>
      </c>
      <c r="Z50" s="52" t="s">
        <v>3130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3130</v>
      </c>
      <c r="V51" s="52" t="s">
        <v>3130</v>
      </c>
      <c r="W51" s="52" t="s">
        <v>3130</v>
      </c>
      <c r="X51" s="52" t="s">
        <v>3130</v>
      </c>
      <c r="Y51" s="52" t="s">
        <v>3130</v>
      </c>
      <c r="Z51" s="52" t="s">
        <v>3130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3130</v>
      </c>
      <c r="J70" s="52" t="s">
        <v>3130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079" customWidth="1"/>
    <col min="2" max="3" width="22.375" style="1079" customWidth="1"/>
    <col min="4" max="4" width="23" style="1079" customWidth="1"/>
    <col min="5" max="16384" width="9" style="1079"/>
  </cols>
  <sheetData>
    <row r="1" spans="1:4" ht="18.75">
      <c r="A1" s="3511" t="s">
        <v>114</v>
      </c>
      <c r="B1" s="3511"/>
      <c r="C1" s="3511"/>
      <c r="D1" s="3511"/>
    </row>
    <row r="2" spans="1:4" ht="18">
      <c r="A2" s="3512" t="s">
        <v>115</v>
      </c>
      <c r="B2" s="3512"/>
      <c r="C2" s="3512"/>
      <c r="D2" s="3512"/>
    </row>
    <row r="3" spans="1:4" ht="18.75">
      <c r="A3" s="3416" t="s">
        <v>116</v>
      </c>
      <c r="B3" s="3416" t="s">
        <v>117</v>
      </c>
      <c r="C3" s="3416" t="s">
        <v>118</v>
      </c>
      <c r="D3" s="3416" t="s">
        <v>119</v>
      </c>
    </row>
    <row r="4" spans="1:4" ht="56.25" customHeight="1">
      <c r="A4" s="3417" t="str">
        <f>项目基本情况!B4</f>
        <v>吴薇</v>
      </c>
      <c r="B4" s="3418">
        <f ca="1">项目基本情况!C4</f>
        <v>1419970001</v>
      </c>
      <c r="C4" s="3419"/>
      <c r="D4" s="3420" t="s">
        <v>120</v>
      </c>
    </row>
    <row r="5" spans="1:4" ht="56.25" customHeight="1">
      <c r="A5" s="3417" t="str">
        <f>项目基本情况!D4</f>
        <v>郑燚</v>
      </c>
      <c r="B5" s="3418">
        <f ca="1">项目基本情况!E4</f>
        <v>1120070131</v>
      </c>
      <c r="C5" s="3421"/>
      <c r="D5" s="3420" t="s">
        <v>120</v>
      </c>
    </row>
    <row r="6" spans="1:4" ht="18">
      <c r="A6" s="3512" t="s">
        <v>121</v>
      </c>
      <c r="B6" s="3512"/>
      <c r="C6" s="3512"/>
      <c r="D6" s="3512"/>
    </row>
    <row r="7" spans="1:4" ht="18.75">
      <c r="A7" s="3416" t="s">
        <v>116</v>
      </c>
      <c r="B7" s="3418" t="s">
        <v>122</v>
      </c>
      <c r="C7" s="3416" t="s">
        <v>118</v>
      </c>
      <c r="D7" s="3416" t="s">
        <v>119</v>
      </c>
    </row>
    <row r="8" spans="1:4" ht="56.25" customHeight="1">
      <c r="A8" s="3422" t="s">
        <v>123</v>
      </c>
      <c r="B8" s="3422" t="s">
        <v>124</v>
      </c>
      <c r="C8" s="3419"/>
      <c r="D8" s="3420" t="s">
        <v>120</v>
      </c>
    </row>
    <row r="9" spans="1:4">
      <c r="A9" s="3423"/>
      <c r="B9" s="3423"/>
      <c r="C9" s="3423"/>
      <c r="D9" s="3423"/>
    </row>
    <row r="10" spans="1:4" ht="18.75">
      <c r="A10" s="3415" t="s">
        <v>125</v>
      </c>
      <c r="B10" s="3423"/>
      <c r="C10" s="3423"/>
      <c r="D10" s="3423"/>
    </row>
    <row r="11" spans="1:4" ht="30" customHeight="1">
      <c r="A11" s="3513" t="s">
        <v>126</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4" t="str">
        <f>IF(项目基本情况!B8="抵押","4.本次评估估价师所知悉的法定优先受偿款情况说明如下：","——")</f>
        <v>4.本次评估估价师所知悉的法定优先受偿款情况说明如下：</v>
      </c>
      <c r="B14" s="3515"/>
      <c r="C14" s="3515"/>
      <c r="D14" s="3515"/>
    </row>
    <row r="15" spans="1:4" ht="42" customHeight="1">
      <c r="A15" s="35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127</v>
      </c>
      <c r="B16" s="3516"/>
      <c r="C16" s="3516"/>
      <c r="D16" s="3516"/>
    </row>
    <row r="17" spans="1:4" ht="144" customHeight="1">
      <c r="A17" s="3516" t="s">
        <v>128</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129</v>
      </c>
      <c r="B22" s="3518"/>
      <c r="C22" s="3518"/>
      <c r="D22" s="3518"/>
    </row>
    <row r="23" spans="1:4">
      <c r="A23" s="3424"/>
      <c r="B23" s="1742"/>
      <c r="C23" s="1742"/>
      <c r="D23" s="1742"/>
    </row>
    <row r="24" spans="1:4">
      <c r="A24" s="3424"/>
      <c r="B24" s="1742"/>
      <c r="C24" s="1742"/>
      <c r="D24" s="1742"/>
    </row>
    <row r="25" spans="1:4" ht="18.75">
      <c r="A25" s="3425" t="s">
        <v>130</v>
      </c>
    </row>
    <row r="26" spans="1:4" ht="18">
      <c r="A26" s="3426"/>
    </row>
    <row r="27" spans="1:4" ht="18.75">
      <c r="A27" s="3426" t="s">
        <v>131</v>
      </c>
    </row>
    <row r="30" spans="1:4" ht="18.75">
      <c r="D30" s="3425" t="s">
        <v>132</v>
      </c>
    </row>
    <row r="31" spans="1:4" ht="13.5" customHeight="1">
      <c r="C31" s="3519">
        <v>42551</v>
      </c>
      <c r="D31" s="351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1" customWidth="1"/>
    <col min="3" max="10" width="12.5" style="3411" customWidth="1"/>
    <col min="11" max="16384" width="9" style="3411"/>
  </cols>
  <sheetData>
    <row r="1" spans="1:10" ht="18.75">
      <c r="A1" s="3412" t="s">
        <v>133</v>
      </c>
      <c r="B1" s="3413"/>
      <c r="C1" s="3413"/>
      <c r="D1" s="3413"/>
      <c r="E1" s="3413"/>
      <c r="F1" s="3413"/>
      <c r="G1" s="3413"/>
      <c r="H1" s="3413"/>
      <c r="I1" s="3413"/>
      <c r="J1" s="3413"/>
    </row>
    <row r="2" spans="1:10" ht="18.75">
      <c r="A2" s="3414"/>
      <c r="B2" s="3413"/>
      <c r="C2" s="3413"/>
      <c r="D2" s="3413"/>
      <c r="E2" s="3413"/>
      <c r="F2" s="3413"/>
      <c r="G2" s="3413"/>
      <c r="H2" s="3413"/>
      <c r="I2" s="3413"/>
      <c r="J2" s="3413"/>
    </row>
    <row r="3" spans="1:10">
      <c r="A3" s="3413"/>
      <c r="B3" s="3413"/>
      <c r="C3" s="3413"/>
      <c r="D3" s="3413"/>
      <c r="E3" s="3413"/>
      <c r="F3" s="3413"/>
      <c r="G3" s="3413"/>
      <c r="H3" s="3413"/>
      <c r="I3" s="3413"/>
      <c r="J3" s="3413"/>
    </row>
    <row r="4" spans="1:10">
      <c r="A4" s="3413"/>
      <c r="B4" s="3413"/>
      <c r="C4" s="3413"/>
      <c r="D4" s="3413"/>
      <c r="E4" s="3413"/>
      <c r="F4" s="3413"/>
      <c r="G4" s="3413"/>
      <c r="H4" s="3413"/>
      <c r="I4" s="3413"/>
      <c r="J4" s="3413"/>
    </row>
    <row r="5" spans="1:10">
      <c r="A5" s="3413"/>
      <c r="B5" s="3413"/>
      <c r="C5" s="3413"/>
      <c r="D5" s="3413"/>
      <c r="E5" s="3413"/>
      <c r="F5" s="3413"/>
      <c r="G5" s="3413"/>
      <c r="H5" s="3413"/>
      <c r="I5" s="3413"/>
      <c r="J5" s="3413"/>
    </row>
    <row r="6" spans="1:10">
      <c r="A6" s="3413"/>
      <c r="B6" s="3413"/>
      <c r="C6" s="3413"/>
      <c r="D6" s="3413"/>
      <c r="E6" s="3413"/>
      <c r="F6" s="3413"/>
      <c r="G6" s="3413"/>
      <c r="H6" s="3413"/>
      <c r="I6" s="3413"/>
      <c r="J6" s="3413"/>
    </row>
    <row r="7" spans="1:10">
      <c r="A7" s="3413"/>
      <c r="B7" s="3413"/>
      <c r="C7" s="3413"/>
      <c r="D7" s="3413"/>
      <c r="E7" s="3413"/>
      <c r="F7" s="3413"/>
      <c r="G7" s="3413"/>
      <c r="H7" s="3413"/>
      <c r="I7" s="3413"/>
      <c r="J7" s="3413"/>
    </row>
    <row r="8" spans="1:10">
      <c r="A8" s="3413"/>
      <c r="B8" s="3413"/>
      <c r="C8" s="3413"/>
      <c r="D8" s="3413"/>
      <c r="E8" s="3413"/>
      <c r="F8" s="3413"/>
      <c r="G8" s="3413"/>
      <c r="H8" s="3413"/>
      <c r="I8" s="3413"/>
      <c r="J8" s="3413"/>
    </row>
    <row r="9" spans="1:10">
      <c r="A9" s="3413"/>
      <c r="B9" s="3413"/>
      <c r="C9" s="3413"/>
      <c r="D9" s="3413"/>
      <c r="E9" s="3413"/>
      <c r="F9" s="3413"/>
      <c r="G9" s="3413"/>
      <c r="H9" s="3413"/>
      <c r="I9" s="3413"/>
      <c r="J9" s="3413"/>
    </row>
    <row r="10" spans="1:10">
      <c r="A10" s="3413"/>
      <c r="B10" s="3413"/>
      <c r="C10" s="3413"/>
      <c r="D10" s="3413"/>
      <c r="E10" s="3413"/>
      <c r="F10" s="3413"/>
      <c r="G10" s="3413"/>
      <c r="H10" s="3413"/>
      <c r="I10" s="3413"/>
      <c r="J10" s="3413"/>
    </row>
    <row r="11" spans="1:10">
      <c r="A11" s="3413"/>
      <c r="B11" s="3413"/>
      <c r="C11" s="3413"/>
      <c r="D11" s="3413"/>
      <c r="E11" s="3413"/>
      <c r="F11" s="3413"/>
      <c r="G11" s="3413"/>
      <c r="H11" s="3413"/>
      <c r="I11" s="3413"/>
      <c r="J11" s="3413"/>
    </row>
    <row r="12" spans="1:10">
      <c r="A12" s="3413"/>
      <c r="B12" s="3413"/>
      <c r="C12" s="3413"/>
      <c r="D12" s="3413"/>
      <c r="E12" s="3413"/>
      <c r="F12" s="3413"/>
      <c r="G12" s="3413"/>
      <c r="H12" s="3413"/>
      <c r="I12" s="3413"/>
      <c r="J12" s="3413"/>
    </row>
    <row r="13" spans="1:10">
      <c r="A13" s="3413"/>
      <c r="B13" s="3413"/>
      <c r="C13" s="3413"/>
      <c r="D13" s="3413"/>
      <c r="E13" s="3413"/>
      <c r="F13" s="3413"/>
      <c r="G13" s="3413"/>
      <c r="H13" s="3413"/>
      <c r="I13" s="3413"/>
      <c r="J13" s="3413"/>
    </row>
    <row r="14" spans="1:10">
      <c r="A14" s="3413"/>
      <c r="B14" s="3413"/>
      <c r="C14" s="3413"/>
      <c r="D14" s="3413"/>
      <c r="E14" s="3413"/>
      <c r="F14" s="3413"/>
      <c r="G14" s="3413"/>
      <c r="H14" s="3413"/>
      <c r="I14" s="3413"/>
      <c r="J14" s="3413"/>
    </row>
    <row r="15" spans="1:10">
      <c r="A15" s="3413"/>
      <c r="B15" s="3413"/>
      <c r="C15" s="3413"/>
      <c r="D15" s="3413"/>
      <c r="E15" s="3413"/>
      <c r="F15" s="3413"/>
      <c r="G15" s="3413"/>
      <c r="H15" s="3413"/>
      <c r="I15" s="3413"/>
      <c r="J15" s="3413"/>
    </row>
    <row r="16" spans="1:10">
      <c r="A16" s="3413"/>
      <c r="B16" s="3413"/>
      <c r="C16" s="3413"/>
      <c r="D16" s="3413"/>
      <c r="E16" s="3413"/>
      <c r="F16" s="3413"/>
      <c r="G16" s="3413"/>
      <c r="H16" s="3413"/>
      <c r="I16" s="3413"/>
      <c r="J16" s="3413"/>
    </row>
    <row r="17" spans="1:10">
      <c r="A17" s="3413"/>
      <c r="B17" s="3413"/>
      <c r="C17" s="3413"/>
      <c r="D17" s="3413"/>
      <c r="E17" s="3413"/>
      <c r="F17" s="3413"/>
      <c r="G17" s="3413"/>
      <c r="H17" s="3413"/>
      <c r="I17" s="3413"/>
      <c r="J17" s="3413"/>
    </row>
    <row r="18" spans="1:10">
      <c r="A18" s="3413"/>
      <c r="B18" s="3413"/>
      <c r="C18" s="3413"/>
      <c r="D18" s="3413"/>
      <c r="E18" s="3413"/>
      <c r="F18" s="3413"/>
      <c r="G18" s="3413"/>
      <c r="H18" s="3413"/>
      <c r="I18" s="3413"/>
      <c r="J18" s="3413"/>
    </row>
    <row r="19" spans="1:10">
      <c r="A19" s="3413"/>
      <c r="B19" s="3413"/>
      <c r="C19" s="3413"/>
      <c r="D19" s="3413"/>
      <c r="E19" s="3413"/>
      <c r="F19" s="3413"/>
      <c r="G19" s="3413"/>
      <c r="H19" s="3413"/>
      <c r="I19" s="3413"/>
      <c r="J19" s="3413"/>
    </row>
    <row r="20" spans="1:10">
      <c r="A20" s="3413"/>
      <c r="B20" s="3413"/>
      <c r="C20" s="3413"/>
      <c r="D20" s="3413"/>
      <c r="E20" s="3413"/>
      <c r="F20" s="3413"/>
      <c r="G20" s="3413"/>
      <c r="H20" s="3413"/>
      <c r="I20" s="3413"/>
      <c r="J20" s="3413"/>
    </row>
    <row r="21" spans="1:10">
      <c r="A21" s="3413"/>
      <c r="B21" s="3413"/>
      <c r="C21" s="3413"/>
      <c r="D21" s="3413"/>
      <c r="E21" s="3413"/>
      <c r="F21" s="3413"/>
      <c r="G21" s="3413"/>
      <c r="H21" s="3413"/>
      <c r="I21" s="3413"/>
      <c r="J21" s="3413"/>
    </row>
    <row r="22" spans="1:10">
      <c r="A22" s="3413"/>
      <c r="B22" s="3413"/>
      <c r="C22" s="3413"/>
      <c r="D22" s="3413"/>
      <c r="E22" s="3413"/>
      <c r="F22" s="3413"/>
      <c r="G22" s="3413"/>
      <c r="H22" s="3413"/>
      <c r="I22" s="3413"/>
      <c r="J22" s="3413"/>
    </row>
    <row r="23" spans="1:10">
      <c r="A23" s="3413"/>
      <c r="B23" s="3413"/>
      <c r="C23" s="3413"/>
      <c r="D23" s="3413"/>
      <c r="E23" s="3413"/>
      <c r="F23" s="3413"/>
      <c r="G23" s="3413"/>
      <c r="H23" s="3413"/>
      <c r="I23" s="3413"/>
      <c r="J23" s="3413"/>
    </row>
    <row r="24" spans="1:10">
      <c r="A24" s="3413"/>
      <c r="B24" s="3413"/>
      <c r="C24" s="3413"/>
      <c r="D24" s="3413"/>
      <c r="E24" s="3413"/>
      <c r="F24" s="3413"/>
      <c r="G24" s="3413"/>
      <c r="H24" s="3413"/>
      <c r="I24" s="3413"/>
      <c r="J24" s="3413"/>
    </row>
    <row r="25" spans="1:10">
      <c r="A25" s="3413"/>
      <c r="B25" s="3413"/>
      <c r="C25" s="3413"/>
      <c r="D25" s="3413"/>
      <c r="E25" s="3413"/>
      <c r="F25" s="3413"/>
      <c r="G25" s="3413"/>
      <c r="H25" s="3413"/>
      <c r="I25" s="3413"/>
      <c r="J25" s="3413"/>
    </row>
    <row r="26" spans="1:10">
      <c r="A26" s="3413"/>
      <c r="B26" s="3413"/>
      <c r="C26" s="3413"/>
      <c r="D26" s="3413"/>
      <c r="E26" s="3413"/>
      <c r="F26" s="3413"/>
      <c r="G26" s="3413"/>
      <c r="H26" s="3413"/>
      <c r="I26" s="3413"/>
      <c r="J26" s="3413"/>
    </row>
    <row r="27" spans="1:10">
      <c r="A27" s="3413"/>
      <c r="B27" s="3413"/>
      <c r="C27" s="3413"/>
      <c r="D27" s="3413"/>
      <c r="E27" s="3413"/>
      <c r="F27" s="3413"/>
      <c r="G27" s="3413"/>
      <c r="H27" s="3413"/>
      <c r="I27" s="3413"/>
      <c r="J27" s="3413"/>
    </row>
    <row r="28" spans="1:10">
      <c r="A28" s="3413"/>
      <c r="B28" s="3413"/>
      <c r="C28" s="3413"/>
      <c r="D28" s="3413"/>
      <c r="E28" s="3413"/>
      <c r="F28" s="3413"/>
      <c r="G28" s="3413"/>
      <c r="H28" s="3413"/>
      <c r="I28" s="3413"/>
      <c r="J28" s="3413"/>
    </row>
    <row r="29" spans="1:10">
      <c r="A29" s="3413"/>
      <c r="B29" s="3413"/>
      <c r="C29" s="3413"/>
      <c r="D29" s="3413"/>
      <c r="E29" s="3413"/>
      <c r="F29" s="3413"/>
      <c r="G29" s="3413"/>
      <c r="H29" s="3413"/>
      <c r="I29" s="3413"/>
      <c r="J29" s="3413"/>
    </row>
    <row r="30" spans="1:10">
      <c r="A30" s="3413"/>
      <c r="B30" s="3413"/>
      <c r="C30" s="3413"/>
      <c r="D30" s="3413"/>
      <c r="E30" s="3413"/>
      <c r="F30" s="3413"/>
      <c r="G30" s="3413"/>
      <c r="H30" s="3413"/>
      <c r="I30" s="3413"/>
      <c r="J30" s="3413"/>
    </row>
    <row r="31" spans="1:10">
      <c r="A31" s="3413"/>
      <c r="B31" s="3413"/>
      <c r="C31" s="3413"/>
      <c r="D31" s="3413"/>
      <c r="E31" s="3413"/>
      <c r="F31" s="3413"/>
      <c r="G31" s="3413"/>
      <c r="H31" s="3413"/>
      <c r="I31" s="3413"/>
      <c r="J31" s="3413"/>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4" customWidth="1"/>
    <col min="2" max="16384" width="14.5" style="3345"/>
  </cols>
  <sheetData>
    <row r="1" spans="1:7" s="3393" customFormat="1" ht="18.75">
      <c r="A1" s="3395" t="s">
        <v>134</v>
      </c>
    </row>
    <row r="3" spans="1:7">
      <c r="A3" s="3396" t="s">
        <v>135</v>
      </c>
      <c r="B3" s="3345" t="s">
        <v>136</v>
      </c>
      <c r="G3" s="3397"/>
    </row>
    <row r="4" spans="1:7">
      <c r="G4" s="3397"/>
    </row>
    <row r="5" spans="1:7">
      <c r="A5" s="3398" t="s">
        <v>137</v>
      </c>
      <c r="B5" s="3345" t="s">
        <v>138</v>
      </c>
      <c r="G5" s="3397"/>
    </row>
    <row r="6" spans="1:7">
      <c r="G6" s="3397"/>
    </row>
    <row r="7" spans="1:7">
      <c r="A7" s="3399" t="s">
        <v>139</v>
      </c>
      <c r="B7" s="3345" t="s">
        <v>140</v>
      </c>
      <c r="G7" s="3397"/>
    </row>
    <row r="8" spans="1:7">
      <c r="G8" s="3397"/>
    </row>
    <row r="9" spans="1:7">
      <c r="A9" s="3400" t="s">
        <v>141</v>
      </c>
      <c r="B9" s="3345" t="s">
        <v>142</v>
      </c>
    </row>
    <row r="11" spans="1:7">
      <c r="A11" s="3401" t="s">
        <v>143</v>
      </c>
      <c r="B11" s="3402" t="s">
        <v>144</v>
      </c>
    </row>
    <row r="13" spans="1:7">
      <c r="A13" s="3403" t="s">
        <v>145</v>
      </c>
    </row>
    <row r="15" spans="1:7" ht="13.5">
      <c r="A15" s="3523" t="s">
        <v>146</v>
      </c>
      <c r="B15" s="3520" t="s">
        <v>147</v>
      </c>
      <c r="C15" s="3521"/>
    </row>
    <row r="16" spans="1:7" ht="13.5">
      <c r="A16" s="3524"/>
      <c r="B16" s="3520" t="s">
        <v>148</v>
      </c>
      <c r="C16" s="3521"/>
    </row>
    <row r="17" spans="1:3" ht="13.5">
      <c r="A17" s="3524"/>
      <c r="B17" s="3527" t="s">
        <v>149</v>
      </c>
      <c r="C17" s="3404" t="s">
        <v>146</v>
      </c>
    </row>
    <row r="18" spans="1:3" ht="13.5">
      <c r="A18" s="3524"/>
      <c r="B18" s="3527"/>
      <c r="C18" s="3404" t="s">
        <v>150</v>
      </c>
    </row>
    <row r="19" spans="1:3" ht="13.5">
      <c r="A19" s="3524"/>
      <c r="B19" s="3527"/>
      <c r="C19" s="3404" t="s">
        <v>151</v>
      </c>
    </row>
    <row r="20" spans="1:3" ht="13.5">
      <c r="A20" s="3525"/>
      <c r="B20" s="3522" t="s">
        <v>152</v>
      </c>
      <c r="C20" s="3521"/>
    </row>
    <row r="21" spans="1:3" ht="13.5">
      <c r="A21" s="3405" t="s">
        <v>153</v>
      </c>
      <c r="B21" s="3406"/>
      <c r="C21" s="3407"/>
    </row>
    <row r="22" spans="1:3" ht="13.5">
      <c r="A22" s="3526" t="s">
        <v>154</v>
      </c>
      <c r="B22" s="3522" t="s">
        <v>155</v>
      </c>
      <c r="C22" s="3521"/>
    </row>
    <row r="23" spans="1:3" ht="13.5">
      <c r="A23" s="3526"/>
      <c r="B23" s="3522" t="s">
        <v>156</v>
      </c>
      <c r="C23" s="3521"/>
    </row>
    <row r="24" spans="1:3" ht="13.5">
      <c r="A24" s="3526"/>
      <c r="B24" s="3522" t="s">
        <v>157</v>
      </c>
      <c r="C24" s="3521"/>
    </row>
    <row r="25" spans="1:3" ht="13.5">
      <c r="A25" s="3526"/>
      <c r="B25" s="3527" t="s">
        <v>158</v>
      </c>
      <c r="C25" s="3404" t="s">
        <v>159</v>
      </c>
    </row>
    <row r="26" spans="1:3" ht="13.5">
      <c r="A26" s="3526"/>
      <c r="B26" s="3527"/>
      <c r="C26" s="3404" t="s">
        <v>160</v>
      </c>
    </row>
    <row r="27" spans="1:3" ht="13.5">
      <c r="A27" s="3526"/>
      <c r="B27" s="3527"/>
      <c r="C27" s="3404" t="s">
        <v>161</v>
      </c>
    </row>
    <row r="28" spans="1:3" ht="13.5">
      <c r="A28" s="3526"/>
      <c r="B28" s="3527"/>
      <c r="C28" s="3404" t="s">
        <v>162</v>
      </c>
    </row>
    <row r="29" spans="1:3" ht="13.5">
      <c r="A29" s="3526"/>
      <c r="B29" s="3527"/>
      <c r="C29" s="3404" t="s">
        <v>163</v>
      </c>
    </row>
    <row r="30" spans="1:3" ht="13.5">
      <c r="A30" s="3526"/>
      <c r="B30" s="3527"/>
      <c r="C30" s="3404" t="s">
        <v>164</v>
      </c>
    </row>
    <row r="31" spans="1:3" ht="13.5">
      <c r="A31" s="3526"/>
      <c r="B31" s="3527"/>
      <c r="C31" s="3404" t="s">
        <v>165</v>
      </c>
    </row>
    <row r="32" spans="1:3" ht="13.5">
      <c r="A32" s="3526"/>
      <c r="B32" s="3527"/>
      <c r="C32" s="3404" t="s">
        <v>166</v>
      </c>
    </row>
    <row r="33" spans="1:3" ht="13.5">
      <c r="A33" s="3526"/>
      <c r="B33" s="3527"/>
      <c r="C33" s="3404" t="s">
        <v>167</v>
      </c>
    </row>
    <row r="34" spans="1:3">
      <c r="A34" s="3408" t="s">
        <v>168</v>
      </c>
    </row>
    <row r="37" spans="1:3">
      <c r="A37" s="3408" t="s">
        <v>169</v>
      </c>
    </row>
    <row r="38" spans="1:3" ht="13.5">
      <c r="A38" s="3409" t="s">
        <v>170</v>
      </c>
    </row>
    <row r="39" spans="1:3" ht="13.5">
      <c r="A39" s="3409" t="s">
        <v>171</v>
      </c>
    </row>
    <row r="40" spans="1:3" ht="13.5">
      <c r="A40" s="3409" t="s">
        <v>172</v>
      </c>
    </row>
    <row r="41" spans="1:3" ht="13.5">
      <c r="A41" s="3410" t="s">
        <v>173</v>
      </c>
    </row>
    <row r="42" spans="1:3" ht="13.5">
      <c r="A42" s="34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64" customWidth="1"/>
    <col min="2" max="2" width="38.625" style="3364" customWidth="1"/>
    <col min="3" max="3" width="26" style="3364" customWidth="1"/>
    <col min="4" max="4" width="35" style="3364" hidden="1" customWidth="1"/>
    <col min="5" max="5" width="30.125" style="3364" customWidth="1"/>
    <col min="6" max="6" width="35.5" style="3364" customWidth="1"/>
    <col min="7" max="7" width="31" style="3364" customWidth="1"/>
    <col min="8" max="8" width="37.5" style="3364" hidden="1" customWidth="1"/>
    <col min="9" max="16384" width="22.625" style="3364"/>
  </cols>
  <sheetData>
    <row r="1" spans="1:8" ht="24" customHeight="1">
      <c r="A1" s="3365"/>
      <c r="B1" s="3365"/>
      <c r="C1" s="3365"/>
      <c r="D1" s="3365"/>
      <c r="E1" s="3365"/>
      <c r="F1" s="3365"/>
      <c r="G1" s="3365"/>
      <c r="H1" s="3365"/>
    </row>
    <row r="2" spans="1:8" ht="24" customHeight="1">
      <c r="A2" s="3366" t="s">
        <v>175</v>
      </c>
      <c r="B2" s="3367">
        <f ca="1">TODAY()</f>
        <v>45923</v>
      </c>
      <c r="C2" s="3368" t="s">
        <v>176</v>
      </c>
      <c r="D2" s="3368"/>
      <c r="E2" s="3368"/>
      <c r="F2" s="3365"/>
      <c r="G2" s="3365"/>
      <c r="H2" s="3365"/>
    </row>
    <row r="3" spans="1:8" ht="24" customHeight="1">
      <c r="A3" s="3369" t="s">
        <v>177</v>
      </c>
      <c r="B3" s="3370" t="s">
        <v>178</v>
      </c>
      <c r="C3" s="3370" t="s">
        <v>179</v>
      </c>
      <c r="D3" s="3371" t="s">
        <v>180</v>
      </c>
      <c r="E3" s="3372" t="s">
        <v>181</v>
      </c>
      <c r="F3" s="3373" t="s">
        <v>182</v>
      </c>
      <c r="G3" s="3370" t="s">
        <v>179</v>
      </c>
      <c r="H3" s="3371" t="s">
        <v>183</v>
      </c>
    </row>
    <row r="4" spans="1:8" ht="24" customHeight="1">
      <c r="A4" s="3373" t="s">
        <v>184</v>
      </c>
      <c r="B4" s="3373">
        <f ca="1">IF(C4&lt;B2,"已过期",1119970066)</f>
        <v>1119970066</v>
      </c>
      <c r="C4" s="3374">
        <v>45937</v>
      </c>
      <c r="D4" s="3375" t="str">
        <f ca="1">A4&amp;"（注册号："&amp;B4&amp;"）"</f>
        <v>梁津（注册号：1119970066）</v>
      </c>
      <c r="E4" s="3376" t="s">
        <v>184</v>
      </c>
      <c r="F4" s="3373">
        <f ca="1">IF(G4&lt;B2,"已过期",96010014)</f>
        <v>96010014</v>
      </c>
      <c r="G4" s="3377">
        <v>47118</v>
      </c>
      <c r="H4" s="3378" t="str">
        <f ca="1">E4&amp;"（注册号："&amp;F4&amp;"）"</f>
        <v>梁津（注册号：96010014）</v>
      </c>
    </row>
    <row r="5" spans="1:8" ht="24" customHeight="1">
      <c r="A5" s="3373" t="s">
        <v>185</v>
      </c>
      <c r="B5" s="3373">
        <f ca="1">IF(C5&lt;B2,"已过期",1119970111)</f>
        <v>1119970111</v>
      </c>
      <c r="C5" s="3374">
        <v>45937</v>
      </c>
      <c r="D5" s="3375" t="str">
        <f t="shared" ref="D5:D16" ca="1" si="0">A5&amp;"（注册号："&amp;B5&amp;"）"</f>
        <v>叶凌（注册号：1119970111）</v>
      </c>
      <c r="E5" s="3376" t="s">
        <v>185</v>
      </c>
      <c r="F5" s="3373">
        <f ca="1">IF(G5&lt;B2,"已过期",94010078)</f>
        <v>94010078</v>
      </c>
      <c r="G5" s="3377">
        <v>46387</v>
      </c>
      <c r="H5" s="3378" t="str">
        <f t="shared" ref="H5:H16" ca="1" si="1">E5&amp;"（注册号："&amp;F5&amp;"）"</f>
        <v>叶凌（注册号：94010078）</v>
      </c>
    </row>
    <row r="6" spans="1:8" ht="24" customHeight="1">
      <c r="A6" s="3373" t="s">
        <v>186</v>
      </c>
      <c r="B6" s="3373" t="str">
        <f ca="1">IF(C6&lt;B2,"已过期",1120050019)</f>
        <v>已过期</v>
      </c>
      <c r="C6" s="3374">
        <v>45410</v>
      </c>
      <c r="D6" s="3375" t="str">
        <f t="shared" ca="1" si="0"/>
        <v>王鹏（注册号：已过期）</v>
      </c>
      <c r="E6" s="3376" t="s">
        <v>186</v>
      </c>
      <c r="F6" s="3373">
        <f ca="1">IF(G6&lt;B2,"已过期",2002110030)</f>
        <v>2002110030</v>
      </c>
      <c r="G6" s="3377">
        <v>46387</v>
      </c>
      <c r="H6" s="3378" t="str">
        <f t="shared" ca="1" si="1"/>
        <v>王鹏（注册号：2002110030）</v>
      </c>
    </row>
    <row r="7" spans="1:8" ht="24" customHeight="1">
      <c r="A7" s="3373" t="s">
        <v>187</v>
      </c>
      <c r="B7" s="3373">
        <f ca="1">IF(C7&lt;B2,"已过期",1120000080)</f>
        <v>1120000080</v>
      </c>
      <c r="C7" s="3374">
        <v>45937</v>
      </c>
      <c r="D7" s="3375" t="str">
        <f t="shared" ca="1" si="0"/>
        <v>欧红伟（注册号：1120000080）</v>
      </c>
      <c r="E7" s="3376" t="s">
        <v>187</v>
      </c>
      <c r="F7" s="3373">
        <f ca="1">IF(G7&lt;B2,"已过期",2000110082)</f>
        <v>2000110082</v>
      </c>
      <c r="G7" s="3377">
        <v>46387</v>
      </c>
      <c r="H7" s="3378" t="str">
        <f t="shared" ca="1" si="1"/>
        <v>欧红伟（注册号：2000110082）</v>
      </c>
    </row>
    <row r="8" spans="1:8" ht="24" customHeight="1">
      <c r="A8" s="3373" t="s">
        <v>188</v>
      </c>
      <c r="B8" s="3373">
        <f ca="1">IF(C8&lt;B2,"已过期",1419970001)</f>
        <v>1419970001</v>
      </c>
      <c r="C8" s="3374">
        <v>45937</v>
      </c>
      <c r="D8" s="3375" t="str">
        <f t="shared" ca="1" si="0"/>
        <v>吴薇（注册号：1419970001）</v>
      </c>
      <c r="E8" s="3376" t="s">
        <v>188</v>
      </c>
      <c r="F8" s="3373">
        <f ca="1">IF(G8&lt;B2,"已过期",2002110125)</f>
        <v>2002110125</v>
      </c>
      <c r="G8" s="3377">
        <v>47118</v>
      </c>
      <c r="H8" s="3378" t="str">
        <f t="shared" ca="1" si="1"/>
        <v>吴薇（注册号：2002110125）</v>
      </c>
    </row>
    <row r="9" spans="1:8" ht="24" customHeight="1">
      <c r="A9" s="3373" t="s">
        <v>189</v>
      </c>
      <c r="B9" s="3373" t="str">
        <f ca="1">IF(C9&lt;B2,"已过期",1120060040)</f>
        <v>已过期</v>
      </c>
      <c r="C9" s="3379">
        <v>45592</v>
      </c>
      <c r="D9" s="3375" t="str">
        <f t="shared" ca="1" si="0"/>
        <v>陈颖（注册号：已过期）</v>
      </c>
      <c r="E9" s="3376" t="s">
        <v>189</v>
      </c>
      <c r="F9" s="3373">
        <f ca="1">IF(G9&lt;B2,"已过期",2004110096)</f>
        <v>2004110096</v>
      </c>
      <c r="G9" s="3377">
        <v>47118</v>
      </c>
      <c r="H9" s="3378" t="str">
        <f t="shared" ca="1" si="1"/>
        <v>陈颖（注册号：2004110096）</v>
      </c>
    </row>
    <row r="10" spans="1:8" ht="24" customHeight="1">
      <c r="A10" s="3373" t="s">
        <v>190</v>
      </c>
      <c r="B10" s="3373" t="str">
        <f ca="1">IF(C10&lt;B2,"已过期",1120100036)</f>
        <v>已过期</v>
      </c>
      <c r="C10" s="3379">
        <v>45752</v>
      </c>
      <c r="D10" s="3375" t="str">
        <f t="shared" ca="1" si="0"/>
        <v>崔锴（注册号：已过期）</v>
      </c>
      <c r="E10" s="3376" t="s">
        <v>190</v>
      </c>
      <c r="F10" s="3373">
        <f ca="1">IF(G10&lt;B2,"已过期",2010110070)</f>
        <v>2010110070</v>
      </c>
      <c r="G10" s="3377">
        <v>47907</v>
      </c>
      <c r="H10" s="3378" t="str">
        <f t="shared" ca="1" si="1"/>
        <v>崔锴（注册号：2010110070）</v>
      </c>
    </row>
    <row r="11" spans="1:8" ht="24" customHeight="1">
      <c r="A11" s="3373" t="s">
        <v>191</v>
      </c>
      <c r="B11" s="3373">
        <f ca="1">IF(C11&lt;B2,"已过期",1120070131)</f>
        <v>1120070131</v>
      </c>
      <c r="C11" s="3374">
        <v>45937</v>
      </c>
      <c r="D11" s="3375" t="str">
        <f t="shared" ca="1" si="0"/>
        <v>郑燚（注册号：1120070131）</v>
      </c>
      <c r="E11" s="3376" t="s">
        <v>191</v>
      </c>
      <c r="F11" s="3373">
        <f ca="1">IF(G11&lt;B2,"已过期",2014110011)</f>
        <v>2014110011</v>
      </c>
      <c r="G11" s="3377">
        <v>49302</v>
      </c>
      <c r="H11" s="3378" t="str">
        <f t="shared" ca="1" si="1"/>
        <v>郑燚（注册号：2014110011）</v>
      </c>
    </row>
    <row r="12" spans="1:8" ht="24" customHeight="1">
      <c r="A12" s="3373" t="s">
        <v>192</v>
      </c>
      <c r="B12" s="3373">
        <f ca="1">IF(C12&lt;B2,"已过期",1120040230)</f>
        <v>1120040230</v>
      </c>
      <c r="C12" s="3379">
        <v>45937</v>
      </c>
      <c r="D12" s="3375" t="str">
        <f t="shared" ca="1" si="0"/>
        <v>苏海（注册号：1120040230）</v>
      </c>
      <c r="E12" s="3376" t="s">
        <v>192</v>
      </c>
      <c r="F12" s="3373">
        <f ca="1">IF(G12&lt;B2,"已过期",98030020)</f>
        <v>98030020</v>
      </c>
      <c r="G12" s="3377">
        <v>47118</v>
      </c>
      <c r="H12" s="3378" t="str">
        <f t="shared" ca="1" si="1"/>
        <v>苏海（注册号：98030020）</v>
      </c>
    </row>
    <row r="13" spans="1:8" ht="24" customHeight="1">
      <c r="A13" s="3373" t="s">
        <v>193</v>
      </c>
      <c r="B13" s="3373" t="str">
        <f ca="1">IF(C13&lt;B2,"已过期",1120020033)</f>
        <v>已过期</v>
      </c>
      <c r="C13" s="3374">
        <v>45375</v>
      </c>
      <c r="D13" s="3375" t="str">
        <f t="shared" ca="1" si="0"/>
        <v>刘敬东（注册号：已过期）</v>
      </c>
      <c r="E13" s="3376" t="s">
        <v>193</v>
      </c>
      <c r="F13" s="3373">
        <f ca="1">IF(G13&lt;B2,"已过期",2000110137)</f>
        <v>2000110137</v>
      </c>
      <c r="G13" s="3377">
        <v>46387</v>
      </c>
      <c r="H13" s="3378" t="str">
        <f t="shared" ca="1" si="1"/>
        <v>刘敬东（注册号：2000110137）</v>
      </c>
    </row>
    <row r="14" spans="1:8" ht="24" customHeight="1">
      <c r="A14" s="3373" t="s">
        <v>194</v>
      </c>
      <c r="B14" s="3373" t="str">
        <f ca="1">IF(C14&lt;B2,"已过期",1119980106)</f>
        <v>已过期</v>
      </c>
      <c r="C14" s="3379">
        <v>44969</v>
      </c>
      <c r="D14" s="3375" t="str">
        <f t="shared" ca="1" si="0"/>
        <v>刘俊财（注册号：已过期）</v>
      </c>
      <c r="E14" s="3376" t="s">
        <v>194</v>
      </c>
      <c r="F14" s="3373">
        <f ca="1">IF(G14&lt;B2,"已过期",96010063)</f>
        <v>96010063</v>
      </c>
      <c r="G14" s="3377">
        <v>47483</v>
      </c>
      <c r="H14" s="3378" t="str">
        <f t="shared" ca="1" si="1"/>
        <v>刘俊财（注册号：96010063）</v>
      </c>
    </row>
    <row r="15" spans="1:8" ht="24" customHeight="1">
      <c r="A15" s="3373" t="s">
        <v>195</v>
      </c>
      <c r="B15" s="3373">
        <v>1120210056</v>
      </c>
      <c r="C15" s="3379">
        <v>45410</v>
      </c>
      <c r="D15" s="3375" t="str">
        <f t="shared" si="0"/>
        <v>宁小鳗（注册号：1120210056）</v>
      </c>
      <c r="E15" s="3376" t="s">
        <v>196</v>
      </c>
      <c r="F15" s="3373">
        <f ca="1">IF(G15&lt;B2,"已过期",2011110090)</f>
        <v>2011110090</v>
      </c>
      <c r="G15" s="3377">
        <v>48302</v>
      </c>
      <c r="H15" s="3378" t="str">
        <f t="shared" ca="1" si="1"/>
        <v>赵雯（注册号：2011110090）</v>
      </c>
    </row>
    <row r="16" spans="1:8" s="3362" customFormat="1" ht="24" customHeight="1">
      <c r="A16" s="3373"/>
      <c r="B16" s="3373"/>
      <c r="C16" s="3373"/>
      <c r="D16" s="3375" t="str">
        <f t="shared" si="0"/>
        <v>（注册号：）</v>
      </c>
      <c r="E16" s="3376"/>
      <c r="F16" s="3373"/>
      <c r="G16" s="3373"/>
      <c r="H16" s="3380" t="str">
        <f t="shared" si="1"/>
        <v>（注册号：）</v>
      </c>
    </row>
    <row r="17" spans="1:8" ht="24" customHeight="1">
      <c r="A17" s="3528" t="s">
        <v>197</v>
      </c>
      <c r="B17" s="3528"/>
      <c r="C17" s="3528"/>
      <c r="D17" s="3528"/>
      <c r="E17" s="3528"/>
      <c r="F17" s="3528"/>
      <c r="G17" s="3528"/>
      <c r="H17" s="3528"/>
    </row>
    <row r="18" spans="1:8" ht="24" customHeight="1">
      <c r="A18" s="3529" t="s">
        <v>198</v>
      </c>
      <c r="B18" s="3529"/>
      <c r="C18" s="3529"/>
      <c r="D18" s="3371"/>
      <c r="E18" s="3530" t="s">
        <v>199</v>
      </c>
      <c r="F18" s="3529"/>
      <c r="G18" s="3529"/>
    </row>
    <row r="19" spans="1:8" s="3363" customFormat="1" ht="24" customHeight="1">
      <c r="A19" s="3381" t="s">
        <v>200</v>
      </c>
      <c r="B19" s="3370" t="s">
        <v>201</v>
      </c>
      <c r="C19" s="3370" t="s">
        <v>179</v>
      </c>
      <c r="D19" s="3371"/>
      <c r="E19" s="3376" t="s">
        <v>200</v>
      </c>
      <c r="F19" s="3370" t="s">
        <v>201</v>
      </c>
      <c r="G19" s="3370" t="s">
        <v>179</v>
      </c>
    </row>
    <row r="20" spans="1:8" s="3363" customFormat="1" ht="24" customHeight="1">
      <c r="A20" s="3382" t="s">
        <v>202</v>
      </c>
      <c r="B20" s="3382" t="s">
        <v>203</v>
      </c>
      <c r="C20" s="3377">
        <v>45898</v>
      </c>
      <c r="D20" s="3383"/>
      <c r="E20" s="3384" t="s">
        <v>204</v>
      </c>
      <c r="F20" s="3385" t="s">
        <v>205</v>
      </c>
      <c r="G20" s="3386">
        <v>44926</v>
      </c>
    </row>
    <row r="21" spans="1:8" s="3363" customFormat="1" ht="24" customHeight="1">
      <c r="A21" s="3382"/>
      <c r="B21" s="3382"/>
      <c r="C21" s="3387"/>
      <c r="D21" s="3388"/>
      <c r="E21" s="3384"/>
      <c r="F21" s="3385"/>
      <c r="G21" s="3386"/>
    </row>
    <row r="22" spans="1:8" ht="24" customHeight="1">
      <c r="C22" s="3389"/>
      <c r="D22" s="3389"/>
      <c r="E22" s="3390"/>
      <c r="F22" s="3391"/>
      <c r="G22" s="3392"/>
    </row>
  </sheetData>
  <sheetProtection password="CEE9" sheet="1" objects="1" scenarios="1"/>
  <mergeCells count="3">
    <mergeCell ref="A17:H17"/>
    <mergeCell ref="A18:C18"/>
    <mergeCell ref="E18:G18"/>
  </mergeCells>
  <phoneticPr fontId="228" type="noConversion"/>
  <conditionalFormatting sqref="C7">
    <cfRule type="cellIs" dxfId="234" priority="38" stopIfTrue="1" operator="lessThan">
      <formula>$B$2</formula>
    </cfRule>
    <cfRule type="expression" dxfId="233" priority="37">
      <formula>AND($C7-TODAY()&lt;30,TODAY()&lt;$C7)</formula>
    </cfRule>
  </conditionalFormatting>
  <conditionalFormatting sqref="C8">
    <cfRule type="expression" dxfId="232" priority="35">
      <formula>AND($C8-TODAY()&lt;30,TODAY()&lt;$C8)</formula>
    </cfRule>
    <cfRule type="cellIs" dxfId="231" priority="36" stopIfTrue="1" operator="lessThan">
      <formula>$B$2</formula>
    </cfRule>
  </conditionalFormatting>
  <conditionalFormatting sqref="C11">
    <cfRule type="expression" dxfId="230" priority="33">
      <formula>AND($C11-TODAY()&lt;30,TODAY()&lt;$C11)</formula>
    </cfRule>
    <cfRule type="cellIs" dxfId="229" priority="34" stopIfTrue="1" operator="lessThan">
      <formula>$B$2</formula>
    </cfRule>
  </conditionalFormatting>
  <conditionalFormatting sqref="G11">
    <cfRule type="cellIs" dxfId="228" priority="30" stopIfTrue="1" operator="lessThan">
      <formula>$B$2</formula>
    </cfRule>
  </conditionalFormatting>
  <conditionalFormatting sqref="B12">
    <cfRule type="cellIs" dxfId="227" priority="24" stopIfTrue="1" operator="equal">
      <formula>"已过期"</formula>
    </cfRule>
  </conditionalFormatting>
  <conditionalFormatting sqref="C12">
    <cfRule type="cellIs" dxfId="226" priority="27" stopIfTrue="1" operator="lessThan">
      <formula>$B$2</formula>
    </cfRule>
    <cfRule type="expression" dxfId="225" priority="25">
      <formula>AND($C12-TODAY()&lt;30,TODAY()&lt;$C12)</formula>
    </cfRule>
    <cfRule type="cellIs" dxfId="224" priority="26" stopIfTrue="1" operator="lessThan">
      <formula>$B$2</formula>
    </cfRule>
  </conditionalFormatting>
  <conditionalFormatting sqref="D12">
    <cfRule type="expression" dxfId="223" priority="47">
      <formula>AND($C12-TODAY()&lt;30,TODAY()&lt;$C12)</formula>
    </cfRule>
    <cfRule type="cellIs" dxfId="222" priority="48" stopIfTrue="1" operator="lessThan">
      <formula>$B$2</formula>
    </cfRule>
  </conditionalFormatting>
  <conditionalFormatting sqref="F12">
    <cfRule type="cellIs" dxfId="221" priority="29" stopIfTrue="1" operator="equal">
      <formula>"已过期"</formula>
    </cfRule>
  </conditionalFormatting>
  <conditionalFormatting sqref="G12">
    <cfRule type="cellIs" dxfId="220" priority="28" stopIfTrue="1" operator="lessThan">
      <formula>$B$2</formula>
    </cfRule>
  </conditionalFormatting>
  <conditionalFormatting sqref="C13:D13">
    <cfRule type="expression" dxfId="219" priority="45">
      <formula>AND($C13-TODAY()&lt;30,TODAY()&lt;$C13)</formula>
    </cfRule>
    <cfRule type="cellIs" dxfId="218" priority="46" stopIfTrue="1" operator="lessThan">
      <formula>$B$2</formula>
    </cfRule>
  </conditionalFormatting>
  <conditionalFormatting sqref="G13">
    <cfRule type="cellIs" dxfId="217" priority="42" stopIfTrue="1" operator="lessThan">
      <formula>$B$2</formula>
    </cfRule>
  </conditionalFormatting>
  <conditionalFormatting sqref="B14">
    <cfRule type="cellIs" dxfId="216" priority="15" stopIfTrue="1" operator="equal">
      <formula>"已过期"</formula>
    </cfRule>
  </conditionalFormatting>
  <conditionalFormatting sqref="C14">
    <cfRule type="expression" dxfId="215" priority="18">
      <formula>AND($C14-TODAY()&lt;30,TODAY()&lt;$C14)</formula>
    </cfRule>
    <cfRule type="cellIs" dxfId="214" priority="19" stopIfTrue="1" operator="lessThan">
      <formula>$B$2</formula>
    </cfRule>
    <cfRule type="expression" dxfId="213" priority="16">
      <formula>AND($C14-TODAY()&lt;30,TODAY()&lt;$C14)</formula>
    </cfRule>
    <cfRule type="cellIs" dxfId="212" priority="17" stopIfTrue="1" operator="lessThan">
      <formula>$B$2</formula>
    </cfRule>
  </conditionalFormatting>
  <conditionalFormatting sqref="D14">
    <cfRule type="expression" dxfId="211" priority="43">
      <formula>AND($C14-TODAY()&lt;30,TODAY()&lt;$C14)</formula>
    </cfRule>
    <cfRule type="cellIs" dxfId="210" priority="44" stopIfTrue="1" operator="lessThan">
      <formula>$B$2</formula>
    </cfRule>
  </conditionalFormatting>
  <conditionalFormatting sqref="G14">
    <cfRule type="cellIs" dxfId="209" priority="14" stopIfTrue="1" operator="lessThan">
      <formula>$B$2</formula>
    </cfRule>
  </conditionalFormatting>
  <conditionalFormatting sqref="B15">
    <cfRule type="cellIs" dxfId="208" priority="4" stopIfTrue="1" operator="equal">
      <formula>"已过期"</formula>
    </cfRule>
  </conditionalFormatting>
  <conditionalFormatting sqref="C15">
    <cfRule type="expression" dxfId="207" priority="7">
      <formula>AND($C15-TODAY()&lt;30,TODAY()&lt;$C15)</formula>
    </cfRule>
    <cfRule type="cellIs" dxfId="206" priority="8" stopIfTrue="1" operator="lessThan">
      <formula>$B$2</formula>
    </cfRule>
    <cfRule type="expression" dxfId="205" priority="5">
      <formula>AND($C15-TODAY()&lt;30,TODAY()&lt;$C15)</formula>
    </cfRule>
    <cfRule type="cellIs" dxfId="204" priority="6" stopIfTrue="1" operator="lessThan">
      <formula>$B$2</formula>
    </cfRule>
  </conditionalFormatting>
  <conditionalFormatting sqref="D15">
    <cfRule type="expression" dxfId="203" priority="12">
      <formula>AND($C15-TODAY()&lt;30,TODAY()&lt;$C15)</formula>
    </cfRule>
    <cfRule type="cellIs" dxfId="202" priority="13" stopIfTrue="1" operator="lessThan">
      <formula>$B$2</formula>
    </cfRule>
    <cfRule type="expression" dxfId="201" priority="10">
      <formula>AND($C15-TODAY()&lt;30,TODAY()&lt;$C15)</formula>
    </cfRule>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G15">
    <cfRule type="cellIs" dxfId="198" priority="3" stopIfTrue="1" operator="lessThan">
      <formula>$B$2</formula>
    </cfRule>
  </conditionalFormatting>
  <conditionalFormatting sqref="A16:C16">
    <cfRule type="cellIs" dxfId="197" priority="32" stopIfTrue="1" operator="equal">
      <formula>"已过期"</formula>
    </cfRule>
  </conditionalFormatting>
  <conditionalFormatting sqref="E16:G16">
    <cfRule type="cellIs" dxfId="196" priority="31" stopIfTrue="1" operator="equal">
      <formula>"已过期"</formula>
    </cfRule>
  </conditionalFormatting>
  <conditionalFormatting sqref="C20:D20">
    <cfRule type="expression" dxfId="195" priority="52">
      <formula>AND($C20-TODAY()&lt;30,TODAY()&lt;$C20)</formula>
    </cfRule>
  </conditionalFormatting>
  <conditionalFormatting sqref="G20">
    <cfRule type="expression" dxfId="194" priority="1" stopIfTrue="1">
      <formula>AND(#REF!-TODAY()&lt;30,TODAY()&lt;#REF!)</formula>
    </cfRule>
    <cfRule type="cellIs" dxfId="193" priority="2" stopIfTrue="1" operator="lessThan">
      <formula>$B$2</formula>
    </cfRule>
  </conditionalFormatting>
  <conditionalFormatting sqref="G21">
    <cfRule type="expression" dxfId="192" priority="20" stopIfTrue="1">
      <formula>AND(#REF!-TODAY()&lt;30,TODAY()&lt;#REF!)</formula>
    </cfRule>
    <cfRule type="cellIs" dxfId="191" priority="21" stopIfTrue="1" operator="lessThan">
      <formula>$B$2</formula>
    </cfRule>
  </conditionalFormatting>
  <conditionalFormatting sqref="C9:C10">
    <cfRule type="expression" dxfId="190" priority="22">
      <formula>AND($C9-TODAY()&lt;30,TODAY()&lt;$C9)</formula>
    </cfRule>
    <cfRule type="cellIs" dxfId="189" priority="23" stopIfTrue="1" operator="lessThan">
      <formula>$B$2</formula>
    </cfRule>
  </conditionalFormatting>
  <conditionalFormatting sqref="B4:B11 F4:F11 B13 F13:F14">
    <cfRule type="cellIs" dxfId="188" priority="41" stopIfTrue="1" operator="equal">
      <formula>"已过期"</formula>
    </cfRule>
  </conditionalFormatting>
  <conditionalFormatting sqref="D16 C4:D5 D7:D12 C13:D13 C12">
    <cfRule type="expression" dxfId="187" priority="53">
      <formula>AND($C4-TODAY()&lt;30,TODAY()&lt;$C4)</formula>
    </cfRule>
  </conditionalFormatting>
  <conditionalFormatting sqref="C20:D20 G4 C4:D5 C13:D13">
    <cfRule type="cellIs" dxfId="186" priority="54" stopIfTrue="1" operator="lessThan">
      <formula>$B$2</formula>
    </cfRule>
  </conditionalFormatting>
  <conditionalFormatting sqref="G5 G7 G9">
    <cfRule type="cellIs" dxfId="185" priority="51" stopIfTrue="1" operator="lessThan">
      <formula>$B$2</formula>
    </cfRule>
  </conditionalFormatting>
  <conditionalFormatting sqref="C6:D6 D14 D16">
    <cfRule type="expression" dxfId="184" priority="49">
      <formula>AND($C6-TODAY()&lt;30,TODAY()&lt;$C6)</formula>
    </cfRule>
  </conditionalFormatting>
  <conditionalFormatting sqref="G6 G8 G10 C6:D6 D7:D12 D14 D16">
    <cfRule type="cellIs" dxfId="183"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35" master="" otherUserPermission="visible"/>
  <rangeList sheetStid="67"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6" master="" otherUserPermission="visible"/>
  <rangeList sheetStid="81" master="" otherUserPermission="visible"/>
  <rangeList sheetStid="82" master="" otherUserPermission="visible"/>
  <rangeList sheetStid="83" master="" otherUserPermission="visible"/>
  <rangeList sheetStid="84" master="" otherUserPermission="visible"/>
  <rangeList sheetStid="87" master="" otherUserPermission="visible"/>
  <rangeList sheetStid="88"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可抵押车位明细清单</vt:lpstr>
      <vt:lpstr>系统读取表</vt:lpstr>
      <vt:lpstr>结果表</vt:lpstr>
      <vt:lpstr>比较法-车位</vt:lpstr>
      <vt:lpstr>收益法 (元)</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基准地价修正</vt:lpstr>
      <vt:lpstr>典型户型修正-车位用途</vt:lpstr>
      <vt:lpstr>中海云筑</vt:lpstr>
      <vt:lpstr>和悦春风</vt:lpstr>
      <vt:lpstr>中海云熙</vt:lpstr>
      <vt:lpstr>采育兴创荣墅</vt:lpstr>
      <vt:lpstr>国誉府</vt:lpstr>
      <vt:lpstr>住总如院</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'典型户型修正-车位用途'!一修多修正项2</vt:lpstr>
      <vt:lpstr>'典型户型修正-车位用途'!一修多修正项3</vt:lpstr>
      <vt:lpstr>'典型户型修正-车位用途'!一修多修正项4</vt:lpstr>
      <vt:lpstr>'典型户型修正-车位用途'!一修多修正项5</vt:lpstr>
      <vt:lpstr>'典型户型修正-车位用途'!一修多修正项6</vt:lpstr>
      <vt:lpstr>'典型户型修正-车位用途'!一修多修正项7</vt:lpstr>
      <vt:lpstr>'典型户型修正-车位用途'!一修多修正项8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2025-09-23T02:00:19Z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00055A762F7F40C2AABB21D6EC5975B1_12</vt:lpwstr>
  </property>
  <property fmtid="{D5CDD505-2E9C-101B-9397-08002B2CF9AE}" pid="3" name="KSOProductBuildVer">
    <vt:lpwstr>2052-12.1.0.22529</vt:lpwstr>
  </property>
  <property fmtid="{D5CDD505-2E9C-101B-9397-08002B2CF9AE}" pid="4" name="KSOReadingLayout">
    <vt:bool>true</vt:bool>
  </property>
</Properties>
</file>